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simonova\Desktop\"/>
    </mc:Choice>
  </mc:AlternateContent>
  <bookViews>
    <workbookView xWindow="0" yWindow="0" windowWidth="28800" windowHeight="12435" firstSheet="11" activeTab="11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 TSMÚ final" sheetId="137" r:id="rId11"/>
    <sheet name="TSMÚ " sheetId="138" r:id="rId12"/>
    <sheet name="RUD" sheetId="111" r:id="rId13"/>
    <sheet name="Odhad RUD koronavirus" sheetId="120" state="hidden" r:id="rId14"/>
    <sheet name="Cash flow" sheetId="85" r:id="rId15"/>
    <sheet name="Nákup a prodej vody" sheetId="119" state="hidden" r:id="rId16"/>
    <sheet name="Investice celkem  2023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přepočet úroků" sheetId="134" r:id="rId33"/>
    <sheet name="výhled 2024-2028" sheetId="131" r:id="rId34"/>
    <sheet name="Zásobník projektů 2016-2020" sheetId="84" state="hidden" r:id="rId35"/>
    <sheet name="čerpání-úvěr a úroky" sheetId="128" r:id="rId36"/>
    <sheet name="zásobník projektů 2020-2024" sheetId="132" r:id="rId37"/>
    <sheet name="Financování" sheetId="135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Titles" localSheetId="10">' TSMÚ final'!$2:$2</definedName>
    <definedName name="_xlnm.Print_Titles" localSheetId="11">'TSMÚ '!$2:$2</definedName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10">' TSMÚ final'!$A$1:$O$148</definedName>
    <definedName name="_xlnm.Print_Area" localSheetId="5">'Příjmy kapitol celkem'!$A$2:$G$99</definedName>
    <definedName name="_xlnm.Print_Area" localSheetId="11">'TSMÚ '!$A$1:$O$24</definedName>
    <definedName name="Z_8E849D53_8AE4_474C_8B18_4F51F16C1AF2_.wvu.Cols" localSheetId="35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2023'!$K:$P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2023'!$I:$K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celkem'!$A$2:$G$99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'5164-Nájemné'!$24:$25,'5164-Nájemné'!$33:$34,'5164-Nájemné'!$36:$37,'5164-Nájemné'!$39:$40,'5164-Nájemné'!$49:$50,'5164-Nájemné'!$53:$53</definedName>
    <definedName name="Z_8E849D53_8AE4_474C_8B18_4F51F16C1AF2_.wvu.Rows" localSheetId="22" hidden="1">'5169_nákup služeb celkem'!$11:$13,'5169_nákup služeb celkem'!$52:$54,'5169_nákup služeb celkem'!$61:$61,'5169_nákup služeb celkem'!$67:$69,'5169_nákup služeb celkem'!$77:$78,'5169_nákup služeb celkem'!$90:$93,'5169_nákup služeb celkem'!$111:$112,'5169_nákup služeb celkem'!$146:$148,'5169_nákup služeb celkem'!$168:$168,'5169_nákup služeb celkem'!$171:$172,'5169_nákup služeb celkem'!$174:$175,'5169_nákup služeb celkem'!$177:$178,'5169_nákup služeb celkem'!$189:$191</definedName>
    <definedName name="Z_8E849D53_8AE4_474C_8B18_4F51F16C1AF2_.wvu.Rows" localSheetId="23" hidden="1">'5171_Opravy a udrzování celkem'!$32:$32,'5171_Opravy a udrzování celkem'!$39:$39,'5171_Opravy a udrzování celkem'!#REF!,'5171_Opravy a udrzování celkem'!$50:$51,'5171_Opravy a udrzování celkem'!$64:$66,'5171_Opravy a udrzování celkem'!$68:$69,'5171_Opravy a udrzování celkem'!$73:$73,'5171_Opravy a udrzování celkem'!$80:$80,'5171_Opravy a udrzování celkem'!$92:$93,'5171_Opravy a udrzování celkem'!$108:$108,'5171_Opravy a udrzování celkem'!$110:$110,'5171_Opravy a udrzování celkem'!$113:$113,'5171_Opravy a udrzování celkem'!$127:$127,'5171_Opravy a udrzování celkem'!$136:$136,'5171_Opravy a udrzování celkem'!$139:$141,'5171_Opravy a udrzování celkem'!$144:$144</definedName>
    <definedName name="Z_8E849D53_8AE4_474C_8B18_4F51F16C1AF2_.wvu.Rows" localSheetId="25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2023'!$11:$11,'Investice celkem  2023'!$14:$16,'Investice celkem  2023'!$28:$29,'Investice celkem  2023'!$32:$32,'Investice celkem  2023'!$34:$34,'Investice celkem  2023'!$38:$38,'Investice celkem  2023'!$40:$44,'Investice celkem  2023'!$46:$51,'Investice celkem  2023'!$54:$56,'Investice celkem  2023'!$58:$59,'Investice celkem  2023'!$63:$63,'Investice celkem  2023'!$66:$68,'Investice celkem  2023'!$70:$73,'Investice celkem  2023'!$76:$76,'Investice celkem  2023'!$79:$81,'Investice celkem  2023'!$90:$93,'Investice celkem  2023'!$97:$97,'Investice celkem  2023'!$100:$104,'Investice celkem  2023'!$106:$107,'Investice celkem  2023'!$111:$112,'Investice celkem  2023'!$115:$117,'Investice celkem  2023'!$119:$121,'Investice celkem  2023'!$123:$131,'Investice celkem  2023'!$133:$135,'Investice celkem  2023'!$137:$140,'Investice celkem  2023'!$147:$147,'Investice celkem  2023'!$156:$157,'Investice celkem  2023'!$159:$162,'Investice celkem  2023'!$164:$170,'Investice celkem  2023'!$172:$172,'Investice celkem  2023'!$174:$174,'Investice celkem  2023'!$176:$176,'Investice celkem  2023'!$179:$183,'Investice celkem  2023'!$186:$197,'Investice celkem  2023'!$199:$200,'Investice celkem  2023'!$203:$203,'Investice celkem  2023'!$210:$218,'Investice celkem  2023'!$220:$222,'Investice celkem  2023'!$233:$234,'Investice celkem  2023'!$236:$237,'Investice celkem  2023'!$239:$240,'Investice celkem  2023'!$242:$245,'Investice celkem  2023'!$247:$249,'Investice celkem  2023'!$251:$253,'Investice celkem  2023'!$255:$257,'Investice celkem  2023'!$259:$261,'Investice celkem  2023'!$263:$266,'Investice celkem  2023'!$268:$271</definedName>
    <definedName name="Z_8E849D53_8AE4_474C_8B18_4F51F16C1AF2_.wvu.Rows" localSheetId="15" hidden="1">'Nákup a prodej vody'!$70:$70</definedName>
    <definedName name="Z_8E849D53_8AE4_474C_8B18_4F51F16C1AF2_.wvu.Rows" localSheetId="26" hidden="1">'plán - úvěrů a úroků'!$16:$16,'plán - úvěrů a úroků'!$34:$34,'plán - úvěrů a úroků'!$40:$46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2023'!$21:$21,'Souhrn příjmů a výdajů 2023'!$31:$31,'Souhrn příjmů a výdajů 2023'!$33:$33,'Souhrn příjmů a výdajů 2023'!$39:$39,'Souhrn příjmů a výdajů 2023'!$46:$47,'Souhrn příjmů a výdajů 2023'!$54:$55,'Souhrn příjmů a výdajů 2023'!$59:$60,'Souhrn příjmů a výdajů 2023'!$64:$72,'Souhrn příjmů a výdajů 2023'!$78:$78,'Souhrn příjmů a výdajů 2023'!$86:$86,'Souhrn příjmů a výdajů 2023'!$97:$97,'Souhrn příjmů a výdajů 2023'!$100:$102,'Souhrn příjmů a výdajů 2023'!$105:$108,'Souhrn příjmů a výdajů 2023'!$133:$134,'Souhrn příjmů a výdajů 2023'!$155:$156,'Souhrn příjmů a výdajů 2023'!$163:$163,'Souhrn příjmů a výdajů 2023'!$175:$175,'Souhrn příjmů a výdajů 2023'!$177:$177,'Souhrn příjmů a výdajů 2023'!$179:$179,'Souhrn příjmů a výdajů 2023'!$181:$181,'Souhrn příjmů a výdajů 2023'!$185:$185,'Souhrn příjmů a výdajů 2023'!#REF!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4" hidden="1">'Zásobník projektů 2016-2020'!$77:$77</definedName>
    <definedName name="Z_8E849D53_8AE4_474C_8B18_4F51F16C1AF2_.wvu.Rows" localSheetId="36" hidden="1">'zásobník projektů 2020-2024'!$151:$1048576</definedName>
  </definedNames>
  <calcPr calcId="152511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E106" i="105" l="1"/>
  <c r="F193" i="73" l="1"/>
  <c r="I178" i="128"/>
  <c r="I177" i="128"/>
  <c r="I176" i="128"/>
  <c r="I175" i="128"/>
  <c r="I174" i="128"/>
  <c r="I179" i="128" s="1"/>
  <c r="H179" i="128"/>
  <c r="J179" i="128"/>
  <c r="K179" i="128"/>
  <c r="L179" i="128"/>
  <c r="M179" i="128"/>
  <c r="N179" i="128"/>
  <c r="O179" i="128"/>
  <c r="P179" i="128"/>
  <c r="Q179" i="128"/>
  <c r="R179" i="128"/>
  <c r="S179" i="128"/>
  <c r="T179" i="128"/>
  <c r="U179" i="128"/>
  <c r="V179" i="128"/>
  <c r="W179" i="128"/>
  <c r="X179" i="128"/>
  <c r="Y179" i="128"/>
  <c r="Z179" i="128"/>
  <c r="AA179" i="128"/>
  <c r="AB179" i="128"/>
  <c r="AC179" i="128"/>
  <c r="AD179" i="128"/>
  <c r="AE179" i="128"/>
  <c r="AF179" i="128"/>
  <c r="G179" i="128"/>
  <c r="I172" i="128"/>
  <c r="I171" i="128"/>
  <c r="I170" i="128"/>
  <c r="I169" i="128"/>
  <c r="I168" i="128"/>
  <c r="I173" i="128" s="1"/>
  <c r="H173" i="128"/>
  <c r="G173" i="128"/>
  <c r="G167" i="128"/>
  <c r="I71" i="73"/>
  <c r="I72" i="73"/>
  <c r="I73" i="73"/>
  <c r="I74" i="73"/>
  <c r="F12" i="127"/>
  <c r="F11" i="127"/>
  <c r="F16" i="72" l="1"/>
  <c r="I77" i="73"/>
  <c r="I78" i="73"/>
  <c r="I79" i="73"/>
  <c r="H77" i="73"/>
  <c r="H73" i="73"/>
  <c r="I13" i="73"/>
  <c r="H10" i="73"/>
  <c r="I10" i="73" s="1"/>
  <c r="V62" i="4"/>
  <c r="V61" i="4"/>
  <c r="V46" i="4"/>
  <c r="V45" i="4"/>
  <c r="V42" i="4"/>
  <c r="V38" i="4"/>
  <c r="V37" i="4"/>
  <c r="V36" i="4"/>
  <c r="V35" i="4"/>
  <c r="D14" i="85"/>
  <c r="H12" i="85"/>
  <c r="H11" i="85"/>
  <c r="G11" i="85"/>
  <c r="F11" i="85"/>
  <c r="E11" i="85"/>
  <c r="H10" i="85"/>
  <c r="G10" i="85"/>
  <c r="F10" i="85"/>
  <c r="E10" i="85"/>
  <c r="H8" i="85"/>
  <c r="G8" i="85"/>
  <c r="F8" i="85"/>
  <c r="E8" i="85"/>
  <c r="H7" i="85"/>
  <c r="G7" i="85"/>
  <c r="F7" i="85"/>
  <c r="E7" i="85"/>
  <c r="H6" i="85"/>
  <c r="G6" i="85"/>
  <c r="F6" i="85"/>
  <c r="E6" i="85"/>
  <c r="D11" i="85"/>
  <c r="D10" i="85"/>
  <c r="D8" i="85"/>
  <c r="D7" i="85"/>
  <c r="D6" i="85"/>
  <c r="J210" i="94"/>
  <c r="J209" i="94"/>
  <c r="CN59" i="4"/>
  <c r="M108" i="111"/>
  <c r="N108" i="111"/>
  <c r="N110" i="111" s="1"/>
  <c r="M109" i="111"/>
  <c r="N109" i="111"/>
  <c r="M110" i="111"/>
  <c r="E156" i="105"/>
  <c r="E158" i="105" s="1"/>
  <c r="F54" i="105"/>
  <c r="F53" i="105"/>
  <c r="F114" i="105" l="1"/>
  <c r="F113" i="105"/>
  <c r="F104" i="105" l="1"/>
  <c r="G104" i="105" s="1"/>
  <c r="F103" i="105"/>
  <c r="F70" i="105"/>
  <c r="F69" i="105"/>
  <c r="G69" i="105" s="1"/>
  <c r="F62" i="105"/>
  <c r="G62" i="105" s="1"/>
  <c r="F61" i="105"/>
  <c r="G61" i="105" s="1"/>
  <c r="F60" i="105"/>
  <c r="G60" i="105" s="1"/>
  <c r="F52" i="105"/>
  <c r="G52" i="105" s="1"/>
  <c r="F47" i="105"/>
  <c r="G47" i="105" s="1"/>
  <c r="F46" i="105"/>
  <c r="G46" i="105" s="1"/>
  <c r="F44" i="105"/>
  <c r="G44" i="105" s="1"/>
  <c r="F43" i="105"/>
  <c r="G43" i="105" s="1"/>
  <c r="F41" i="105"/>
  <c r="G41" i="105" s="1"/>
  <c r="F40" i="105"/>
  <c r="G40" i="105" s="1"/>
  <c r="G7" i="1"/>
  <c r="G13" i="1"/>
  <c r="B6" i="135"/>
  <c r="E43" i="132"/>
  <c r="B12" i="135"/>
  <c r="B8" i="135"/>
  <c r="G11" i="107"/>
  <c r="G21" i="127"/>
  <c r="G18" i="127"/>
  <c r="G15" i="127"/>
  <c r="G9" i="127"/>
  <c r="G145" i="72"/>
  <c r="G144" i="72"/>
  <c r="G141" i="72"/>
  <c r="G132" i="72"/>
  <c r="G128" i="72"/>
  <c r="G127" i="72"/>
  <c r="G124" i="72"/>
  <c r="G120" i="72"/>
  <c r="G101" i="72"/>
  <c r="G96" i="72"/>
  <c r="G85" i="72"/>
  <c r="G81" i="72"/>
  <c r="G80" i="72"/>
  <c r="G74" i="72"/>
  <c r="G73" i="72"/>
  <c r="G66" i="72"/>
  <c r="G62" i="72"/>
  <c r="G58" i="72"/>
  <c r="G45" i="72"/>
  <c r="G17" i="72"/>
  <c r="G11" i="72"/>
  <c r="G192" i="87"/>
  <c r="G191" i="87"/>
  <c r="G190" i="87"/>
  <c r="G189" i="87"/>
  <c r="G183" i="87"/>
  <c r="G179" i="87"/>
  <c r="G178" i="87"/>
  <c r="G177" i="87"/>
  <c r="G173" i="87"/>
  <c r="G172" i="87"/>
  <c r="G171" i="87"/>
  <c r="G169" i="87"/>
  <c r="G168" i="87"/>
  <c r="G154" i="87"/>
  <c r="G149" i="87"/>
  <c r="G148" i="87"/>
  <c r="G147" i="87"/>
  <c r="G146" i="87"/>
  <c r="G144" i="87"/>
  <c r="G134" i="87"/>
  <c r="G124" i="87"/>
  <c r="G121" i="87"/>
  <c r="G115" i="87"/>
  <c r="G102" i="87"/>
  <c r="G99" i="87"/>
  <c r="G96" i="87"/>
  <c r="G94" i="87"/>
  <c r="G93" i="87"/>
  <c r="G92" i="87"/>
  <c r="G91" i="87"/>
  <c r="G90" i="87"/>
  <c r="G83" i="87"/>
  <c r="G79" i="87"/>
  <c r="G78" i="87"/>
  <c r="G77" i="87"/>
  <c r="G73" i="87"/>
  <c r="G69" i="87"/>
  <c r="G62" i="87"/>
  <c r="G61" i="87"/>
  <c r="G54" i="87"/>
  <c r="G22" i="87"/>
  <c r="G19" i="87"/>
  <c r="G13" i="87"/>
  <c r="G54" i="106"/>
  <c r="G53" i="106"/>
  <c r="G41" i="106"/>
  <c r="G40" i="106"/>
  <c r="G39" i="106"/>
  <c r="G38" i="106"/>
  <c r="G37" i="106"/>
  <c r="G36" i="106"/>
  <c r="G31" i="106"/>
  <c r="G28" i="106"/>
  <c r="G26" i="106"/>
  <c r="G25" i="106"/>
  <c r="G24" i="106"/>
  <c r="G22" i="106"/>
  <c r="G19" i="106"/>
  <c r="G16" i="106"/>
  <c r="G12" i="106"/>
  <c r="G9" i="106"/>
  <c r="G64" i="125"/>
  <c r="G62" i="125"/>
  <c r="G61" i="125"/>
  <c r="G60" i="125"/>
  <c r="G59" i="125"/>
  <c r="G58" i="125"/>
  <c r="G57" i="125"/>
  <c r="G56" i="125"/>
  <c r="G55" i="125"/>
  <c r="G54" i="125"/>
  <c r="G53" i="125"/>
  <c r="G52" i="125"/>
  <c r="G51" i="125"/>
  <c r="G50" i="125"/>
  <c r="G49" i="125"/>
  <c r="G48" i="125"/>
  <c r="G47" i="125"/>
  <c r="G46" i="125"/>
  <c r="G45" i="125"/>
  <c r="G7" i="125"/>
  <c r="G7" i="123"/>
  <c r="G154" i="105"/>
  <c r="G153" i="105"/>
  <c r="G152" i="105"/>
  <c r="G150" i="105"/>
  <c r="G146" i="105"/>
  <c r="G145" i="105"/>
  <c r="G143" i="105"/>
  <c r="G142" i="105"/>
  <c r="G140" i="105"/>
  <c r="G139" i="105"/>
  <c r="G138" i="105"/>
  <c r="G136" i="105"/>
  <c r="G135" i="105"/>
  <c r="G133" i="105"/>
  <c r="G132" i="105"/>
  <c r="G131" i="105"/>
  <c r="G129" i="105"/>
  <c r="G128" i="105"/>
  <c r="G126" i="105"/>
  <c r="G125" i="105"/>
  <c r="G123" i="105"/>
  <c r="G122" i="105"/>
  <c r="G121" i="105"/>
  <c r="G119" i="105"/>
  <c r="G118" i="105"/>
  <c r="G117" i="105"/>
  <c r="G115" i="105"/>
  <c r="G114" i="105"/>
  <c r="G111" i="105"/>
  <c r="G110" i="105"/>
  <c r="G108" i="105"/>
  <c r="G107" i="105"/>
  <c r="G105" i="105"/>
  <c r="G103" i="105"/>
  <c r="G101" i="105"/>
  <c r="G100" i="105"/>
  <c r="G98" i="105"/>
  <c r="G97" i="105"/>
  <c r="G95" i="105"/>
  <c r="G94" i="105"/>
  <c r="G92" i="105"/>
  <c r="G91" i="105"/>
  <c r="G90" i="105"/>
  <c r="G88" i="105"/>
  <c r="G87" i="105"/>
  <c r="G85" i="105"/>
  <c r="G84" i="105"/>
  <c r="G82" i="105"/>
  <c r="G81" i="105"/>
  <c r="G79" i="105"/>
  <c r="G78" i="105"/>
  <c r="G77" i="105"/>
  <c r="G76" i="105"/>
  <c r="G74" i="105"/>
  <c r="G73" i="105"/>
  <c r="G71" i="105"/>
  <c r="G70" i="105"/>
  <c r="G67" i="105"/>
  <c r="G66" i="105"/>
  <c r="G65" i="105"/>
  <c r="G63" i="105"/>
  <c r="G58" i="105"/>
  <c r="G57" i="105"/>
  <c r="G55" i="105"/>
  <c r="G54" i="105"/>
  <c r="G50" i="105"/>
  <c r="G49" i="105"/>
  <c r="G38" i="105"/>
  <c r="G34" i="105"/>
  <c r="G26" i="105"/>
  <c r="G23" i="105"/>
  <c r="G22" i="105"/>
  <c r="G20" i="105"/>
  <c r="G17" i="105"/>
  <c r="G16" i="105"/>
  <c r="G13" i="105"/>
  <c r="G6" i="105"/>
  <c r="G5" i="105"/>
  <c r="G66" i="104"/>
  <c r="G62" i="104"/>
  <c r="G58" i="104"/>
  <c r="G57" i="104"/>
  <c r="G56" i="104"/>
  <c r="G55" i="104"/>
  <c r="G54" i="104"/>
  <c r="G53" i="104"/>
  <c r="G52" i="104"/>
  <c r="G51" i="104"/>
  <c r="G50" i="104"/>
  <c r="G49" i="104"/>
  <c r="G48" i="104"/>
  <c r="G47" i="104"/>
  <c r="G46" i="104"/>
  <c r="G45" i="104"/>
  <c r="G44" i="104"/>
  <c r="G43" i="104"/>
  <c r="G41" i="104"/>
  <c r="G40" i="104"/>
  <c r="G39" i="104"/>
  <c r="G38" i="104"/>
  <c r="G36" i="104"/>
  <c r="G35" i="104"/>
  <c r="G31" i="104"/>
  <c r="G30" i="104"/>
  <c r="G29" i="104"/>
  <c r="G24" i="104"/>
  <c r="G23" i="104"/>
  <c r="G22" i="104"/>
  <c r="G21" i="104"/>
  <c r="G19" i="104"/>
  <c r="G16" i="104"/>
  <c r="G9" i="104"/>
  <c r="G6" i="104"/>
  <c r="G5" i="104"/>
  <c r="K271" i="94"/>
  <c r="K266" i="94"/>
  <c r="K265" i="94"/>
  <c r="K262" i="94"/>
  <c r="K261" i="94"/>
  <c r="K260" i="94"/>
  <c r="K259" i="94"/>
  <c r="K258" i="94"/>
  <c r="K257" i="94"/>
  <c r="K256" i="94"/>
  <c r="K255" i="94"/>
  <c r="K254" i="94"/>
  <c r="K253" i="94"/>
  <c r="K252" i="94"/>
  <c r="K251" i="94"/>
  <c r="K250" i="94"/>
  <c r="K249" i="94"/>
  <c r="K248" i="94"/>
  <c r="K247" i="94"/>
  <c r="K245" i="94"/>
  <c r="K244" i="94"/>
  <c r="K240" i="94"/>
  <c r="K238" i="94"/>
  <c r="K237" i="94"/>
  <c r="K236" i="94"/>
  <c r="K228" i="94"/>
  <c r="K224" i="94"/>
  <c r="K204" i="94"/>
  <c r="K203" i="94"/>
  <c r="K153" i="94"/>
  <c r="K148" i="94"/>
  <c r="K147" i="94"/>
  <c r="K136" i="94"/>
  <c r="K135" i="94"/>
  <c r="K134" i="94"/>
  <c r="K133" i="94"/>
  <c r="K132" i="94"/>
  <c r="K131" i="94"/>
  <c r="K130" i="94"/>
  <c r="K129" i="94"/>
  <c r="K128" i="94"/>
  <c r="K127" i="94"/>
  <c r="K126" i="94"/>
  <c r="K125" i="94"/>
  <c r="K124" i="94"/>
  <c r="K123" i="94"/>
  <c r="K121" i="94"/>
  <c r="K118" i="94"/>
  <c r="K117" i="94"/>
  <c r="K116" i="94"/>
  <c r="K115" i="94"/>
  <c r="K113" i="94"/>
  <c r="K112" i="94"/>
  <c r="K98" i="94"/>
  <c r="K97" i="94"/>
  <c r="K93" i="94"/>
  <c r="K92" i="94"/>
  <c r="K88" i="94"/>
  <c r="K84" i="94"/>
  <c r="K82" i="94"/>
  <c r="K81" i="94"/>
  <c r="K80" i="94"/>
  <c r="K79" i="94"/>
  <c r="K77" i="94"/>
  <c r="K68" i="94"/>
  <c r="K64" i="94"/>
  <c r="K63" i="94"/>
  <c r="K60" i="94"/>
  <c r="K59" i="94"/>
  <c r="K58" i="94"/>
  <c r="K57" i="94"/>
  <c r="K56" i="94"/>
  <c r="K55" i="94"/>
  <c r="K54" i="94"/>
  <c r="K35" i="94"/>
  <c r="K34" i="94"/>
  <c r="K30" i="94"/>
  <c r="K29" i="94"/>
  <c r="K28" i="94"/>
  <c r="K20" i="94"/>
  <c r="K17" i="94"/>
  <c r="K16" i="94"/>
  <c r="K15" i="94"/>
  <c r="K14" i="94"/>
  <c r="I185" i="73"/>
  <c r="I115" i="73"/>
  <c r="I110" i="73"/>
  <c r="I97" i="73"/>
  <c r="I96" i="73"/>
  <c r="I95" i="73"/>
  <c r="I94" i="73"/>
  <c r="I92" i="73"/>
  <c r="I91" i="73"/>
  <c r="I90" i="73"/>
  <c r="I89" i="73"/>
  <c r="I83" i="73"/>
  <c r="I65" i="73"/>
  <c r="I29" i="73"/>
  <c r="I28" i="73"/>
  <c r="H6" i="135"/>
  <c r="D58" i="135"/>
  <c r="I157" i="128"/>
  <c r="I164" i="128"/>
  <c r="I166" i="128"/>
  <c r="I165" i="128"/>
  <c r="I163" i="128"/>
  <c r="I162" i="128"/>
  <c r="H167" i="128"/>
  <c r="J167" i="128"/>
  <c r="K167" i="128"/>
  <c r="L167" i="128"/>
  <c r="M167" i="128"/>
  <c r="N167" i="128"/>
  <c r="O167" i="128"/>
  <c r="P167" i="128"/>
  <c r="Q167" i="128"/>
  <c r="R167" i="128"/>
  <c r="S167" i="128"/>
  <c r="T167" i="128"/>
  <c r="U167" i="128"/>
  <c r="V167" i="128"/>
  <c r="W167" i="128"/>
  <c r="X167" i="128"/>
  <c r="Y167" i="128"/>
  <c r="Z167" i="128"/>
  <c r="AA167" i="128"/>
  <c r="AB167" i="128"/>
  <c r="AC167" i="128"/>
  <c r="AD167" i="128"/>
  <c r="AE167" i="128"/>
  <c r="AF167" i="128"/>
  <c r="G166" i="128"/>
  <c r="G165" i="128"/>
  <c r="G163" i="128"/>
  <c r="G162" i="128"/>
  <c r="I167" i="128" l="1"/>
  <c r="H9" i="73"/>
  <c r="I9" i="73" s="1"/>
  <c r="H61" i="73"/>
  <c r="I61" i="73" s="1"/>
  <c r="H88" i="73"/>
  <c r="I88" i="73" s="1"/>
  <c r="G22" i="1"/>
  <c r="S99" i="111" l="1"/>
  <c r="S100" i="111"/>
  <c r="S101" i="111"/>
  <c r="S102" i="111"/>
  <c r="S103" i="111"/>
  <c r="S98" i="111"/>
  <c r="Q99" i="111"/>
  <c r="Q100" i="111"/>
  <c r="Q101" i="111"/>
  <c r="Q102" i="111"/>
  <c r="Q103" i="111"/>
  <c r="Q98" i="111"/>
  <c r="E10" i="135"/>
  <c r="E11" i="135" s="1"/>
  <c r="F11" i="135"/>
  <c r="N18" i="138"/>
  <c r="M18" i="138"/>
  <c r="L18" i="138"/>
  <c r="K18" i="138"/>
  <c r="J18" i="138"/>
  <c r="I18" i="138"/>
  <c r="H18" i="138"/>
  <c r="G18" i="138"/>
  <c r="F18" i="138"/>
  <c r="E18" i="138"/>
  <c r="D18" i="138" s="1"/>
  <c r="C18" i="138" s="1"/>
  <c r="H17" i="138"/>
  <c r="G17" i="138"/>
  <c r="E17" i="138"/>
  <c r="H16" i="138"/>
  <c r="E16" i="138"/>
  <c r="N15" i="138"/>
  <c r="M15" i="138"/>
  <c r="L15" i="138"/>
  <c r="K15" i="138"/>
  <c r="J15" i="138"/>
  <c r="I15" i="138"/>
  <c r="H15" i="138"/>
  <c r="G15" i="138"/>
  <c r="F15" i="138"/>
  <c r="E15" i="138"/>
  <c r="D15" i="138" s="1"/>
  <c r="C15" i="138" s="1"/>
  <c r="N14" i="138"/>
  <c r="M14" i="138"/>
  <c r="L14" i="138"/>
  <c r="K14" i="138"/>
  <c r="J14" i="138"/>
  <c r="I14" i="138"/>
  <c r="H14" i="138"/>
  <c r="G14" i="138"/>
  <c r="F14" i="138"/>
  <c r="E14" i="138"/>
  <c r="D14" i="138" s="1"/>
  <c r="C14" i="138" s="1"/>
  <c r="N13" i="138"/>
  <c r="M13" i="138"/>
  <c r="L13" i="138"/>
  <c r="K13" i="138"/>
  <c r="J13" i="138"/>
  <c r="I13" i="138"/>
  <c r="H13" i="138"/>
  <c r="G13" i="138"/>
  <c r="F13" i="138"/>
  <c r="E13" i="138"/>
  <c r="D13" i="138" s="1"/>
  <c r="C13" i="138" s="1"/>
  <c r="E12" i="138"/>
  <c r="D12" i="138" s="1"/>
  <c r="C12" i="138" s="1"/>
  <c r="J11" i="138"/>
  <c r="J19" i="138" s="1"/>
  <c r="J21" i="138" s="1"/>
  <c r="I11" i="138"/>
  <c r="I19" i="138" s="1"/>
  <c r="I21" i="138" s="1"/>
  <c r="H11" i="138"/>
  <c r="H19" i="138" s="1"/>
  <c r="G11" i="138"/>
  <c r="F11" i="138"/>
  <c r="E11" i="138"/>
  <c r="E19" i="138" s="1"/>
  <c r="E21" i="138" s="1"/>
  <c r="E10" i="138"/>
  <c r="E7" i="138"/>
  <c r="E6" i="138"/>
  <c r="N4" i="138"/>
  <c r="M4" i="138"/>
  <c r="L4" i="138"/>
  <c r="L8" i="138" s="1"/>
  <c r="K4" i="138"/>
  <c r="J4" i="138"/>
  <c r="J8" i="138" s="1"/>
  <c r="J22" i="138" s="1"/>
  <c r="I4" i="138"/>
  <c r="H4" i="138"/>
  <c r="G4" i="138"/>
  <c r="F4" i="138"/>
  <c r="E4" i="138"/>
  <c r="C1" i="138"/>
  <c r="K142" i="137"/>
  <c r="D142" i="137"/>
  <c r="C142" i="137"/>
  <c r="I141" i="137"/>
  <c r="I143" i="137" s="1"/>
  <c r="I145" i="137" s="1"/>
  <c r="H141" i="137"/>
  <c r="H143" i="137" s="1"/>
  <c r="H145" i="137" s="1"/>
  <c r="G141" i="137"/>
  <c r="G143" i="137" s="1"/>
  <c r="G145" i="137" s="1"/>
  <c r="K140" i="137"/>
  <c r="D140" i="137"/>
  <c r="C140" i="137" s="1"/>
  <c r="K139" i="137"/>
  <c r="D139" i="137"/>
  <c r="C139" i="137"/>
  <c r="K138" i="137"/>
  <c r="D138" i="137"/>
  <c r="C138" i="137" s="1"/>
  <c r="K137" i="137"/>
  <c r="D137" i="137"/>
  <c r="C137" i="137"/>
  <c r="K136" i="137"/>
  <c r="D136" i="137"/>
  <c r="C136" i="137" s="1"/>
  <c r="K135" i="137"/>
  <c r="D135" i="137"/>
  <c r="C135" i="137"/>
  <c r="K134" i="137"/>
  <c r="D134" i="137"/>
  <c r="C134" i="137" s="1"/>
  <c r="K133" i="137"/>
  <c r="D133" i="137"/>
  <c r="C133" i="137"/>
  <c r="K132" i="137"/>
  <c r="D132" i="137"/>
  <c r="K131" i="137"/>
  <c r="D131" i="137"/>
  <c r="C131" i="137"/>
  <c r="K130" i="137"/>
  <c r="D130" i="137"/>
  <c r="C130" i="137" s="1"/>
  <c r="K129" i="137"/>
  <c r="D129" i="137"/>
  <c r="C129" i="137"/>
  <c r="K128" i="137"/>
  <c r="D128" i="137"/>
  <c r="C128" i="137" s="1"/>
  <c r="C127" i="137" s="1"/>
  <c r="N127" i="137"/>
  <c r="N17" i="138" s="1"/>
  <c r="M127" i="137"/>
  <c r="M17" i="138" s="1"/>
  <c r="L127" i="137"/>
  <c r="L17" i="138" s="1"/>
  <c r="K17" i="138" s="1"/>
  <c r="K127" i="137"/>
  <c r="J127" i="137"/>
  <c r="J17" i="138" s="1"/>
  <c r="I127" i="137"/>
  <c r="I17" i="138" s="1"/>
  <c r="H127" i="137"/>
  <c r="G127" i="137"/>
  <c r="F127" i="137"/>
  <c r="F141" i="137" s="1"/>
  <c r="F143" i="137" s="1"/>
  <c r="F145" i="137" s="1"/>
  <c r="E127" i="137"/>
  <c r="K126" i="137"/>
  <c r="D126" i="137"/>
  <c r="C126" i="137"/>
  <c r="K125" i="137"/>
  <c r="D125" i="137"/>
  <c r="C125" i="137" s="1"/>
  <c r="K124" i="137"/>
  <c r="D124" i="137"/>
  <c r="C124" i="137"/>
  <c r="K123" i="137"/>
  <c r="D123" i="137"/>
  <c r="C123" i="137" s="1"/>
  <c r="K122" i="137"/>
  <c r="D122" i="137"/>
  <c r="C122" i="137"/>
  <c r="K121" i="137"/>
  <c r="D121" i="137"/>
  <c r="C121" i="137" s="1"/>
  <c r="K120" i="137"/>
  <c r="D120" i="137"/>
  <c r="C120" i="137"/>
  <c r="K119" i="137"/>
  <c r="D119" i="137"/>
  <c r="C119" i="137" s="1"/>
  <c r="K118" i="137"/>
  <c r="D118" i="137"/>
  <c r="C118" i="137"/>
  <c r="K117" i="137"/>
  <c r="D117" i="137"/>
  <c r="C117" i="137" s="1"/>
  <c r="K116" i="137"/>
  <c r="D116" i="137"/>
  <c r="C116" i="137"/>
  <c r="K115" i="137"/>
  <c r="D115" i="137"/>
  <c r="C115" i="137" s="1"/>
  <c r="K114" i="137"/>
  <c r="D114" i="137"/>
  <c r="C114" i="137"/>
  <c r="K113" i="137"/>
  <c r="D113" i="137"/>
  <c r="C113" i="137" s="1"/>
  <c r="K112" i="137"/>
  <c r="D112" i="137"/>
  <c r="C112" i="137"/>
  <c r="K111" i="137"/>
  <c r="D111" i="137"/>
  <c r="C111" i="137" s="1"/>
  <c r="K110" i="137"/>
  <c r="K109" i="137" s="1"/>
  <c r="D110" i="137"/>
  <c r="C110" i="137"/>
  <c r="N109" i="137"/>
  <c r="N16" i="138" s="1"/>
  <c r="M109" i="137"/>
  <c r="M16" i="138" s="1"/>
  <c r="L109" i="137"/>
  <c r="L16" i="138" s="1"/>
  <c r="K16" i="138" s="1"/>
  <c r="J109" i="137"/>
  <c r="J16" i="138" s="1"/>
  <c r="I109" i="137"/>
  <c r="I16" i="138" s="1"/>
  <c r="H109" i="137"/>
  <c r="G109" i="137"/>
  <c r="G16" i="138" s="1"/>
  <c r="F109" i="137"/>
  <c r="F16" i="138" s="1"/>
  <c r="E109" i="137"/>
  <c r="E141" i="137" s="1"/>
  <c r="E143" i="137" s="1"/>
  <c r="E145" i="137" s="1"/>
  <c r="K108" i="137"/>
  <c r="D108" i="137"/>
  <c r="C108" i="137" s="1"/>
  <c r="K107" i="137"/>
  <c r="D107" i="137"/>
  <c r="C107" i="137"/>
  <c r="K106" i="137"/>
  <c r="D106" i="137"/>
  <c r="C106" i="137" s="1"/>
  <c r="K105" i="137"/>
  <c r="D105" i="137"/>
  <c r="C105" i="137"/>
  <c r="K104" i="137"/>
  <c r="D104" i="137"/>
  <c r="C104" i="137" s="1"/>
  <c r="K103" i="137"/>
  <c r="D103" i="137"/>
  <c r="C103" i="137"/>
  <c r="K102" i="137"/>
  <c r="D102" i="137"/>
  <c r="C102" i="137" s="1"/>
  <c r="K101" i="137"/>
  <c r="D101" i="137"/>
  <c r="C101" i="137"/>
  <c r="K100" i="137"/>
  <c r="D100" i="137"/>
  <c r="C100" i="137" s="1"/>
  <c r="K99" i="137"/>
  <c r="D99" i="137"/>
  <c r="C99" i="137"/>
  <c r="K98" i="137"/>
  <c r="D98" i="137"/>
  <c r="C98" i="137" s="1"/>
  <c r="K97" i="137"/>
  <c r="D97" i="137"/>
  <c r="C97" i="137"/>
  <c r="K96" i="137"/>
  <c r="D96" i="137"/>
  <c r="C96" i="137" s="1"/>
  <c r="K95" i="137"/>
  <c r="D95" i="137"/>
  <c r="C95" i="137"/>
  <c r="K94" i="137"/>
  <c r="D94" i="137"/>
  <c r="C94" i="137" s="1"/>
  <c r="K93" i="137"/>
  <c r="D93" i="137"/>
  <c r="C93" i="137"/>
  <c r="K92" i="137"/>
  <c r="D92" i="137"/>
  <c r="C92" i="137" s="1"/>
  <c r="K91" i="137"/>
  <c r="D91" i="137"/>
  <c r="C91" i="137"/>
  <c r="K90" i="137"/>
  <c r="D90" i="137"/>
  <c r="C90" i="137" s="1"/>
  <c r="K89" i="137"/>
  <c r="D89" i="137"/>
  <c r="C89" i="137"/>
  <c r="K88" i="137"/>
  <c r="D88" i="137"/>
  <c r="C88" i="137" s="1"/>
  <c r="K87" i="137"/>
  <c r="D87" i="137"/>
  <c r="C87" i="137"/>
  <c r="K86" i="137"/>
  <c r="D86" i="137"/>
  <c r="C86" i="137" s="1"/>
  <c r="K85" i="137"/>
  <c r="D85" i="137"/>
  <c r="C85" i="137"/>
  <c r="K84" i="137"/>
  <c r="D84" i="137"/>
  <c r="C84" i="137" s="1"/>
  <c r="K83" i="137"/>
  <c r="D83" i="137"/>
  <c r="C83" i="137"/>
  <c r="K82" i="137"/>
  <c r="D82" i="137"/>
  <c r="C82" i="137" s="1"/>
  <c r="K81" i="137"/>
  <c r="D81" i="137"/>
  <c r="C81" i="137"/>
  <c r="K80" i="137"/>
  <c r="D80" i="137"/>
  <c r="C80" i="137" s="1"/>
  <c r="K79" i="137"/>
  <c r="D79" i="137"/>
  <c r="C79" i="137"/>
  <c r="K78" i="137"/>
  <c r="D78" i="137"/>
  <c r="C78" i="137" s="1"/>
  <c r="K77" i="137"/>
  <c r="K73" i="137" s="1"/>
  <c r="D77" i="137"/>
  <c r="C77" i="137"/>
  <c r="K76" i="137"/>
  <c r="D76" i="137"/>
  <c r="C76" i="137" s="1"/>
  <c r="K75" i="137"/>
  <c r="D75" i="137"/>
  <c r="C75" i="137"/>
  <c r="K74" i="137"/>
  <c r="D74" i="137"/>
  <c r="C74" i="137" s="1"/>
  <c r="N73" i="137"/>
  <c r="N12" i="138" s="1"/>
  <c r="M73" i="137"/>
  <c r="M12" i="138" s="1"/>
  <c r="L73" i="137"/>
  <c r="L12" i="138" s="1"/>
  <c r="K12" i="138" s="1"/>
  <c r="J73" i="137"/>
  <c r="J12" i="138" s="1"/>
  <c r="I73" i="137"/>
  <c r="I12" i="138" s="1"/>
  <c r="H73" i="137"/>
  <c r="H12" i="138" s="1"/>
  <c r="G73" i="137"/>
  <c r="G12" i="138" s="1"/>
  <c r="F73" i="137"/>
  <c r="F12" i="138" s="1"/>
  <c r="E73" i="137"/>
  <c r="K72" i="137"/>
  <c r="D72" i="137"/>
  <c r="C72" i="137"/>
  <c r="K71" i="137"/>
  <c r="D71" i="137"/>
  <c r="C71" i="137" s="1"/>
  <c r="K70" i="137"/>
  <c r="D70" i="137"/>
  <c r="C70" i="137"/>
  <c r="K69" i="137"/>
  <c r="D69" i="137"/>
  <c r="C69" i="137" s="1"/>
  <c r="K68" i="137"/>
  <c r="D68" i="137"/>
  <c r="C68" i="137"/>
  <c r="K67" i="137"/>
  <c r="D67" i="137"/>
  <c r="C67" i="137" s="1"/>
  <c r="K66" i="137"/>
  <c r="D66" i="137"/>
  <c r="C66" i="137"/>
  <c r="K65" i="137"/>
  <c r="D65" i="137"/>
  <c r="C65" i="137" s="1"/>
  <c r="K64" i="137"/>
  <c r="D64" i="137"/>
  <c r="C64" i="137"/>
  <c r="K63" i="137"/>
  <c r="D63" i="137"/>
  <c r="C63" i="137" s="1"/>
  <c r="C61" i="137" s="1"/>
  <c r="K62" i="137"/>
  <c r="D62" i="137"/>
  <c r="D61" i="137" s="1"/>
  <c r="C62" i="137"/>
  <c r="N61" i="137"/>
  <c r="M61" i="137"/>
  <c r="N11" i="138" s="1"/>
  <c r="N19" i="138" s="1"/>
  <c r="N21" i="138" s="1"/>
  <c r="L61" i="137"/>
  <c r="M11" i="138" s="1"/>
  <c r="N60" i="137"/>
  <c r="N10" i="138" s="1"/>
  <c r="M60" i="137"/>
  <c r="M10" i="138" s="1"/>
  <c r="L60" i="137"/>
  <c r="K60" i="137" s="1"/>
  <c r="J60" i="137"/>
  <c r="J10" i="138" s="1"/>
  <c r="I60" i="137"/>
  <c r="I10" i="138" s="1"/>
  <c r="H60" i="137"/>
  <c r="H10" i="138" s="1"/>
  <c r="G60" i="137"/>
  <c r="G10" i="138" s="1"/>
  <c r="F60" i="137"/>
  <c r="F10" i="138" s="1"/>
  <c r="E60" i="137"/>
  <c r="K59" i="137"/>
  <c r="D59" i="137"/>
  <c r="C59" i="137" s="1"/>
  <c r="K58" i="137"/>
  <c r="D58" i="137"/>
  <c r="C58" i="137"/>
  <c r="K57" i="137"/>
  <c r="D57" i="137"/>
  <c r="C57" i="137" s="1"/>
  <c r="K56" i="137"/>
  <c r="D56" i="137"/>
  <c r="C56" i="137"/>
  <c r="K55" i="137"/>
  <c r="D55" i="137"/>
  <c r="C55" i="137" s="1"/>
  <c r="K54" i="137"/>
  <c r="D54" i="137"/>
  <c r="C54" i="137"/>
  <c r="K53" i="137"/>
  <c r="D53" i="137"/>
  <c r="C53" i="137" s="1"/>
  <c r="K52" i="137"/>
  <c r="D52" i="137"/>
  <c r="C52" i="137"/>
  <c r="K51" i="137"/>
  <c r="D51" i="137"/>
  <c r="C51" i="137" s="1"/>
  <c r="C60" i="137" s="1"/>
  <c r="K48" i="137"/>
  <c r="D48" i="137"/>
  <c r="C48" i="137" s="1"/>
  <c r="K47" i="137"/>
  <c r="D47" i="137"/>
  <c r="C47" i="137"/>
  <c r="K46" i="137"/>
  <c r="D46" i="137"/>
  <c r="C46" i="137"/>
  <c r="K45" i="137"/>
  <c r="D45" i="137"/>
  <c r="C45" i="137"/>
  <c r="K44" i="137"/>
  <c r="D44" i="137"/>
  <c r="C44" i="137" s="1"/>
  <c r="K43" i="137"/>
  <c r="D43" i="137"/>
  <c r="C43" i="137"/>
  <c r="K42" i="137"/>
  <c r="D42" i="137"/>
  <c r="D40" i="137" s="1"/>
  <c r="C42" i="137"/>
  <c r="K41" i="137"/>
  <c r="K40" i="137" s="1"/>
  <c r="D41" i="137"/>
  <c r="C41" i="137"/>
  <c r="C40" i="137" s="1"/>
  <c r="N40" i="137"/>
  <c r="N49" i="137" s="1"/>
  <c r="M40" i="137"/>
  <c r="M49" i="137" s="1"/>
  <c r="L40" i="137"/>
  <c r="L49" i="137" s="1"/>
  <c r="J40" i="137"/>
  <c r="J49" i="137" s="1"/>
  <c r="I40" i="137"/>
  <c r="H40" i="137"/>
  <c r="H49" i="137" s="1"/>
  <c r="G40" i="137"/>
  <c r="G49" i="137" s="1"/>
  <c r="F40" i="137"/>
  <c r="F49" i="137" s="1"/>
  <c r="F146" i="137" s="1"/>
  <c r="E40" i="137"/>
  <c r="E49" i="137" s="1"/>
  <c r="K39" i="137"/>
  <c r="D39" i="137"/>
  <c r="C39" i="137" s="1"/>
  <c r="K38" i="137"/>
  <c r="D38" i="137"/>
  <c r="C38" i="137"/>
  <c r="K37" i="137"/>
  <c r="D37" i="137"/>
  <c r="C37" i="137"/>
  <c r="K36" i="137"/>
  <c r="D36" i="137"/>
  <c r="C36" i="137"/>
  <c r="K35" i="137"/>
  <c r="D35" i="137"/>
  <c r="C35" i="137" s="1"/>
  <c r="K34" i="137"/>
  <c r="D34" i="137"/>
  <c r="C34" i="137"/>
  <c r="C33" i="137" s="1"/>
  <c r="N33" i="137"/>
  <c r="M33" i="137"/>
  <c r="L33" i="137"/>
  <c r="K33" i="137"/>
  <c r="J33" i="137"/>
  <c r="J7" i="138" s="1"/>
  <c r="I33" i="137"/>
  <c r="I7" i="138" s="1"/>
  <c r="H33" i="137"/>
  <c r="H7" i="138" s="1"/>
  <c r="G33" i="137"/>
  <c r="G7" i="138" s="1"/>
  <c r="F33" i="137"/>
  <c r="F7" i="138" s="1"/>
  <c r="E33" i="137"/>
  <c r="K32" i="137"/>
  <c r="D32" i="137"/>
  <c r="C32" i="137"/>
  <c r="C31" i="137" s="1"/>
  <c r="N31" i="137"/>
  <c r="N7" i="138" s="1"/>
  <c r="M31" i="137"/>
  <c r="M7" i="138" s="1"/>
  <c r="L31" i="137"/>
  <c r="L7" i="138" s="1"/>
  <c r="K31" i="137"/>
  <c r="D31" i="137"/>
  <c r="K30" i="137"/>
  <c r="D30" i="137"/>
  <c r="C30" i="137"/>
  <c r="D29" i="137"/>
  <c r="C29" i="137"/>
  <c r="K28" i="137"/>
  <c r="D28" i="137"/>
  <c r="C28" i="137" s="1"/>
  <c r="K27" i="137"/>
  <c r="D27" i="137"/>
  <c r="C27" i="137"/>
  <c r="K26" i="137"/>
  <c r="D26" i="137"/>
  <c r="C26" i="137"/>
  <c r="K25" i="137"/>
  <c r="D25" i="137"/>
  <c r="C25" i="137"/>
  <c r="K24" i="137"/>
  <c r="D24" i="137"/>
  <c r="C24" i="137" s="1"/>
  <c r="K23" i="137"/>
  <c r="D23" i="137"/>
  <c r="C23" i="137"/>
  <c r="K22" i="137"/>
  <c r="D22" i="137"/>
  <c r="C22" i="137"/>
  <c r="K21" i="137"/>
  <c r="D21" i="137"/>
  <c r="C21" i="137"/>
  <c r="K20" i="137"/>
  <c r="D20" i="137"/>
  <c r="C20" i="137" s="1"/>
  <c r="K19" i="137"/>
  <c r="D19" i="137"/>
  <c r="C19" i="137"/>
  <c r="K18" i="137"/>
  <c r="D18" i="137"/>
  <c r="C18" i="137"/>
  <c r="K17" i="137"/>
  <c r="D17" i="137"/>
  <c r="C17" i="137"/>
  <c r="K16" i="137"/>
  <c r="D16" i="137"/>
  <c r="C16" i="137" s="1"/>
  <c r="K15" i="137"/>
  <c r="K13" i="137" s="1"/>
  <c r="D15" i="137"/>
  <c r="C15" i="137"/>
  <c r="K14" i="137"/>
  <c r="D14" i="137"/>
  <c r="C14" i="137" s="1"/>
  <c r="N13" i="137"/>
  <c r="N6" i="138" s="1"/>
  <c r="M13" i="137"/>
  <c r="M6" i="138" s="1"/>
  <c r="L13" i="137"/>
  <c r="L6" i="138" s="1"/>
  <c r="J13" i="137"/>
  <c r="J6" i="138" s="1"/>
  <c r="I13" i="137"/>
  <c r="I6" i="138" s="1"/>
  <c r="H13" i="137"/>
  <c r="H6" i="138" s="1"/>
  <c r="G13" i="137"/>
  <c r="G6" i="138" s="1"/>
  <c r="F13" i="137"/>
  <c r="D13" i="137" s="1"/>
  <c r="E13" i="137"/>
  <c r="K12" i="137"/>
  <c r="D12" i="137"/>
  <c r="C12" i="137"/>
  <c r="K11" i="137"/>
  <c r="D11" i="137"/>
  <c r="C11" i="137" s="1"/>
  <c r="K10" i="137"/>
  <c r="D10" i="137"/>
  <c r="C10" i="137"/>
  <c r="K9" i="137"/>
  <c r="D9" i="137"/>
  <c r="C9" i="137" s="1"/>
  <c r="K8" i="137"/>
  <c r="D8" i="137"/>
  <c r="C8" i="137"/>
  <c r="K7" i="137"/>
  <c r="D7" i="137"/>
  <c r="C7" i="137" s="1"/>
  <c r="K6" i="137"/>
  <c r="D6" i="137"/>
  <c r="C6" i="137"/>
  <c r="N5" i="137"/>
  <c r="N5" i="138" s="1"/>
  <c r="N3" i="138" s="1"/>
  <c r="M5" i="137"/>
  <c r="M5" i="138" s="1"/>
  <c r="L5" i="137"/>
  <c r="L5" i="138" s="1"/>
  <c r="K5" i="137"/>
  <c r="J5" i="137"/>
  <c r="J5" i="138" s="1"/>
  <c r="J3" i="138" s="1"/>
  <c r="I5" i="137"/>
  <c r="I5" i="138" s="1"/>
  <c r="I3" i="138" s="1"/>
  <c r="H5" i="137"/>
  <c r="H5" i="138" s="1"/>
  <c r="H3" i="138" s="1"/>
  <c r="G5" i="137"/>
  <c r="G5" i="138" s="1"/>
  <c r="G3" i="138" s="1"/>
  <c r="F5" i="137"/>
  <c r="F5" i="138" s="1"/>
  <c r="E5" i="137"/>
  <c r="E3" i="137" s="1"/>
  <c r="K4" i="137"/>
  <c r="D4" i="137"/>
  <c r="C4" i="137" s="1"/>
  <c r="N3" i="137"/>
  <c r="L3" i="137"/>
  <c r="J3" i="137"/>
  <c r="H3" i="137"/>
  <c r="G3" i="137"/>
  <c r="F3" i="137"/>
  <c r="C1" i="137"/>
  <c r="M146" i="137" l="1"/>
  <c r="M8" i="138"/>
  <c r="L3" i="138"/>
  <c r="K5" i="138"/>
  <c r="N8" i="138"/>
  <c r="N22" i="138" s="1"/>
  <c r="M3" i="138"/>
  <c r="E146" i="137"/>
  <c r="D6" i="138"/>
  <c r="C6" i="138" s="1"/>
  <c r="L50" i="137"/>
  <c r="I50" i="137"/>
  <c r="H50" i="137"/>
  <c r="E50" i="137"/>
  <c r="D7" i="138"/>
  <c r="C5" i="137"/>
  <c r="K6" i="138"/>
  <c r="G146" i="137"/>
  <c r="M19" i="138"/>
  <c r="M21" i="138" s="1"/>
  <c r="E8" i="138"/>
  <c r="E22" i="138" s="1"/>
  <c r="D10" i="138"/>
  <c r="C10" i="138" s="1"/>
  <c r="H146" i="137"/>
  <c r="K7" i="138"/>
  <c r="G8" i="138"/>
  <c r="D16" i="138"/>
  <c r="C16" i="138" s="1"/>
  <c r="K8" i="138"/>
  <c r="F3" i="138"/>
  <c r="C13" i="137"/>
  <c r="C3" i="137" s="1"/>
  <c r="C49" i="137" s="1"/>
  <c r="C146" i="137" s="1"/>
  <c r="H8" i="138"/>
  <c r="G19" i="138"/>
  <c r="G21" i="138" s="1"/>
  <c r="K49" i="137"/>
  <c r="C73" i="137"/>
  <c r="C109" i="137"/>
  <c r="I8" i="138"/>
  <c r="I22" i="138" s="1"/>
  <c r="H21" i="138"/>
  <c r="D17" i="138"/>
  <c r="C17" i="138" s="1"/>
  <c r="D5" i="137"/>
  <c r="D4" i="138"/>
  <c r="C4" i="138" s="1"/>
  <c r="D11" i="138"/>
  <c r="E5" i="138"/>
  <c r="I3" i="137"/>
  <c r="D3" i="137" s="1"/>
  <c r="F50" i="137"/>
  <c r="D60" i="137"/>
  <c r="D109" i="137"/>
  <c r="J141" i="137"/>
  <c r="J143" i="137" s="1"/>
  <c r="J145" i="137" s="1"/>
  <c r="J146" i="137" s="1"/>
  <c r="F6" i="138"/>
  <c r="F8" i="138" s="1"/>
  <c r="F17" i="138"/>
  <c r="F19" i="138" s="1"/>
  <c r="F21" i="138" s="1"/>
  <c r="G50" i="137"/>
  <c r="K61" i="137"/>
  <c r="L11" i="138" s="1"/>
  <c r="C132" i="137"/>
  <c r="C141" i="137" s="1"/>
  <c r="C143" i="137" s="1"/>
  <c r="C145" i="137" s="1"/>
  <c r="L141" i="137"/>
  <c r="L143" i="137" s="1"/>
  <c r="L145" i="137" s="1"/>
  <c r="L146" i="137" s="1"/>
  <c r="D73" i="137"/>
  <c r="D127" i="137"/>
  <c r="D141" i="137" s="1"/>
  <c r="D143" i="137" s="1"/>
  <c r="D145" i="137" s="1"/>
  <c r="M141" i="137"/>
  <c r="M143" i="137" s="1"/>
  <c r="M145" i="137" s="1"/>
  <c r="M3" i="137"/>
  <c r="K3" i="137" s="1"/>
  <c r="J50" i="137"/>
  <c r="N141" i="137"/>
  <c r="N143" i="137" s="1"/>
  <c r="N145" i="137" s="1"/>
  <c r="N146" i="137" s="1"/>
  <c r="D33" i="137"/>
  <c r="M50" i="137"/>
  <c r="L10" i="138"/>
  <c r="K10" i="138" s="1"/>
  <c r="N50" i="137"/>
  <c r="D76" i="75"/>
  <c r="I15" i="75"/>
  <c r="G34" i="1"/>
  <c r="G33" i="1"/>
  <c r="L24" i="75"/>
  <c r="L25" i="75"/>
  <c r="F22" i="138" l="1"/>
  <c r="G22" i="138"/>
  <c r="I49" i="137"/>
  <c r="K3" i="138"/>
  <c r="L19" i="138"/>
  <c r="K11" i="138"/>
  <c r="C11" i="138" s="1"/>
  <c r="C7" i="138"/>
  <c r="M22" i="138"/>
  <c r="E3" i="138"/>
  <c r="D3" i="138" s="1"/>
  <c r="D8" i="138" s="1"/>
  <c r="D5" i="138"/>
  <c r="C5" i="138" s="1"/>
  <c r="C3" i="138" s="1"/>
  <c r="H22" i="138"/>
  <c r="D19" i="138"/>
  <c r="K141" i="137"/>
  <c r="K143" i="137" s="1"/>
  <c r="K145" i="137" s="1"/>
  <c r="K146" i="137" s="1"/>
  <c r="K12" i="75"/>
  <c r="K11" i="75"/>
  <c r="H27" i="73"/>
  <c r="I27" i="73" s="1"/>
  <c r="H112" i="73"/>
  <c r="I112" i="73" s="1"/>
  <c r="B18" i="134"/>
  <c r="C9" i="134"/>
  <c r="F4" i="134"/>
  <c r="G157" i="128"/>
  <c r="G159" i="128"/>
  <c r="G160" i="128"/>
  <c r="I160" i="128" s="1"/>
  <c r="G156" i="128"/>
  <c r="G151" i="128"/>
  <c r="I152" i="128"/>
  <c r="G158" i="128" s="1"/>
  <c r="I158" i="128" s="1"/>
  <c r="G153" i="128"/>
  <c r="I153" i="128" s="1"/>
  <c r="G154" i="128"/>
  <c r="G150" i="128"/>
  <c r="H161" i="128"/>
  <c r="I156" i="128"/>
  <c r="H155" i="128"/>
  <c r="I154" i="128"/>
  <c r="I151" i="128"/>
  <c r="I150" i="128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25" i="103"/>
  <c r="J14" i="103"/>
  <c r="J12" i="103"/>
  <c r="C35" i="134"/>
  <c r="C26" i="134"/>
  <c r="C17" i="134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C4" i="134"/>
  <c r="B5" i="134"/>
  <c r="B6" i="134"/>
  <c r="B7" i="134"/>
  <c r="B8" i="134"/>
  <c r="B4" i="134"/>
  <c r="C153" i="132"/>
  <c r="E143" i="132"/>
  <c r="D143" i="132"/>
  <c r="F141" i="132"/>
  <c r="F140" i="132"/>
  <c r="F138" i="132"/>
  <c r="E138" i="132"/>
  <c r="F136" i="132"/>
  <c r="F143" i="132" s="1"/>
  <c r="C155" i="132" s="1"/>
  <c r="D132" i="132"/>
  <c r="F131" i="132"/>
  <c r="E131" i="132" s="1"/>
  <c r="E132" i="132" s="1"/>
  <c r="F130" i="132"/>
  <c r="F129" i="132"/>
  <c r="F132" i="132" s="1"/>
  <c r="C154" i="132" s="1"/>
  <c r="E125" i="132"/>
  <c r="D125" i="132"/>
  <c r="F124" i="132"/>
  <c r="E120" i="132"/>
  <c r="B120" i="132"/>
  <c r="F118" i="132"/>
  <c r="E118" i="132"/>
  <c r="D118" i="132"/>
  <c r="D117" i="132"/>
  <c r="D120" i="132" s="1"/>
  <c r="B149" i="132" s="1"/>
  <c r="F116" i="132"/>
  <c r="E116" i="132"/>
  <c r="D116" i="132"/>
  <c r="F115" i="132"/>
  <c r="F114" i="132"/>
  <c r="B103" i="132"/>
  <c r="B101" i="132"/>
  <c r="B92" i="132"/>
  <c r="B86" i="132"/>
  <c r="B84" i="132"/>
  <c r="B75" i="132"/>
  <c r="E63" i="132"/>
  <c r="D63" i="132"/>
  <c r="F59" i="132"/>
  <c r="F58" i="132"/>
  <c r="F57" i="132"/>
  <c r="F56" i="132"/>
  <c r="F63" i="132" s="1"/>
  <c r="C72" i="132" s="1"/>
  <c r="D51" i="132"/>
  <c r="E49" i="132"/>
  <c r="F49" i="132" s="1"/>
  <c r="F47" i="132"/>
  <c r="E47" i="132" s="1"/>
  <c r="F46" i="132"/>
  <c r="F45" i="132"/>
  <c r="E44" i="132"/>
  <c r="F44" i="132" s="1"/>
  <c r="F43" i="132"/>
  <c r="F37" i="132"/>
  <c r="C73" i="132" s="1"/>
  <c r="E37" i="132"/>
  <c r="D37" i="132"/>
  <c r="E29" i="132"/>
  <c r="D29" i="132"/>
  <c r="B29" i="132"/>
  <c r="F27" i="132"/>
  <c r="F26" i="132"/>
  <c r="F25" i="132"/>
  <c r="F24" i="132"/>
  <c r="F23" i="132"/>
  <c r="F22" i="132"/>
  <c r="F29" i="132" s="1"/>
  <c r="C70" i="132" s="1"/>
  <c r="D18" i="132"/>
  <c r="B66" i="132" s="1"/>
  <c r="B18" i="132"/>
  <c r="F16" i="132"/>
  <c r="E16" i="132"/>
  <c r="D14" i="132"/>
  <c r="E11" i="132"/>
  <c r="D11" i="132"/>
  <c r="F11" i="132" s="1"/>
  <c r="D10" i="132"/>
  <c r="E10" i="132" s="1"/>
  <c r="F10" i="132" s="1"/>
  <c r="D9" i="132"/>
  <c r="F8" i="132"/>
  <c r="D8" i="132"/>
  <c r="F7" i="132"/>
  <c r="D7" i="132"/>
  <c r="E6" i="132"/>
  <c r="F6" i="132" s="1"/>
  <c r="J84" i="128"/>
  <c r="J85" i="128"/>
  <c r="J86" i="128"/>
  <c r="J87" i="128"/>
  <c r="J88" i="128"/>
  <c r="J82" i="128"/>
  <c r="J79" i="128"/>
  <c r="J81" i="128"/>
  <c r="M80" i="128"/>
  <c r="K80" i="128"/>
  <c r="K86" i="128" s="1"/>
  <c r="M86" i="128" s="1"/>
  <c r="K82" i="128"/>
  <c r="J144" i="128"/>
  <c r="J146" i="128"/>
  <c r="J10" i="128"/>
  <c r="J9" i="128"/>
  <c r="J7" i="128"/>
  <c r="H149" i="128"/>
  <c r="G149" i="128"/>
  <c r="I148" i="128"/>
  <c r="C8" i="134" s="1"/>
  <c r="I147" i="128"/>
  <c r="C7" i="134" s="1"/>
  <c r="I146" i="128"/>
  <c r="C6" i="134" s="1"/>
  <c r="I145" i="128"/>
  <c r="K79" i="128" s="1"/>
  <c r="I144" i="128"/>
  <c r="K78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C51" i="135" l="1"/>
  <c r="B51" i="135"/>
  <c r="G25" i="135"/>
  <c r="L21" i="138"/>
  <c r="L22" i="138" s="1"/>
  <c r="K19" i="138"/>
  <c r="K21" i="138" s="1"/>
  <c r="K22" i="138" s="1"/>
  <c r="C8" i="138"/>
  <c r="I146" i="137"/>
  <c r="D49" i="137"/>
  <c r="D146" i="137" s="1"/>
  <c r="D21" i="138"/>
  <c r="D22" i="138" s="1"/>
  <c r="C19" i="138"/>
  <c r="C21" i="138" s="1"/>
  <c r="G161" i="128"/>
  <c r="I155" i="128"/>
  <c r="I159" i="128"/>
  <c r="I161" i="128" s="1"/>
  <c r="G155" i="128"/>
  <c r="L78" i="128"/>
  <c r="M78" i="128"/>
  <c r="K84" i="128" s="1"/>
  <c r="K88" i="128"/>
  <c r="L88" i="128" s="1"/>
  <c r="M79" i="128"/>
  <c r="L79" i="128"/>
  <c r="I131" i="128"/>
  <c r="C5" i="134"/>
  <c r="L5" i="134" s="1"/>
  <c r="K7" i="134"/>
  <c r="M82" i="128"/>
  <c r="L82" i="128"/>
  <c r="M6" i="134"/>
  <c r="K81" i="128"/>
  <c r="K83" i="128" s="1"/>
  <c r="O4" i="134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B15" i="134"/>
  <c r="L15" i="134" s="1"/>
  <c r="L4" i="134"/>
  <c r="M7" i="134"/>
  <c r="B14" i="134"/>
  <c r="P14" i="134" s="1"/>
  <c r="G4" i="134"/>
  <c r="I8" i="134"/>
  <c r="H4" i="134"/>
  <c r="J4" i="134"/>
  <c r="I4" i="134"/>
  <c r="O7" i="134"/>
  <c r="M8" i="134"/>
  <c r="O8" i="134"/>
  <c r="Q30" i="134"/>
  <c r="M15" i="134"/>
  <c r="B13" i="134"/>
  <c r="H7" i="134"/>
  <c r="J6" i="134"/>
  <c r="N4" i="134"/>
  <c r="P4" i="134"/>
  <c r="G15" i="134"/>
  <c r="O15" i="134"/>
  <c r="K8" i="134"/>
  <c r="L7" i="134"/>
  <c r="N5" i="134"/>
  <c r="B24" i="134"/>
  <c r="J8" i="134"/>
  <c r="P6" i="134"/>
  <c r="G14" i="134"/>
  <c r="J7" i="134"/>
  <c r="N7" i="134"/>
  <c r="G6" i="134"/>
  <c r="K4" i="134"/>
  <c r="M4" i="134"/>
  <c r="N8" i="134"/>
  <c r="P7" i="134"/>
  <c r="J14" i="134"/>
  <c r="J15" i="134"/>
  <c r="H8" i="134"/>
  <c r="L8" i="134"/>
  <c r="B12" i="134"/>
  <c r="E12" i="134" s="1"/>
  <c r="Q12" i="134" s="1"/>
  <c r="G7" i="134"/>
  <c r="I7" i="134"/>
  <c r="P8" i="134"/>
  <c r="M14" i="134"/>
  <c r="K15" i="134"/>
  <c r="E15" i="134"/>
  <c r="B16" i="134"/>
  <c r="G8" i="134"/>
  <c r="K24" i="134"/>
  <c r="F8" i="134"/>
  <c r="F7" i="134"/>
  <c r="B150" i="132"/>
  <c r="F120" i="132"/>
  <c r="F51" i="132"/>
  <c r="C71" i="132" s="1"/>
  <c r="E9" i="132"/>
  <c r="E18" i="132" s="1"/>
  <c r="E14" i="132"/>
  <c r="F14" i="132" s="1"/>
  <c r="E51" i="132"/>
  <c r="F117" i="132"/>
  <c r="M88" i="128"/>
  <c r="K94" i="128" s="1"/>
  <c r="I149" i="128"/>
  <c r="I143" i="128"/>
  <c r="I137" i="128"/>
  <c r="K92" i="128"/>
  <c r="L92" i="128" s="1"/>
  <c r="K85" i="128"/>
  <c r="L85" i="128" s="1"/>
  <c r="B5" i="135" l="1"/>
  <c r="B4" i="135" s="1"/>
  <c r="D51" i="135"/>
  <c r="B61" i="135"/>
  <c r="C61" i="135"/>
  <c r="C22" i="138"/>
  <c r="L84" i="128"/>
  <c r="M84" i="128"/>
  <c r="K90" i="128" s="1"/>
  <c r="L90" i="128" s="1"/>
  <c r="F5" i="134"/>
  <c r="Q5" i="134" s="1"/>
  <c r="I14" i="103" s="1"/>
  <c r="I5" i="134"/>
  <c r="O5" i="134"/>
  <c r="H5" i="134"/>
  <c r="M94" i="128"/>
  <c r="L94" i="128"/>
  <c r="J5" i="134"/>
  <c r="P15" i="134"/>
  <c r="M81" i="128"/>
  <c r="L81" i="128"/>
  <c r="G5" i="134"/>
  <c r="K5" i="134"/>
  <c r="B23" i="134"/>
  <c r="J23" i="134" s="1"/>
  <c r="H15" i="134"/>
  <c r="N15" i="134"/>
  <c r="M5" i="134"/>
  <c r="I15" i="134"/>
  <c r="P5" i="134"/>
  <c r="F15" i="134"/>
  <c r="D41" i="135"/>
  <c r="D21" i="135"/>
  <c r="D33" i="135"/>
  <c r="Q7" i="134"/>
  <c r="I19" i="103" s="1"/>
  <c r="Q6" i="134"/>
  <c r="I17" i="103" s="1"/>
  <c r="Q4" i="134"/>
  <c r="I12" i="103" s="1"/>
  <c r="M23" i="134"/>
  <c r="L24" i="134"/>
  <c r="N24" i="134"/>
  <c r="M24" i="134"/>
  <c r="B33" i="134"/>
  <c r="F24" i="134"/>
  <c r="E24" i="134"/>
  <c r="P16" i="134"/>
  <c r="H16" i="134"/>
  <c r="O16" i="134"/>
  <c r="G16" i="134"/>
  <c r="N16" i="134"/>
  <c r="F16" i="134"/>
  <c r="M16" i="134"/>
  <c r="E16" i="134"/>
  <c r="L16" i="134"/>
  <c r="B25" i="134"/>
  <c r="K16" i="134"/>
  <c r="I16" i="134"/>
  <c r="J16" i="134"/>
  <c r="P23" i="134"/>
  <c r="B32" i="134"/>
  <c r="Q15" i="134"/>
  <c r="J24" i="134"/>
  <c r="P24" i="134"/>
  <c r="Q14" i="134"/>
  <c r="Q21" i="134"/>
  <c r="I24" i="134"/>
  <c r="H24" i="134"/>
  <c r="G23" i="134"/>
  <c r="B22" i="134"/>
  <c r="E22" i="134" s="1"/>
  <c r="L13" i="134"/>
  <c r="K13" i="134"/>
  <c r="J13" i="134"/>
  <c r="E13" i="134"/>
  <c r="I13" i="134"/>
  <c r="P13" i="134"/>
  <c r="H13" i="134"/>
  <c r="O13" i="134"/>
  <c r="G13" i="134"/>
  <c r="M13" i="134"/>
  <c r="N13" i="134"/>
  <c r="F13" i="134"/>
  <c r="G24" i="134"/>
  <c r="O24" i="134"/>
  <c r="Q8" i="134"/>
  <c r="B67" i="132"/>
  <c r="B68" i="132" s="1"/>
  <c r="B77" i="132" s="1"/>
  <c r="B94" i="132" s="1"/>
  <c r="B152" i="132"/>
  <c r="B151" i="132"/>
  <c r="F9" i="132"/>
  <c r="F18" i="132" s="1"/>
  <c r="B69" i="132" s="1"/>
  <c r="M90" i="128"/>
  <c r="M85" i="128"/>
  <c r="M92" i="128"/>
  <c r="K98" i="128" s="1"/>
  <c r="K100" i="128"/>
  <c r="K96" i="128"/>
  <c r="L96" i="128" s="1"/>
  <c r="C4" i="135" l="1"/>
  <c r="D61" i="135"/>
  <c r="L83" i="128"/>
  <c r="K87" i="128"/>
  <c r="M83" i="128"/>
  <c r="M100" i="128"/>
  <c r="L100" i="128"/>
  <c r="Q23" i="134"/>
  <c r="Q24" i="134"/>
  <c r="J33" i="134"/>
  <c r="K33" i="134"/>
  <c r="G33" i="134"/>
  <c r="I33" i="134"/>
  <c r="O33" i="134"/>
  <c r="F33" i="134"/>
  <c r="E33" i="134"/>
  <c r="L33" i="134"/>
  <c r="M33" i="134"/>
  <c r="H33" i="134"/>
  <c r="N33" i="134"/>
  <c r="P33" i="134"/>
  <c r="Q13" i="134"/>
  <c r="Q17" i="134" s="1"/>
  <c r="G32" i="134"/>
  <c r="M32" i="134"/>
  <c r="J32" i="134"/>
  <c r="P32" i="134"/>
  <c r="B31" i="134"/>
  <c r="O22" i="134"/>
  <c r="P22" i="134"/>
  <c r="I22" i="134"/>
  <c r="N22" i="134"/>
  <c r="F22" i="134"/>
  <c r="J22" i="134"/>
  <c r="M22" i="134"/>
  <c r="G22" i="134"/>
  <c r="H22" i="134"/>
  <c r="K22" i="134"/>
  <c r="L22" i="134"/>
  <c r="O25" i="134"/>
  <c r="P25" i="134"/>
  <c r="G25" i="134"/>
  <c r="N25" i="134"/>
  <c r="F25" i="134"/>
  <c r="M25" i="134"/>
  <c r="E25" i="134"/>
  <c r="L25" i="134"/>
  <c r="K25" i="134"/>
  <c r="J25" i="134"/>
  <c r="H25" i="134"/>
  <c r="B34" i="134"/>
  <c r="I25" i="134"/>
  <c r="Q16" i="134"/>
  <c r="Q9" i="134"/>
  <c r="B10" i="134" s="1"/>
  <c r="I21" i="103"/>
  <c r="M96" i="128"/>
  <c r="K102" i="128" s="1"/>
  <c r="L102" i="128" s="1"/>
  <c r="K91" i="128"/>
  <c r="M98" i="128"/>
  <c r="K104" i="128"/>
  <c r="M104" i="128" s="1"/>
  <c r="K106" i="128"/>
  <c r="M106" i="128" l="1"/>
  <c r="L106" i="128"/>
  <c r="L87" i="128"/>
  <c r="M87" i="128"/>
  <c r="K89" i="128"/>
  <c r="L91" i="128"/>
  <c r="Q33" i="134"/>
  <c r="K31" i="134"/>
  <c r="L31" i="134"/>
  <c r="I31" i="134"/>
  <c r="E31" i="134"/>
  <c r="N31" i="134"/>
  <c r="M31" i="134"/>
  <c r="O31" i="134"/>
  <c r="G31" i="134"/>
  <c r="H31" i="134"/>
  <c r="J31" i="134"/>
  <c r="F31" i="134"/>
  <c r="P31" i="134"/>
  <c r="Q32" i="134"/>
  <c r="Q25" i="134"/>
  <c r="Q22" i="134"/>
  <c r="Q26" i="134" s="1"/>
  <c r="B27" i="134" s="1"/>
  <c r="L34" i="134"/>
  <c r="M34" i="134"/>
  <c r="O34" i="134"/>
  <c r="H34" i="134"/>
  <c r="P34" i="134"/>
  <c r="I34" i="134"/>
  <c r="F34" i="134"/>
  <c r="G34" i="134"/>
  <c r="E34" i="134"/>
  <c r="J34" i="134"/>
  <c r="N34" i="134"/>
  <c r="K34" i="134"/>
  <c r="M91" i="128"/>
  <c r="K97" i="128" s="1"/>
  <c r="M102" i="128"/>
  <c r="K108" i="128" s="1"/>
  <c r="L108" i="128" s="1"/>
  <c r="K112" i="128"/>
  <c r="K110" i="128"/>
  <c r="L110" i="128" s="1"/>
  <c r="L89" i="128" l="1"/>
  <c r="L97" i="128"/>
  <c r="K93" i="128"/>
  <c r="M89" i="128"/>
  <c r="M112" i="128"/>
  <c r="L112" i="128"/>
  <c r="Q31" i="134"/>
  <c r="Q34" i="134"/>
  <c r="M110" i="128"/>
  <c r="K116" i="128" s="1"/>
  <c r="M116" i="128" s="1"/>
  <c r="M97" i="128"/>
  <c r="M108" i="128"/>
  <c r="K114" i="128" s="1"/>
  <c r="L114" i="128" s="1"/>
  <c r="K118" i="128"/>
  <c r="L118" i="128" s="1"/>
  <c r="L93" i="128" l="1"/>
  <c r="K95" i="128"/>
  <c r="M93" i="128"/>
  <c r="M118" i="128"/>
  <c r="K124" i="128" s="1"/>
  <c r="Q35" i="134"/>
  <c r="B36" i="134" s="1"/>
  <c r="K103" i="128"/>
  <c r="L103" i="128" s="1"/>
  <c r="M114" i="128"/>
  <c r="K120" i="128" s="1"/>
  <c r="L120" i="128" s="1"/>
  <c r="K122" i="128"/>
  <c r="M122" i="128" s="1"/>
  <c r="M124" i="128" l="1"/>
  <c r="L124" i="128"/>
  <c r="K99" i="128"/>
  <c r="M95" i="128"/>
  <c r="L95" i="128"/>
  <c r="M103" i="128"/>
  <c r="M120" i="128"/>
  <c r="K126" i="128" s="1"/>
  <c r="L126" i="128" s="1"/>
  <c r="K130" i="128"/>
  <c r="K128" i="128"/>
  <c r="L128" i="128" s="1"/>
  <c r="M130" i="128" l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K136" i="128"/>
  <c r="L136" i="128" s="1"/>
  <c r="M109" i="128" l="1"/>
  <c r="L101" i="128"/>
  <c r="K105" i="128"/>
  <c r="M101" i="128"/>
  <c r="M132" i="128"/>
  <c r="M134" i="128"/>
  <c r="K140" i="128" s="1"/>
  <c r="M136" i="128"/>
  <c r="K142" i="128" s="1"/>
  <c r="L142" i="128" l="1"/>
  <c r="M105" i="128"/>
  <c r="M107" i="128" s="1"/>
  <c r="L105" i="128"/>
  <c r="K111" i="128"/>
  <c r="M111" i="128"/>
  <c r="K117" i="128" s="1"/>
  <c r="K119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38" i="128" s="1"/>
  <c r="K138" i="128"/>
  <c r="L111" i="128" l="1"/>
  <c r="L113" i="128" s="1"/>
  <c r="M117" i="128"/>
  <c r="K113" i="128"/>
  <c r="L107" i="128"/>
  <c r="M113" i="128"/>
  <c r="L117" i="128"/>
  <c r="L119" i="128" s="1"/>
  <c r="K123" i="128"/>
  <c r="M123" i="128" s="1"/>
  <c r="K129" i="128" s="1"/>
  <c r="M119" i="128"/>
  <c r="L138" i="128"/>
  <c r="L340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L129" i="128" l="1"/>
  <c r="L336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O78" i="128" l="1"/>
  <c r="P78" i="128" s="1"/>
  <c r="M135" i="128"/>
  <c r="K141" i="128" s="1"/>
  <c r="O88" i="128"/>
  <c r="P88" i="128" s="1"/>
  <c r="K127" i="128"/>
  <c r="L127" i="128" s="1"/>
  <c r="M141" i="128" l="1"/>
  <c r="L141" i="128"/>
  <c r="K147" i="128"/>
  <c r="L147" i="128" s="1"/>
  <c r="Q81" i="128"/>
  <c r="M147" i="128"/>
  <c r="O81" i="128" s="1"/>
  <c r="L131" i="128"/>
  <c r="K131" i="128"/>
  <c r="M127" i="128"/>
  <c r="M131" i="128" s="1"/>
  <c r="P81" i="128" l="1"/>
  <c r="O87" i="128"/>
  <c r="P87" i="128" s="1"/>
  <c r="L339" i="128"/>
  <c r="K133" i="128"/>
  <c r="L133" i="128" s="1"/>
  <c r="L137" i="128" l="1"/>
  <c r="K137" i="128"/>
  <c r="M133" i="128"/>
  <c r="M137" i="128" s="1"/>
  <c r="K139" i="128" l="1"/>
  <c r="L139" i="128" l="1"/>
  <c r="L143" i="128" s="1"/>
  <c r="K143" i="128"/>
  <c r="M139" i="128"/>
  <c r="M143" i="128" s="1"/>
  <c r="K145" i="128" l="1"/>
  <c r="L145" i="128" s="1"/>
  <c r="L337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31" i="128" s="1"/>
  <c r="L77" i="128"/>
  <c r="K77" i="128"/>
  <c r="N91" i="111"/>
  <c r="N92" i="111"/>
  <c r="N93" i="111" s="1"/>
  <c r="AK22" i="4"/>
  <c r="Q93" i="128" l="1"/>
  <c r="P93" i="128"/>
  <c r="Q94" i="128"/>
  <c r="P94" i="128"/>
  <c r="O99" i="128"/>
  <c r="P99" i="128" s="1"/>
  <c r="O95" i="128"/>
  <c r="O100" i="128"/>
  <c r="Q91" i="128"/>
  <c r="O97" i="128" s="1"/>
  <c r="P97" i="128" s="1"/>
  <c r="Q92" i="128"/>
  <c r="O98" i="128" s="1"/>
  <c r="Q89" i="128"/>
  <c r="Q132" i="128"/>
  <c r="O138" i="128" s="1"/>
  <c r="Q77" i="128"/>
  <c r="M77" i="128"/>
  <c r="F229" i="73"/>
  <c r="H234" i="73"/>
  <c r="H233" i="73"/>
  <c r="H232" i="73"/>
  <c r="H231" i="73"/>
  <c r="H230" i="73"/>
  <c r="L66" i="4"/>
  <c r="J22" i="94"/>
  <c r="K22" i="94" s="1"/>
  <c r="P95" i="128" l="1"/>
  <c r="Q100" i="128"/>
  <c r="P100" i="128"/>
  <c r="P101" i="128"/>
  <c r="O101" i="128"/>
  <c r="Q97" i="128"/>
  <c r="Q98" i="128"/>
  <c r="O106" i="128"/>
  <c r="Q95" i="128"/>
  <c r="Q99" i="128"/>
  <c r="Q138" i="128"/>
  <c r="O144" i="128" s="1"/>
  <c r="Q144" i="128" s="1"/>
  <c r="H229" i="73"/>
  <c r="M24" i="94"/>
  <c r="J23" i="94"/>
  <c r="K23" i="94" s="1"/>
  <c r="H275" i="94"/>
  <c r="L59" i="4"/>
  <c r="L38" i="4"/>
  <c r="L72" i="4"/>
  <c r="L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J24" i="94"/>
  <c r="K24" i="94" s="1"/>
  <c r="L26" i="4"/>
  <c r="L31" i="4"/>
  <c r="L37" i="4"/>
  <c r="L36" i="4"/>
  <c r="L28" i="4"/>
  <c r="L34" i="4"/>
  <c r="L69" i="4"/>
  <c r="Q24" i="94" s="1"/>
  <c r="L21" i="4"/>
  <c r="L22" i="4"/>
  <c r="R24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L32" i="4"/>
  <c r="L35" i="4"/>
  <c r="L27" i="4"/>
  <c r="R274" i="94"/>
  <c r="D206" i="73"/>
  <c r="D202" i="73"/>
  <c r="D201" i="73"/>
  <c r="D194" i="73"/>
  <c r="D218" i="131"/>
  <c r="D217" i="131"/>
  <c r="D214" i="131"/>
  <c r="D213" i="131"/>
  <c r="D212" i="131"/>
  <c r="I156" i="131"/>
  <c r="H156" i="131"/>
  <c r="G156" i="131"/>
  <c r="F156" i="131"/>
  <c r="E156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31" i="128" s="1"/>
  <c r="L52" i="4"/>
  <c r="L55" i="4" s="1"/>
  <c r="L74" i="4" s="1"/>
  <c r="J137" i="94"/>
  <c r="K137" i="9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H54" i="73"/>
  <c r="I54" i="73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H20" i="73"/>
  <c r="I20" i="73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96" i="13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7" i="131" s="1"/>
  <c r="F7" i="131" s="1"/>
  <c r="G7" i="131" s="1"/>
  <c r="H7" i="131" s="1"/>
  <c r="I7" i="131" s="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D33" i="131"/>
  <c r="D32" i="131"/>
  <c r="Q35" i="1"/>
  <c r="Q36" i="1" s="1"/>
  <c r="H87" i="73"/>
  <c r="I87" i="73" s="1"/>
  <c r="Q148" i="128" l="1"/>
  <c r="P148" i="128"/>
  <c r="Q141" i="128"/>
  <c r="Q140" i="128"/>
  <c r="O127" i="128"/>
  <c r="P127" i="128" s="1"/>
  <c r="P131" i="128" s="1"/>
  <c r="H103" i="73"/>
  <c r="I103" i="73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D87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C16" i="4"/>
  <c r="C52" i="4"/>
  <c r="I15" i="1"/>
  <c r="Q147" i="128" l="1"/>
  <c r="P147" i="128"/>
  <c r="Q146" i="128"/>
  <c r="P146" i="128"/>
  <c r="O133" i="128"/>
  <c r="P133" i="128" s="1"/>
  <c r="P137" i="128" s="1"/>
  <c r="G59" i="133"/>
  <c r="B104" i="133" s="1"/>
  <c r="C55" i="4"/>
  <c r="I6" i="1"/>
  <c r="O137" i="128" l="1"/>
  <c r="Q133" i="128"/>
  <c r="Q137" i="128" s="1"/>
  <c r="B103" i="133"/>
  <c r="D6" i="73"/>
  <c r="D193" i="73" s="1"/>
  <c r="O139" i="128" l="1"/>
  <c r="D195" i="73"/>
  <c r="D199" i="73" s="1"/>
  <c r="D203" i="73" s="1"/>
  <c r="D196" i="73"/>
  <c r="D204" i="73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I43" i="75"/>
  <c r="J43" i="75"/>
  <c r="J144" i="94"/>
  <c r="K144" i="94" s="1"/>
  <c r="J146" i="94"/>
  <c r="K146" i="94" s="1"/>
  <c r="J145" i="94"/>
  <c r="K145" i="94" s="1"/>
  <c r="P139" i="128" l="1"/>
  <c r="P143" i="128" s="1"/>
  <c r="O143" i="128"/>
  <c r="Q139" i="128"/>
  <c r="I79" i="13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R35" i="130"/>
  <c r="CR34" i="130"/>
  <c r="CO35" i="130"/>
  <c r="CL35" i="130"/>
  <c r="CL34" i="130"/>
  <c r="CL25" i="130"/>
  <c r="CI35" i="130"/>
  <c r="CF47" i="130"/>
  <c r="CF35" i="130"/>
  <c r="CF34" i="130"/>
  <c r="CF25" i="130"/>
  <c r="CD41" i="130"/>
  <c r="CD25" i="130"/>
  <c r="CC35" i="130"/>
  <c r="CB30" i="130"/>
  <c r="CB25" i="130"/>
  <c r="CB21" i="130"/>
  <c r="BY25" i="130"/>
  <c r="BY22" i="130"/>
  <c r="BZ35" i="130"/>
  <c r="BY35" i="130"/>
  <c r="BY34" i="130"/>
  <c r="BV35" i="130"/>
  <c r="BU34" i="130"/>
  <c r="BS35" i="130"/>
  <c r="BS34" i="130"/>
  <c r="BQ35" i="130"/>
  <c r="BQ34" i="130"/>
  <c r="BO35" i="130"/>
  <c r="BN34" i="130"/>
  <c r="BL35" i="130"/>
  <c r="BK35" i="130"/>
  <c r="BK34" i="130"/>
  <c r="BH35" i="130"/>
  <c r="BH34" i="130"/>
  <c r="BE35" i="130"/>
  <c r="BE34" i="130"/>
  <c r="AY35" i="130"/>
  <c r="AY34" i="130"/>
  <c r="AN22" i="130"/>
  <c r="AM22" i="130"/>
  <c r="AM23" i="130"/>
  <c r="AD28" i="130"/>
  <c r="AA30" i="130"/>
  <c r="AA22" i="130"/>
  <c r="AA21" i="130"/>
  <c r="AD22" i="130"/>
  <c r="AD21" i="130"/>
  <c r="AI22" i="130"/>
  <c r="AI26" i="130"/>
  <c r="AP30" i="130"/>
  <c r="AS30" i="130"/>
  <c r="AV30" i="130"/>
  <c r="AV35" i="130"/>
  <c r="AV34" i="130"/>
  <c r="AT35" i="130"/>
  <c r="AS35" i="130"/>
  <c r="AT34" i="130"/>
  <c r="AS34" i="130"/>
  <c r="AP35" i="130"/>
  <c r="AP34" i="130"/>
  <c r="AM35" i="130"/>
  <c r="AM34" i="130"/>
  <c r="AK35" i="130"/>
  <c r="AK34" i="130"/>
  <c r="AJ35" i="130"/>
  <c r="AJ34" i="130"/>
  <c r="AI35" i="130"/>
  <c r="AI34" i="130"/>
  <c r="AG34" i="130"/>
  <c r="AD34" i="130"/>
  <c r="AB35" i="130"/>
  <c r="AA34" i="130"/>
  <c r="V35" i="130"/>
  <c r="V34" i="130"/>
  <c r="N35" i="130"/>
  <c r="N34" i="130"/>
  <c r="Q143" i="128" l="1"/>
  <c r="O145" i="128"/>
  <c r="E197" i="131"/>
  <c r="I197" i="131"/>
  <c r="G184" i="131"/>
  <c r="F197" i="131"/>
  <c r="F76" i="131"/>
  <c r="E74" i="131"/>
  <c r="H197" i="131"/>
  <c r="CB64" i="130"/>
  <c r="CR59" i="130"/>
  <c r="CR58" i="130"/>
  <c r="CL58" i="130"/>
  <c r="CF59" i="130"/>
  <c r="CB59" i="130"/>
  <c r="BY58" i="130"/>
  <c r="AM58" i="130"/>
  <c r="AJ59" i="130"/>
  <c r="AJ58" i="130"/>
  <c r="AI58" i="130"/>
  <c r="O149" i="128" l="1"/>
  <c r="P145" i="128"/>
  <c r="P149" i="128" s="1"/>
  <c r="Q145" i="128"/>
  <c r="Q149" i="128" s="1"/>
  <c r="G76" i="131"/>
  <c r="F74" i="131"/>
  <c r="V59" i="130"/>
  <c r="V58" i="130"/>
  <c r="AA59" i="130"/>
  <c r="AA58" i="130"/>
  <c r="AG59" i="130"/>
  <c r="AP59" i="130"/>
  <c r="BE59" i="130"/>
  <c r="BE58" i="130"/>
  <c r="BK59" i="130"/>
  <c r="BK58" i="130"/>
  <c r="BQ59" i="130"/>
  <c r="BU58" i="130"/>
  <c r="AY58" i="130"/>
  <c r="H76" i="131" l="1"/>
  <c r="G74" i="131"/>
  <c r="AS59" i="130"/>
  <c r="AS58" i="130"/>
  <c r="I76" i="131" l="1"/>
  <c r="I74" i="131" s="1"/>
  <c r="H74" i="131"/>
  <c r="H14" i="103"/>
  <c r="V17" i="103"/>
  <c r="U17" i="103"/>
  <c r="H21" i="103"/>
  <c r="H19" i="103"/>
  <c r="H17" i="103"/>
  <c r="H12" i="103"/>
  <c r="H22" i="103"/>
  <c r="H18" i="103"/>
  <c r="H13" i="103"/>
  <c r="F165" i="87" l="1"/>
  <c r="G165" i="87" s="1"/>
  <c r="F133" i="87" l="1"/>
  <c r="G133" i="87" s="1"/>
  <c r="E32" i="131" l="1"/>
  <c r="BG34" i="4"/>
  <c r="AK35" i="4" l="1"/>
  <c r="AK34" i="4"/>
  <c r="P35" i="4"/>
  <c r="P34" i="4"/>
  <c r="F6" i="87" l="1"/>
  <c r="G6" i="87" s="1"/>
  <c r="F5" i="87"/>
  <c r="G5" i="87" s="1"/>
  <c r="F5" i="72"/>
  <c r="G5" i="72" s="1"/>
  <c r="F15" i="87"/>
  <c r="G15" i="87" s="1"/>
  <c r="F24" i="72"/>
  <c r="G24" i="72" s="1"/>
  <c r="F22" i="72"/>
  <c r="G22" i="72" s="1"/>
  <c r="F21" i="72"/>
  <c r="G21" i="72" s="1"/>
  <c r="F20" i="72"/>
  <c r="G20" i="72" s="1"/>
  <c r="F19" i="72"/>
  <c r="G19" i="72" s="1"/>
  <c r="F47" i="87"/>
  <c r="G47" i="87" s="1"/>
  <c r="F46" i="87"/>
  <c r="G46" i="87" s="1"/>
  <c r="F33" i="72"/>
  <c r="G33" i="72" s="1"/>
  <c r="F32" i="72"/>
  <c r="G32" i="72" s="1"/>
  <c r="F31" i="72"/>
  <c r="G31" i="72" s="1"/>
  <c r="F53" i="87"/>
  <c r="G53" i="87" s="1"/>
  <c r="F52" i="87"/>
  <c r="G52" i="87" s="1"/>
  <c r="F40" i="72"/>
  <c r="G40" i="72" s="1"/>
  <c r="F39" i="72"/>
  <c r="G39" i="72" s="1"/>
  <c r="F37" i="72"/>
  <c r="G37" i="72" s="1"/>
  <c r="F36" i="72"/>
  <c r="G36" i="72" s="1"/>
  <c r="F35" i="72"/>
  <c r="G35" i="72" s="1"/>
  <c r="F57" i="87"/>
  <c r="G57" i="87" s="1"/>
  <c r="F56" i="87"/>
  <c r="G56" i="87" s="1"/>
  <c r="F28" i="72"/>
  <c r="G28" i="72" s="1"/>
  <c r="F27" i="72"/>
  <c r="G27" i="72" s="1"/>
  <c r="F26" i="72"/>
  <c r="G26" i="72" s="1"/>
  <c r="F50" i="87"/>
  <c r="G50" i="87" s="1"/>
  <c r="F49" i="87"/>
  <c r="G49" i="87" s="1"/>
  <c r="F42" i="72"/>
  <c r="G42" i="72" s="1"/>
  <c r="F59" i="87"/>
  <c r="G59" i="87" s="1"/>
  <c r="F48" i="72"/>
  <c r="G48" i="72" s="1"/>
  <c r="F47" i="72"/>
  <c r="G47" i="72" s="1"/>
  <c r="F65" i="87"/>
  <c r="G65" i="87" s="1"/>
  <c r="F64" i="87"/>
  <c r="G64" i="87" s="1"/>
  <c r="F51" i="72"/>
  <c r="G51" i="72" s="1"/>
  <c r="F50" i="72"/>
  <c r="G50" i="72" s="1"/>
  <c r="F68" i="87"/>
  <c r="G68" i="87" s="1"/>
  <c r="F67" i="87"/>
  <c r="G67" i="87" s="1"/>
  <c r="F54" i="72"/>
  <c r="G54" i="72" s="1"/>
  <c r="F53" i="72"/>
  <c r="G53" i="72" s="1"/>
  <c r="F72" i="87"/>
  <c r="G72" i="87" s="1"/>
  <c r="F71" i="87"/>
  <c r="G71" i="87" s="1"/>
  <c r="F57" i="72"/>
  <c r="G57" i="72" s="1"/>
  <c r="F56" i="72"/>
  <c r="G56" i="72" s="1"/>
  <c r="F76" i="87"/>
  <c r="G76" i="87" s="1"/>
  <c r="F75" i="87"/>
  <c r="G75" i="87" s="1"/>
  <c r="F61" i="72"/>
  <c r="G61" i="72" s="1"/>
  <c r="F60" i="72"/>
  <c r="G60" i="72" s="1"/>
  <c r="F82" i="87"/>
  <c r="G82" i="87" s="1"/>
  <c r="F81" i="87"/>
  <c r="G81" i="87" s="1"/>
  <c r="F65" i="72"/>
  <c r="G65" i="72" s="1"/>
  <c r="F64" i="72"/>
  <c r="G64" i="72" s="1"/>
  <c r="F88" i="87"/>
  <c r="G88" i="87" s="1"/>
  <c r="F87" i="87"/>
  <c r="G87" i="87" s="1"/>
  <c r="F86" i="87"/>
  <c r="G86" i="87" s="1"/>
  <c r="F85" i="87"/>
  <c r="G85" i="87" s="1"/>
  <c r="F175" i="87"/>
  <c r="G175" i="87" s="1"/>
  <c r="F174" i="87"/>
  <c r="G174" i="87" s="1"/>
  <c r="F69" i="72"/>
  <c r="G69" i="72" s="1"/>
  <c r="F68" i="72"/>
  <c r="G68" i="72" s="1"/>
  <c r="F135" i="72"/>
  <c r="G135" i="72" s="1"/>
  <c r="F134" i="72"/>
  <c r="G134" i="72" s="1"/>
  <c r="F186" i="87"/>
  <c r="G186" i="87" s="1"/>
  <c r="F185" i="87"/>
  <c r="G185" i="87" s="1"/>
  <c r="F72" i="72"/>
  <c r="G72" i="72" s="1"/>
  <c r="F71" i="72"/>
  <c r="G71" i="72" s="1"/>
  <c r="F95" i="87"/>
  <c r="G95" i="87" s="1"/>
  <c r="F84" i="72"/>
  <c r="G84" i="72" s="1"/>
  <c r="F83" i="72"/>
  <c r="G83" i="72" s="1"/>
  <c r="F101" i="87"/>
  <c r="G101" i="87" s="1"/>
  <c r="F79" i="72"/>
  <c r="G79" i="72" s="1"/>
  <c r="F78" i="72"/>
  <c r="G78" i="72" s="1"/>
  <c r="F76" i="72"/>
  <c r="G76" i="72" s="1"/>
  <c r="F98" i="87"/>
  <c r="G98" i="87" s="1"/>
  <c r="F112" i="87"/>
  <c r="G112" i="87" s="1"/>
  <c r="F111" i="87"/>
  <c r="G111" i="87" s="1"/>
  <c r="F93" i="72"/>
  <c r="G93" i="72" s="1"/>
  <c r="F92" i="72"/>
  <c r="G92" i="72" s="1"/>
  <c r="F95" i="72"/>
  <c r="G95" i="72" s="1"/>
  <c r="F114" i="87"/>
  <c r="G114" i="87" s="1"/>
  <c r="F90" i="72"/>
  <c r="G90" i="72" s="1"/>
  <c r="F89" i="72"/>
  <c r="G89" i="72" s="1"/>
  <c r="F87" i="72"/>
  <c r="G87" i="72" s="1"/>
  <c r="F106" i="87"/>
  <c r="G106" i="87" s="1"/>
  <c r="F105" i="87"/>
  <c r="G105" i="87" s="1"/>
  <c r="F104" i="87"/>
  <c r="G104" i="87" s="1"/>
  <c r="F100" i="72"/>
  <c r="G100" i="72" s="1"/>
  <c r="F99" i="72"/>
  <c r="G99" i="72" s="1"/>
  <c r="F98" i="72"/>
  <c r="G98" i="72" s="1"/>
  <c r="F120" i="87"/>
  <c r="G120" i="87" s="1"/>
  <c r="F119" i="87"/>
  <c r="G119" i="87" s="1"/>
  <c r="F118" i="87"/>
  <c r="G118" i="87" s="1"/>
  <c r="F117" i="87"/>
  <c r="G117" i="87" s="1"/>
  <c r="F116" i="72"/>
  <c r="G116" i="72" s="1"/>
  <c r="F115" i="72"/>
  <c r="G115" i="72" s="1"/>
  <c r="F114" i="72"/>
  <c r="G114" i="72" s="1"/>
  <c r="F112" i="72"/>
  <c r="G112" i="72" s="1"/>
  <c r="F111" i="72"/>
  <c r="G111" i="72" s="1"/>
  <c r="F110" i="72"/>
  <c r="G110" i="72" s="1"/>
  <c r="F109" i="72"/>
  <c r="G109" i="72" s="1"/>
  <c r="F108" i="72"/>
  <c r="G108" i="72" s="1"/>
  <c r="F107" i="72"/>
  <c r="G107" i="72" s="1"/>
  <c r="F106" i="72"/>
  <c r="G106" i="72" s="1"/>
  <c r="F105" i="72"/>
  <c r="G105" i="72" s="1"/>
  <c r="F104" i="72"/>
  <c r="G104" i="72" s="1"/>
  <c r="F103" i="72"/>
  <c r="G103" i="72" s="1"/>
  <c r="F119" i="72"/>
  <c r="G119" i="72" s="1"/>
  <c r="F118" i="72"/>
  <c r="G118" i="72" s="1"/>
  <c r="F131" i="87"/>
  <c r="G131" i="87" s="1"/>
  <c r="F130" i="87"/>
  <c r="G130" i="87" s="1"/>
  <c r="F129" i="87"/>
  <c r="G129" i="87" s="1"/>
  <c r="F151" i="87"/>
  <c r="G151" i="87" s="1"/>
  <c r="F150" i="87"/>
  <c r="G150" i="87" s="1"/>
  <c r="F131" i="72"/>
  <c r="G131" i="72" s="1"/>
  <c r="F130" i="72"/>
  <c r="G130" i="72" s="1"/>
  <c r="F140" i="72"/>
  <c r="G140" i="72" s="1"/>
  <c r="F139" i="72"/>
  <c r="G139" i="72" s="1"/>
  <c r="F167" i="87"/>
  <c r="G167" i="87" s="1"/>
  <c r="F123" i="72"/>
  <c r="G123" i="72" s="1"/>
  <c r="F122" i="72"/>
  <c r="G122" i="72" s="1"/>
  <c r="F123" i="87"/>
  <c r="G123" i="87" s="1"/>
  <c r="F126" i="72"/>
  <c r="G126" i="72" s="1"/>
  <c r="F143" i="72"/>
  <c r="G143" i="72" s="1"/>
  <c r="F126" i="87"/>
  <c r="G126" i="87" s="1"/>
  <c r="F125" i="87"/>
  <c r="G125" i="87" s="1"/>
  <c r="F51" i="106"/>
  <c r="G51" i="106" s="1"/>
  <c r="F50" i="106"/>
  <c r="G50" i="106" s="1"/>
  <c r="F49" i="106"/>
  <c r="G49" i="106" s="1"/>
  <c r="F48" i="106"/>
  <c r="G48" i="106" s="1"/>
  <c r="F47" i="106"/>
  <c r="G47" i="106" s="1"/>
  <c r="F46" i="106"/>
  <c r="G46" i="106" s="1"/>
  <c r="F45" i="106"/>
  <c r="G45" i="106" s="1"/>
  <c r="F44" i="106"/>
  <c r="G44" i="106" s="1"/>
  <c r="F43" i="106"/>
  <c r="G43" i="106" s="1"/>
  <c r="F42" i="106"/>
  <c r="G42" i="106" s="1"/>
  <c r="F56" i="106"/>
  <c r="G56" i="106" s="1"/>
  <c r="F52" i="106" l="1"/>
  <c r="G52" i="106" s="1"/>
  <c r="F27" i="106"/>
  <c r="G27" i="106" s="1"/>
  <c r="F21" i="106"/>
  <c r="G21" i="106" s="1"/>
  <c r="F18" i="106"/>
  <c r="G18" i="106" s="1"/>
  <c r="F5" i="106"/>
  <c r="G5" i="106" s="1"/>
  <c r="DK30" i="4"/>
  <c r="J132" i="94" l="1"/>
  <c r="J61" i="94"/>
  <c r="K61" i="94" s="1"/>
  <c r="J50" i="94" l="1"/>
  <c r="K50" i="94" s="1"/>
  <c r="DK35" i="4" l="1"/>
  <c r="DK34" i="4"/>
  <c r="CT35" i="4"/>
  <c r="CU35" i="4"/>
  <c r="K26" i="75" s="1"/>
  <c r="CU34" i="4"/>
  <c r="CT34" i="4"/>
  <c r="CN35" i="4"/>
  <c r="CO35" i="4"/>
  <c r="CO34" i="4"/>
  <c r="CN34" i="4"/>
  <c r="CO25" i="4"/>
  <c r="CN25" i="4"/>
  <c r="CI47" i="4"/>
  <c r="CH47" i="4"/>
  <c r="CH35" i="4"/>
  <c r="CI35" i="4"/>
  <c r="CI34" i="4"/>
  <c r="CH34" i="4"/>
  <c r="CI25" i="4"/>
  <c r="CH25" i="4"/>
  <c r="CE34" i="4"/>
  <c r="CE30" i="4"/>
  <c r="CD30" i="4"/>
  <c r="CE25" i="4"/>
  <c r="CD25" i="4"/>
  <c r="CE21" i="4"/>
  <c r="CD21" i="4"/>
  <c r="CB58" i="4"/>
  <c r="CA58" i="4"/>
  <c r="CA35" i="4"/>
  <c r="CB35" i="4"/>
  <c r="F26" i="75" s="1"/>
  <c r="F15" i="75" s="1"/>
  <c r="CB34" i="4"/>
  <c r="CA34" i="4"/>
  <c r="CB25" i="4"/>
  <c r="CA25" i="4"/>
  <c r="CB22" i="4"/>
  <c r="CA22" i="4"/>
  <c r="BX35" i="4"/>
  <c r="BX34" i="4"/>
  <c r="BW34" i="4"/>
  <c r="BU35" i="4"/>
  <c r="BU34" i="4"/>
  <c r="BS35" i="4"/>
  <c r="BT35" i="4"/>
  <c r="BT34" i="4"/>
  <c r="BS34" i="4"/>
  <c r="BQ35" i="4"/>
  <c r="BQ34" i="4"/>
  <c r="BP34" i="4"/>
  <c r="BM35" i="4"/>
  <c r="BN35" i="4"/>
  <c r="BN34" i="4"/>
  <c r="BM34" i="4"/>
  <c r="BJ35" i="4"/>
  <c r="BK35" i="4"/>
  <c r="K24" i="75" s="1"/>
  <c r="E24" i="75" s="1"/>
  <c r="C24" i="75" s="1"/>
  <c r="BK34" i="4"/>
  <c r="BJ34" i="4"/>
  <c r="BG35" i="4"/>
  <c r="BH35" i="4"/>
  <c r="BH34" i="4"/>
  <c r="BA35" i="4"/>
  <c r="BB35" i="4"/>
  <c r="BB34" i="4"/>
  <c r="BA34" i="4"/>
  <c r="AX35" i="4"/>
  <c r="AY35" i="4"/>
  <c r="AY34" i="4"/>
  <c r="AX34" i="4"/>
  <c r="AY30" i="4"/>
  <c r="AX30" i="4"/>
  <c r="AU35" i="4"/>
  <c r="AV35" i="4"/>
  <c r="AV34" i="4"/>
  <c r="AU34" i="4"/>
  <c r="AV30" i="4"/>
  <c r="AU30" i="4"/>
  <c r="AR35" i="4"/>
  <c r="AS35" i="4"/>
  <c r="AS34" i="4"/>
  <c r="AR34" i="4"/>
  <c r="AS30" i="4"/>
  <c r="AR30" i="4"/>
  <c r="AO59" i="4"/>
  <c r="AO58" i="4"/>
  <c r="AO35" i="4"/>
  <c r="AP35" i="4"/>
  <c r="AP34" i="4"/>
  <c r="AO34" i="4"/>
  <c r="AO23" i="4"/>
  <c r="AP22" i="4"/>
  <c r="AO22" i="4"/>
  <c r="AM35" i="4"/>
  <c r="AM34" i="4"/>
  <c r="AL59" i="4"/>
  <c r="AL58" i="4"/>
  <c r="AL35" i="4"/>
  <c r="AL34" i="4"/>
  <c r="AK61" i="4"/>
  <c r="AK58" i="4"/>
  <c r="AK26" i="4"/>
  <c r="AF58" i="4"/>
  <c r="AG35" i="4"/>
  <c r="AF34" i="4"/>
  <c r="AG34" i="4"/>
  <c r="AG28" i="4"/>
  <c r="AF28" i="4"/>
  <c r="AF22" i="4"/>
  <c r="AG22" i="4"/>
  <c r="AG21" i="4"/>
  <c r="AF21" i="4"/>
  <c r="AC61" i="4"/>
  <c r="DU59" i="4"/>
  <c r="DU58" i="4"/>
  <c r="DS59" i="4"/>
  <c r="DS58" i="4"/>
  <c r="CN58" i="4"/>
  <c r="CH59" i="4"/>
  <c r="DV59" i="4"/>
  <c r="DV58" i="4"/>
  <c r="CD64" i="4"/>
  <c r="BW59" i="4"/>
  <c r="BW58" i="4"/>
  <c r="BS59" i="4"/>
  <c r="BG59" i="4"/>
  <c r="BG58" i="4"/>
  <c r="BM59" i="4"/>
  <c r="BM58" i="4"/>
  <c r="BA58" i="4"/>
  <c r="AU59" i="4"/>
  <c r="AU58" i="4"/>
  <c r="AR59" i="4"/>
  <c r="CT59" i="4"/>
  <c r="CT58" i="4"/>
  <c r="CD59" i="4"/>
  <c r="AI59" i="4"/>
  <c r="X59" i="4"/>
  <c r="X58" i="4"/>
  <c r="AC59" i="4"/>
  <c r="AC58" i="4"/>
  <c r="K25" i="75" l="1"/>
  <c r="AJ35" i="4"/>
  <c r="AJ34" i="4"/>
  <c r="AI34" i="4"/>
  <c r="X35" i="4"/>
  <c r="X34" i="4"/>
  <c r="X22" i="4"/>
  <c r="X21" i="4"/>
  <c r="AD35" i="4"/>
  <c r="AD34" i="4"/>
  <c r="AC34" i="4"/>
  <c r="AD30" i="4"/>
  <c r="AC30" i="4"/>
  <c r="AD22" i="4"/>
  <c r="AC22" i="4"/>
  <c r="AD21" i="4"/>
  <c r="AC21" i="4"/>
  <c r="Q35" i="4"/>
  <c r="Q34" i="4"/>
  <c r="K34" i="4"/>
  <c r="K30" i="4"/>
  <c r="K29" i="4"/>
  <c r="CR35" i="4"/>
  <c r="CQ35" i="4"/>
  <c r="CL35" i="4"/>
  <c r="CK35" i="4"/>
  <c r="CF41" i="4"/>
  <c r="CF25" i="4"/>
  <c r="CE22" i="4"/>
  <c r="CE46" i="4"/>
  <c r="CD46" i="4"/>
  <c r="J234" i="94"/>
  <c r="K234" i="94" s="1"/>
  <c r="J233" i="94"/>
  <c r="K233" i="94" s="1"/>
  <c r="J264" i="94"/>
  <c r="K264" i="94" s="1"/>
  <c r="J263" i="94"/>
  <c r="K263" i="94" s="1"/>
  <c r="J223" i="94"/>
  <c r="K223" i="94" s="1"/>
  <c r="J221" i="94"/>
  <c r="K221" i="94" s="1"/>
  <c r="J220" i="94"/>
  <c r="K220" i="94" s="1"/>
  <c r="J218" i="94"/>
  <c r="K218" i="94" s="1"/>
  <c r="J216" i="94"/>
  <c r="K216" i="94" s="1"/>
  <c r="J215" i="94"/>
  <c r="K215" i="94" s="1"/>
  <c r="J214" i="94"/>
  <c r="K214" i="94" s="1"/>
  <c r="J213" i="94"/>
  <c r="K213" i="94" s="1"/>
  <c r="J212" i="94"/>
  <c r="K212" i="94" s="1"/>
  <c r="J211" i="94"/>
  <c r="K210" i="94"/>
  <c r="K209" i="94"/>
  <c r="J227" i="94"/>
  <c r="K227" i="94" s="1"/>
  <c r="J270" i="94"/>
  <c r="K270" i="94" s="1"/>
  <c r="J269" i="94"/>
  <c r="K269" i="94" s="1"/>
  <c r="J268" i="94"/>
  <c r="K268" i="94" s="1"/>
  <c r="J202" i="94"/>
  <c r="K202" i="94" s="1"/>
  <c r="J142" i="94"/>
  <c r="K142" i="94" s="1"/>
  <c r="J140" i="94"/>
  <c r="K140" i="94" s="1"/>
  <c r="J139" i="94"/>
  <c r="K139" i="94" s="1"/>
  <c r="J138" i="94"/>
  <c r="K138" i="94" s="1"/>
  <c r="J120" i="94"/>
  <c r="K120" i="94" s="1"/>
  <c r="J119" i="94"/>
  <c r="K119" i="94" s="1"/>
  <c r="J111" i="94"/>
  <c r="K111" i="94" s="1"/>
  <c r="J110" i="94"/>
  <c r="K110" i="94" s="1"/>
  <c r="J109" i="94"/>
  <c r="K109" i="94" s="1"/>
  <c r="J108" i="94"/>
  <c r="K108" i="94" s="1"/>
  <c r="J107" i="94"/>
  <c r="K107" i="94" s="1"/>
  <c r="J106" i="94"/>
  <c r="K106" i="94" s="1"/>
  <c r="J104" i="94"/>
  <c r="K104" i="94" s="1"/>
  <c r="J103" i="94"/>
  <c r="K103" i="94" s="1"/>
  <c r="J102" i="94"/>
  <c r="K102" i="94" s="1"/>
  <c r="J101" i="94"/>
  <c r="K101" i="94" s="1"/>
  <c r="J100" i="94"/>
  <c r="K100" i="94" s="1"/>
  <c r="J91" i="94"/>
  <c r="K91" i="94" s="1"/>
  <c r="J90" i="94"/>
  <c r="K90" i="94" s="1"/>
  <c r="J87" i="94"/>
  <c r="K87" i="94" s="1"/>
  <c r="J207" i="94"/>
  <c r="K207" i="94" s="1"/>
  <c r="J206" i="94"/>
  <c r="K206" i="94" s="1"/>
  <c r="J201" i="94"/>
  <c r="K201" i="94" s="1"/>
  <c r="J200" i="94"/>
  <c r="K200" i="94" s="1"/>
  <c r="J199" i="94"/>
  <c r="K199" i="94" s="1"/>
  <c r="J198" i="94"/>
  <c r="K198" i="94" s="1"/>
  <c r="J197" i="94"/>
  <c r="K197" i="94" s="1"/>
  <c r="J196" i="94"/>
  <c r="K196" i="94" s="1"/>
  <c r="J195" i="94"/>
  <c r="K195" i="94" s="1"/>
  <c r="J194" i="94"/>
  <c r="K194" i="94" s="1"/>
  <c r="J193" i="94"/>
  <c r="K193" i="94" s="1"/>
  <c r="J192" i="94"/>
  <c r="K192" i="94" s="1"/>
  <c r="J191" i="94"/>
  <c r="K191" i="94" s="1"/>
  <c r="J190" i="94"/>
  <c r="K190" i="94" s="1"/>
  <c r="J189" i="94"/>
  <c r="K189" i="94" s="1"/>
  <c r="J188" i="94"/>
  <c r="K188" i="94" s="1"/>
  <c r="J187" i="94"/>
  <c r="K187" i="94" s="1"/>
  <c r="J186" i="94"/>
  <c r="K186" i="94" s="1"/>
  <c r="J185" i="94"/>
  <c r="K185" i="94" s="1"/>
  <c r="J183" i="94"/>
  <c r="K183" i="94" s="1"/>
  <c r="J182" i="94"/>
  <c r="K182" i="94" s="1"/>
  <c r="J181" i="94"/>
  <c r="K181" i="94" s="1"/>
  <c r="J180" i="94"/>
  <c r="K180" i="94" s="1"/>
  <c r="J179" i="94"/>
  <c r="K179" i="94" s="1"/>
  <c r="J178" i="94"/>
  <c r="K178" i="94" s="1"/>
  <c r="J177" i="94"/>
  <c r="K177" i="94" s="1"/>
  <c r="J176" i="94"/>
  <c r="K176" i="94" s="1"/>
  <c r="J175" i="94"/>
  <c r="K175" i="94" s="1"/>
  <c r="J174" i="94"/>
  <c r="K174" i="94" s="1"/>
  <c r="J173" i="94"/>
  <c r="K173" i="94" s="1"/>
  <c r="J172" i="94"/>
  <c r="K172" i="94" s="1"/>
  <c r="J171" i="94"/>
  <c r="K171" i="94" s="1"/>
  <c r="J170" i="94"/>
  <c r="K170" i="94" s="1"/>
  <c r="J169" i="94"/>
  <c r="K169" i="94" s="1"/>
  <c r="J168" i="94"/>
  <c r="K168" i="94" s="1"/>
  <c r="J167" i="94"/>
  <c r="K167" i="94" s="1"/>
  <c r="J166" i="94"/>
  <c r="K166" i="94" s="1"/>
  <c r="J165" i="94"/>
  <c r="K165" i="94" s="1"/>
  <c r="J164" i="94"/>
  <c r="K164" i="94" s="1"/>
  <c r="J163" i="94"/>
  <c r="K163" i="94" s="1"/>
  <c r="J162" i="94"/>
  <c r="K162" i="94" s="1"/>
  <c r="J161" i="94"/>
  <c r="K161" i="94" s="1"/>
  <c r="J160" i="94"/>
  <c r="K160" i="94" s="1"/>
  <c r="J159" i="94"/>
  <c r="K159" i="94" s="1"/>
  <c r="J158" i="94"/>
  <c r="K158" i="94" s="1"/>
  <c r="J157" i="94"/>
  <c r="K157" i="94" s="1"/>
  <c r="J156" i="94"/>
  <c r="K156" i="94" s="1"/>
  <c r="J155" i="94"/>
  <c r="K155" i="94" s="1"/>
  <c r="J49" i="94"/>
  <c r="K49" i="94" s="1"/>
  <c r="J48" i="94"/>
  <c r="K48" i="94" s="1"/>
  <c r="J47" i="94"/>
  <c r="K47" i="94" s="1"/>
  <c r="J46" i="94"/>
  <c r="K46" i="94" s="1"/>
  <c r="J44" i="94"/>
  <c r="K44" i="94" s="1"/>
  <c r="J43" i="94"/>
  <c r="K43" i="94" s="1"/>
  <c r="J42" i="94"/>
  <c r="K42" i="94" s="1"/>
  <c r="J41" i="94"/>
  <c r="K41" i="94" s="1"/>
  <c r="J40" i="94"/>
  <c r="K40" i="94" s="1"/>
  <c r="J39" i="94"/>
  <c r="K39" i="94" s="1"/>
  <c r="J38" i="94"/>
  <c r="K38" i="94" s="1"/>
  <c r="J37" i="94"/>
  <c r="K37" i="94" s="1"/>
  <c r="J32" i="94"/>
  <c r="K32" i="94" s="1"/>
  <c r="J31" i="94"/>
  <c r="K31" i="94" s="1"/>
  <c r="J33" i="94"/>
  <c r="K33" i="94" s="1"/>
  <c r="J26" i="94"/>
  <c r="K26" i="94" s="1"/>
  <c r="J25" i="94"/>
  <c r="K25" i="94" s="1"/>
  <c r="J9" i="94"/>
  <c r="K9" i="94" s="1"/>
  <c r="J8" i="94"/>
  <c r="K8" i="94" s="1"/>
  <c r="J7" i="94"/>
  <c r="K7" i="94" s="1"/>
  <c r="J6" i="94"/>
  <c r="K6" i="94" s="1"/>
  <c r="E70" i="75"/>
  <c r="K211" i="94" l="1"/>
  <c r="J8" i="75"/>
  <c r="H10" i="75"/>
  <c r="I9" i="75"/>
  <c r="J152" i="94"/>
  <c r="K152" i="94" s="1"/>
  <c r="J151" i="94"/>
  <c r="K151" i="94" s="1"/>
  <c r="J150" i="94"/>
  <c r="K150" i="94" s="1"/>
  <c r="J67" i="94"/>
  <c r="K67" i="94" s="1"/>
  <c r="J66" i="94"/>
  <c r="K66" i="94" s="1"/>
  <c r="Q99" i="94"/>
  <c r="J96" i="94"/>
  <c r="K96" i="94" s="1"/>
  <c r="J95" i="94"/>
  <c r="K95" i="94" s="1"/>
  <c r="M99" i="94"/>
  <c r="J62" i="94"/>
  <c r="K62" i="94" s="1"/>
  <c r="J52" i="94"/>
  <c r="K52" i="94" s="1"/>
  <c r="J51" i="94"/>
  <c r="K51" i="94" s="1"/>
  <c r="J15" i="103"/>
  <c r="H340" i="128"/>
  <c r="G340" i="128"/>
  <c r="H339" i="128"/>
  <c r="G339" i="128"/>
  <c r="H338" i="128"/>
  <c r="G338" i="128"/>
  <c r="H337" i="128"/>
  <c r="G337" i="128"/>
  <c r="H336" i="128"/>
  <c r="G336" i="128"/>
  <c r="I332" i="128"/>
  <c r="H332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3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40" i="128" s="1"/>
  <c r="I75" i="128"/>
  <c r="I339" i="128" s="1"/>
  <c r="I74" i="128"/>
  <c r="I338" i="128" s="1"/>
  <c r="I73" i="128"/>
  <c r="I33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J95" i="128" l="1"/>
  <c r="J89" i="128"/>
  <c r="J83" i="128"/>
  <c r="I47" i="128"/>
  <c r="I29" i="128"/>
  <c r="J99" i="94"/>
  <c r="K99" i="94" s="1"/>
  <c r="I119" i="128"/>
  <c r="I65" i="128"/>
  <c r="I101" i="128"/>
  <c r="I113" i="128"/>
  <c r="I83" i="128"/>
  <c r="I53" i="128"/>
  <c r="I125" i="128"/>
  <c r="I23" i="128"/>
  <c r="I35" i="128"/>
  <c r="I107" i="128"/>
  <c r="I77" i="128"/>
  <c r="I95" i="128"/>
  <c r="I17" i="128"/>
  <c r="I89" i="128"/>
  <c r="I59" i="128"/>
  <c r="I71" i="128"/>
  <c r="I41" i="128"/>
  <c r="H331" i="128"/>
  <c r="H333" i="128" s="1"/>
  <c r="I11" i="128"/>
  <c r="I336" i="128"/>
  <c r="R99" i="94" l="1"/>
  <c r="H108" i="111"/>
  <c r="I108" i="111"/>
  <c r="J108" i="111"/>
  <c r="K108" i="111"/>
  <c r="K110" i="111" s="1"/>
  <c r="L108" i="111"/>
  <c r="H109" i="111"/>
  <c r="I109" i="111"/>
  <c r="I110" i="111" s="1"/>
  <c r="J109" i="111"/>
  <c r="K109" i="111"/>
  <c r="L109" i="111"/>
  <c r="K91" i="111"/>
  <c r="L91" i="111"/>
  <c r="K92" i="111"/>
  <c r="L92" i="111"/>
  <c r="AK60" i="4"/>
  <c r="L110" i="111" l="1"/>
  <c r="L93" i="111"/>
  <c r="J110" i="111"/>
  <c r="K93" i="111"/>
  <c r="H110" i="111"/>
  <c r="I331" i="128" l="1"/>
  <c r="I333" i="128" s="1"/>
  <c r="DR34" i="130"/>
  <c r="DF34" i="130"/>
  <c r="AI60" i="130" l="1"/>
  <c r="DH34" i="4" l="1"/>
  <c r="J19" i="94" l="1"/>
  <c r="K19" i="94" s="1"/>
  <c r="J18" i="94"/>
  <c r="K18" i="94" s="1"/>
  <c r="F182" i="87" l="1"/>
  <c r="G182" i="87" s="1"/>
  <c r="F181" i="87"/>
  <c r="G181" i="87" s="1"/>
  <c r="F180" i="87"/>
  <c r="G180" i="87" s="1"/>
  <c r="F140" i="87"/>
  <c r="G140" i="87" s="1"/>
  <c r="F139" i="87"/>
  <c r="G139" i="87" s="1"/>
  <c r="F138" i="87"/>
  <c r="G138" i="87" s="1"/>
  <c r="F137" i="87"/>
  <c r="G137" i="87" s="1"/>
  <c r="F136" i="87"/>
  <c r="G136" i="87" s="1"/>
  <c r="F164" i="87"/>
  <c r="G164" i="87" s="1"/>
  <c r="F163" i="87"/>
  <c r="G163" i="87" s="1"/>
  <c r="F161" i="87"/>
  <c r="G161" i="87" s="1"/>
  <c r="F160" i="87"/>
  <c r="G160" i="87" s="1"/>
  <c r="F158" i="87"/>
  <c r="G158" i="87" s="1"/>
  <c r="F157" i="87"/>
  <c r="G157" i="87" s="1"/>
  <c r="F156" i="87"/>
  <c r="G156" i="87" s="1"/>
  <c r="F153" i="87"/>
  <c r="G153" i="87" s="1"/>
  <c r="F143" i="87"/>
  <c r="G143" i="87" s="1"/>
  <c r="F142" i="87"/>
  <c r="G142" i="87" s="1"/>
  <c r="F109" i="87"/>
  <c r="G109" i="87" s="1"/>
  <c r="F108" i="87"/>
  <c r="G108" i="87" s="1"/>
  <c r="F57" i="106"/>
  <c r="G57" i="106" s="1"/>
  <c r="F63" i="125"/>
  <c r="G63" i="125" s="1"/>
  <c r="G113" i="105"/>
  <c r="J243" i="94"/>
  <c r="K243" i="94" s="1"/>
  <c r="J242" i="94"/>
  <c r="K242" i="94" s="1"/>
  <c r="J83" i="94"/>
  <c r="K83" i="94" s="1"/>
  <c r="J239" i="94"/>
  <c r="K239" i="94" s="1"/>
  <c r="J231" i="94"/>
  <c r="K231" i="94" s="1"/>
  <c r="J230" i="94"/>
  <c r="K230" i="94" s="1"/>
  <c r="J76" i="94"/>
  <c r="K76" i="94" s="1"/>
  <c r="J75" i="94"/>
  <c r="K75" i="94" s="1"/>
  <c r="J74" i="94"/>
  <c r="K74" i="94" s="1"/>
  <c r="J73" i="94"/>
  <c r="K73" i="94" s="1"/>
  <c r="F141" i="87" l="1"/>
  <c r="G141" i="87" s="1"/>
  <c r="F20" i="127"/>
  <c r="G20" i="127" s="1"/>
  <c r="F17" i="127"/>
  <c r="G17" i="127" s="1"/>
  <c r="F14" i="127"/>
  <c r="G14" i="127" s="1"/>
  <c r="G12" i="127"/>
  <c r="G11" i="127"/>
  <c r="F8" i="127"/>
  <c r="G8" i="127" s="1"/>
  <c r="F6" i="127"/>
  <c r="G6" i="127" s="1"/>
  <c r="F5" i="127"/>
  <c r="G5" i="127" s="1"/>
  <c r="F137" i="72"/>
  <c r="G137" i="72" s="1"/>
  <c r="F136" i="72"/>
  <c r="G136" i="72" s="1"/>
  <c r="F44" i="72"/>
  <c r="G44" i="72" s="1"/>
  <c r="F43" i="72"/>
  <c r="G43" i="72" s="1"/>
  <c r="G14" i="72"/>
  <c r="G16" i="72"/>
  <c r="F13" i="72"/>
  <c r="G13" i="72" s="1"/>
  <c r="F10" i="72"/>
  <c r="G10" i="72" s="1"/>
  <c r="F9" i="72"/>
  <c r="G9" i="72" s="1"/>
  <c r="F7" i="72"/>
  <c r="G7" i="72" s="1"/>
  <c r="F6" i="72"/>
  <c r="G6" i="72" s="1"/>
  <c r="F187" i="87"/>
  <c r="G187" i="87" s="1"/>
  <c r="F60" i="87"/>
  <c r="G60" i="87" s="1"/>
  <c r="F44" i="87"/>
  <c r="G44" i="87" s="1"/>
  <c r="F43" i="87"/>
  <c r="G43" i="87" s="1"/>
  <c r="F42" i="87"/>
  <c r="G42" i="87" s="1"/>
  <c r="F41" i="87"/>
  <c r="G41" i="87" s="1"/>
  <c r="F40" i="87"/>
  <c r="G40" i="87" s="1"/>
  <c r="F39" i="87"/>
  <c r="G39" i="87" s="1"/>
  <c r="F37" i="87"/>
  <c r="G37" i="87" s="1"/>
  <c r="F36" i="87"/>
  <c r="G36" i="87" s="1"/>
  <c r="F34" i="87"/>
  <c r="G34" i="87" s="1"/>
  <c r="F33" i="87"/>
  <c r="G33" i="87" s="1"/>
  <c r="F31" i="87"/>
  <c r="G31" i="87" s="1"/>
  <c r="F30" i="87"/>
  <c r="G30" i="87" s="1"/>
  <c r="F25" i="87"/>
  <c r="G25" i="87" s="1"/>
  <c r="F24" i="87"/>
  <c r="G24" i="87" s="1"/>
  <c r="F28" i="87"/>
  <c r="G28" i="87" s="1"/>
  <c r="F27" i="87"/>
  <c r="G27" i="87" s="1"/>
  <c r="F21" i="87"/>
  <c r="G21" i="87" s="1"/>
  <c r="F18" i="87"/>
  <c r="G18" i="87" s="1"/>
  <c r="F17" i="87"/>
  <c r="G17" i="87" s="1"/>
  <c r="F16" i="87"/>
  <c r="G16" i="87" s="1"/>
  <c r="F9" i="87"/>
  <c r="G9" i="87" s="1"/>
  <c r="F8" i="87"/>
  <c r="G8" i="87" s="1"/>
  <c r="F15" i="106"/>
  <c r="G15" i="106" s="1"/>
  <c r="F14" i="106"/>
  <c r="G14" i="106" s="1"/>
  <c r="F11" i="106"/>
  <c r="G11" i="106" s="1"/>
  <c r="F8" i="106"/>
  <c r="G8" i="106" s="1"/>
  <c r="F149" i="105"/>
  <c r="G149" i="105" s="1"/>
  <c r="F148" i="105"/>
  <c r="G148" i="105" s="1"/>
  <c r="G53" i="105"/>
  <c r="F37" i="105"/>
  <c r="G37" i="105" s="1"/>
  <c r="F36" i="105"/>
  <c r="G36" i="105" s="1"/>
  <c r="F32" i="105"/>
  <c r="G32" i="105" s="1"/>
  <c r="F31" i="105"/>
  <c r="G31" i="105" s="1"/>
  <c r="F29" i="105"/>
  <c r="G29" i="105" s="1"/>
  <c r="F28" i="105"/>
  <c r="G28" i="105" s="1"/>
  <c r="F25" i="105"/>
  <c r="G25" i="105" s="1"/>
  <c r="F19" i="105"/>
  <c r="G19" i="105" s="1"/>
  <c r="F15" i="105"/>
  <c r="G15" i="105" s="1"/>
  <c r="F9" i="105"/>
  <c r="G9" i="105" s="1"/>
  <c r="F8" i="105"/>
  <c r="G8" i="105" s="1"/>
  <c r="F65" i="104"/>
  <c r="G65" i="104" s="1"/>
  <c r="F64" i="104"/>
  <c r="G64" i="104" s="1"/>
  <c r="F61" i="104"/>
  <c r="G61" i="104" s="1"/>
  <c r="F60" i="104"/>
  <c r="G60" i="104" s="1"/>
  <c r="F59" i="104"/>
  <c r="G59" i="104" s="1"/>
  <c r="F37" i="104"/>
  <c r="G37" i="104" s="1"/>
  <c r="F33" i="104"/>
  <c r="G33" i="104" s="1"/>
  <c r="F32" i="104"/>
  <c r="G32" i="104" s="1"/>
  <c r="F27" i="104"/>
  <c r="G27" i="104" s="1"/>
  <c r="F26" i="104"/>
  <c r="G26" i="104" s="1"/>
  <c r="F25" i="104"/>
  <c r="G25" i="104" s="1"/>
  <c r="F18" i="104"/>
  <c r="G18" i="104" s="1"/>
  <c r="F15" i="104"/>
  <c r="G15" i="104" s="1"/>
  <c r="F14" i="104"/>
  <c r="G14" i="104" s="1"/>
  <c r="F8" i="104"/>
  <c r="G8" i="104" s="1"/>
  <c r="F38" i="87" l="1"/>
  <c r="G38" i="87" s="1"/>
  <c r="F97" i="72"/>
  <c r="G97" i="72" s="1"/>
  <c r="F94" i="72"/>
  <c r="G94" i="72" s="1"/>
  <c r="F10" i="107" l="1"/>
  <c r="G10" i="107" s="1"/>
  <c r="F9" i="107"/>
  <c r="G9" i="107" s="1"/>
  <c r="F8" i="107"/>
  <c r="G8" i="107" s="1"/>
  <c r="F6" i="107"/>
  <c r="G6" i="107" s="1"/>
  <c r="G6" i="106"/>
  <c r="F34" i="106"/>
  <c r="G34" i="106" s="1"/>
  <c r="F33" i="106"/>
  <c r="G33" i="106" s="1"/>
  <c r="B34" i="106"/>
  <c r="F30" i="106"/>
  <c r="G30" i="106" s="1"/>
  <c r="F43" i="125"/>
  <c r="G43" i="125" s="1"/>
  <c r="F42" i="125"/>
  <c r="G42" i="125" s="1"/>
  <c r="F40" i="125"/>
  <c r="G40" i="125" s="1"/>
  <c r="F39" i="125"/>
  <c r="G39" i="125" s="1"/>
  <c r="F37" i="125"/>
  <c r="G37" i="125" s="1"/>
  <c r="F36" i="125"/>
  <c r="G36" i="125" s="1"/>
  <c r="F34" i="125"/>
  <c r="G34" i="125" s="1"/>
  <c r="F33" i="125"/>
  <c r="G33" i="125" s="1"/>
  <c r="F31" i="125"/>
  <c r="G31" i="125" s="1"/>
  <c r="F30" i="125"/>
  <c r="G30" i="125" s="1"/>
  <c r="F28" i="125"/>
  <c r="G28" i="125" s="1"/>
  <c r="F27" i="125"/>
  <c r="G27" i="125" s="1"/>
  <c r="F25" i="125"/>
  <c r="G25" i="125" s="1"/>
  <c r="F24" i="125"/>
  <c r="G24" i="125" s="1"/>
  <c r="F22" i="125"/>
  <c r="G22" i="125" s="1"/>
  <c r="F21" i="125"/>
  <c r="G21" i="125" s="1"/>
  <c r="F19" i="125"/>
  <c r="G19" i="125" s="1"/>
  <c r="F16" i="125"/>
  <c r="G16" i="125" s="1"/>
  <c r="F15" i="125"/>
  <c r="G15" i="125" s="1"/>
  <c r="F10" i="125"/>
  <c r="G10" i="125" s="1"/>
  <c r="F13" i="125"/>
  <c r="G13" i="125" s="1"/>
  <c r="F12" i="125"/>
  <c r="G12" i="125" s="1"/>
  <c r="F9" i="125"/>
  <c r="G9" i="125" s="1"/>
  <c r="F18" i="125"/>
  <c r="G18" i="125" s="1"/>
  <c r="F6" i="125"/>
  <c r="G6" i="125" s="1"/>
  <c r="F5" i="125"/>
  <c r="G5" i="125" s="1"/>
  <c r="F34" i="123"/>
  <c r="G34" i="123" s="1"/>
  <c r="F33" i="123"/>
  <c r="G33" i="123" s="1"/>
  <c r="F31" i="123"/>
  <c r="G31" i="123" s="1"/>
  <c r="F30" i="123"/>
  <c r="G30" i="123" s="1"/>
  <c r="F28" i="123"/>
  <c r="G28" i="123" s="1"/>
  <c r="F27" i="123"/>
  <c r="G27" i="123" s="1"/>
  <c r="F25" i="123"/>
  <c r="G25" i="123" s="1"/>
  <c r="F24" i="123"/>
  <c r="G24" i="123" s="1"/>
  <c r="F22" i="123"/>
  <c r="G22" i="123" s="1"/>
  <c r="F21" i="123"/>
  <c r="G21" i="123" s="1"/>
  <c r="F16" i="123"/>
  <c r="G16" i="123" s="1"/>
  <c r="F13" i="123"/>
  <c r="G13" i="123" s="1"/>
  <c r="F12" i="123"/>
  <c r="G12" i="123" s="1"/>
  <c r="F10" i="123"/>
  <c r="G10" i="123" s="1"/>
  <c r="F9" i="123"/>
  <c r="G9" i="123" s="1"/>
  <c r="F19" i="123"/>
  <c r="G19" i="123" s="1"/>
  <c r="F18" i="123"/>
  <c r="G18" i="123" s="1"/>
  <c r="F6" i="123"/>
  <c r="G6" i="123" s="1"/>
  <c r="F5" i="123"/>
  <c r="G5" i="123" s="1"/>
  <c r="F12" i="87"/>
  <c r="G12" i="87" s="1"/>
  <c r="F11" i="87"/>
  <c r="G11" i="87" s="1"/>
  <c r="F11" i="105"/>
  <c r="G11" i="105" s="1"/>
  <c r="F12" i="104"/>
  <c r="G12" i="104" s="1"/>
  <c r="F11" i="104"/>
  <c r="G11" i="104" s="1"/>
  <c r="F35" i="106" l="1"/>
  <c r="G35" i="106" s="1"/>
  <c r="F32" i="123"/>
  <c r="G32" i="123" s="1"/>
  <c r="F35" i="123"/>
  <c r="G35" i="123" s="1"/>
  <c r="F44" i="125"/>
  <c r="G44" i="125" s="1"/>
  <c r="H91" i="11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L104" i="111"/>
  <c r="K104" i="111"/>
  <c r="J104" i="111"/>
  <c r="I104" i="111"/>
  <c r="H104" i="111"/>
  <c r="G104" i="111"/>
  <c r="F104" i="111"/>
  <c r="E104" i="111"/>
  <c r="D104" i="111"/>
  <c r="C104" i="111"/>
  <c r="O103" i="111"/>
  <c r="O102" i="111"/>
  <c r="O101" i="111"/>
  <c r="O100" i="111"/>
  <c r="O99" i="111"/>
  <c r="O98" i="111"/>
  <c r="I54" i="72"/>
  <c r="I83" i="87"/>
  <c r="I99" i="87"/>
  <c r="I102" i="87"/>
  <c r="F192" i="87"/>
  <c r="F188" i="87"/>
  <c r="G188" i="87" s="1"/>
  <c r="F184" i="87"/>
  <c r="G184" i="87" s="1"/>
  <c r="F179" i="87"/>
  <c r="F176" i="87"/>
  <c r="G176" i="87" s="1"/>
  <c r="F173" i="87"/>
  <c r="F170" i="87"/>
  <c r="G170" i="87" s="1"/>
  <c r="F166" i="87"/>
  <c r="G166" i="87" s="1"/>
  <c r="F162" i="87"/>
  <c r="G162" i="87" s="1"/>
  <c r="F159" i="87"/>
  <c r="G159" i="87" s="1"/>
  <c r="F155" i="87"/>
  <c r="G155" i="87" s="1"/>
  <c r="F152" i="87"/>
  <c r="G152" i="87" s="1"/>
  <c r="F149" i="87"/>
  <c r="F145" i="87"/>
  <c r="G145" i="87" s="1"/>
  <c r="F135" i="87"/>
  <c r="G135" i="87" s="1"/>
  <c r="F132" i="87"/>
  <c r="G132" i="87" s="1"/>
  <c r="F122" i="87"/>
  <c r="G122" i="87" s="1"/>
  <c r="F116" i="87"/>
  <c r="G116" i="87" s="1"/>
  <c r="F113" i="87"/>
  <c r="G113" i="87" s="1"/>
  <c r="F110" i="87"/>
  <c r="G110" i="87" s="1"/>
  <c r="F107" i="87"/>
  <c r="G107" i="87" s="1"/>
  <c r="F103" i="87"/>
  <c r="G103" i="87" s="1"/>
  <c r="F100" i="87"/>
  <c r="G100" i="87" s="1"/>
  <c r="F97" i="87"/>
  <c r="G97" i="87" s="1"/>
  <c r="F94" i="87"/>
  <c r="F89" i="87"/>
  <c r="G89" i="87" s="1"/>
  <c r="F84" i="87"/>
  <c r="G84" i="87" s="1"/>
  <c r="F80" i="87"/>
  <c r="G80" i="87" s="1"/>
  <c r="F74" i="87"/>
  <c r="G74" i="87" s="1"/>
  <c r="F70" i="87"/>
  <c r="G70" i="87" s="1"/>
  <c r="F66" i="87"/>
  <c r="G66" i="87" s="1"/>
  <c r="F63" i="87"/>
  <c r="G63" i="87" s="1"/>
  <c r="F58" i="87"/>
  <c r="G58" i="87" s="1"/>
  <c r="F55" i="87"/>
  <c r="G55" i="87" s="1"/>
  <c r="F51" i="87"/>
  <c r="G51" i="87" s="1"/>
  <c r="F48" i="87"/>
  <c r="G48" i="87" s="1"/>
  <c r="F45" i="87"/>
  <c r="G45" i="87" s="1"/>
  <c r="F35" i="87"/>
  <c r="G35" i="87" s="1"/>
  <c r="F32" i="87"/>
  <c r="G32" i="87" s="1"/>
  <c r="F29" i="87"/>
  <c r="G29" i="87" s="1"/>
  <c r="F26" i="87"/>
  <c r="G26" i="87" s="1"/>
  <c r="F23" i="87"/>
  <c r="G23" i="87" s="1"/>
  <c r="F20" i="87"/>
  <c r="G20" i="87" s="1"/>
  <c r="F14" i="87"/>
  <c r="G14" i="87" s="1"/>
  <c r="F10" i="87"/>
  <c r="G10" i="87" s="1"/>
  <c r="F7" i="87"/>
  <c r="G7" i="87" s="1"/>
  <c r="I25" i="106"/>
  <c r="F58" i="106"/>
  <c r="G58" i="106" s="1"/>
  <c r="F55" i="106"/>
  <c r="G55" i="106" s="1"/>
  <c r="F41" i="106"/>
  <c r="F38" i="106"/>
  <c r="F32" i="106"/>
  <c r="G32" i="106" s="1"/>
  <c r="F29" i="106"/>
  <c r="G29" i="106" s="1"/>
  <c r="F26" i="106"/>
  <c r="F23" i="106"/>
  <c r="G23" i="106" s="1"/>
  <c r="F20" i="106"/>
  <c r="G20" i="106" s="1"/>
  <c r="F17" i="106"/>
  <c r="G17" i="106" s="1"/>
  <c r="F13" i="106"/>
  <c r="G13" i="106" s="1"/>
  <c r="F10" i="106"/>
  <c r="G10" i="106" s="1"/>
  <c r="F7" i="106"/>
  <c r="G7" i="106" s="1"/>
  <c r="F29" i="123"/>
  <c r="G29" i="123" s="1"/>
  <c r="F26" i="123"/>
  <c r="G26" i="123" s="1"/>
  <c r="F23" i="123"/>
  <c r="G23" i="123" s="1"/>
  <c r="F20" i="123"/>
  <c r="G20" i="123" s="1"/>
  <c r="F14" i="123"/>
  <c r="G14" i="123" s="1"/>
  <c r="F11" i="123"/>
  <c r="G11" i="123" s="1"/>
  <c r="F8" i="123"/>
  <c r="G8" i="123" s="1"/>
  <c r="I22" i="104"/>
  <c r="I38" i="104"/>
  <c r="I39" i="104"/>
  <c r="I40" i="104"/>
  <c r="I62" i="104"/>
  <c r="I66" i="104"/>
  <c r="J154" i="94"/>
  <c r="K154" i="94" s="1"/>
  <c r="J149" i="94"/>
  <c r="K149" i="94" s="1"/>
  <c r="J136" i="94"/>
  <c r="J122" i="94"/>
  <c r="K122" i="94" s="1"/>
  <c r="J118" i="94"/>
  <c r="J85" i="94"/>
  <c r="K85" i="94" s="1"/>
  <c r="J82" i="94"/>
  <c r="J69" i="94"/>
  <c r="K69" i="94" s="1"/>
  <c r="J65" i="94"/>
  <c r="K65" i="94" s="1"/>
  <c r="J60" i="94"/>
  <c r="J57" i="94"/>
  <c r="J36" i="94"/>
  <c r="K36" i="94" s="1"/>
  <c r="J30" i="94"/>
  <c r="J27" i="94"/>
  <c r="K27" i="94" s="1"/>
  <c r="J21" i="94"/>
  <c r="K21" i="94" s="1"/>
  <c r="J17" i="94"/>
  <c r="J72" i="94"/>
  <c r="K72" i="94" s="1"/>
  <c r="J71" i="94"/>
  <c r="K71" i="94" s="1"/>
  <c r="J70" i="94"/>
  <c r="K70" i="94" s="1"/>
  <c r="F65" i="125"/>
  <c r="G65" i="125" s="1"/>
  <c r="F62" i="125"/>
  <c r="F58" i="125"/>
  <c r="F55" i="125"/>
  <c r="F52" i="125"/>
  <c r="F48" i="125"/>
  <c r="F41" i="125"/>
  <c r="G41" i="125" s="1"/>
  <c r="F38" i="125"/>
  <c r="G38" i="125" s="1"/>
  <c r="F35" i="125"/>
  <c r="G35" i="125" s="1"/>
  <c r="F32" i="125"/>
  <c r="G32" i="125" s="1"/>
  <c r="F29" i="125"/>
  <c r="G29" i="125" s="1"/>
  <c r="F26" i="125"/>
  <c r="G26" i="125" s="1"/>
  <c r="F23" i="125"/>
  <c r="G23" i="125" s="1"/>
  <c r="F20" i="125"/>
  <c r="G20" i="125" s="1"/>
  <c r="F17" i="125"/>
  <c r="G17" i="125" s="1"/>
  <c r="F14" i="125"/>
  <c r="G14" i="125" s="1"/>
  <c r="F11" i="125"/>
  <c r="G11" i="125" s="1"/>
  <c r="F8" i="125"/>
  <c r="G8" i="125" s="1"/>
  <c r="G106" i="111" l="1"/>
  <c r="G105" i="111"/>
  <c r="F105" i="111"/>
  <c r="F106" i="111"/>
  <c r="C110" i="111"/>
  <c r="I41" i="106"/>
  <c r="F59" i="106"/>
  <c r="G59" i="106" s="1"/>
  <c r="F66" i="125"/>
  <c r="G66" i="125" s="1"/>
  <c r="I41" i="125"/>
  <c r="J78" i="94"/>
  <c r="K78" i="94" s="1"/>
  <c r="E110" i="111"/>
  <c r="G110" i="111"/>
  <c r="F110" i="111"/>
  <c r="D110" i="111"/>
  <c r="O104" i="111"/>
  <c r="F22" i="127" l="1"/>
  <c r="G22" i="127" s="1"/>
  <c r="F19" i="127"/>
  <c r="G19" i="127" s="1"/>
  <c r="F16" i="127"/>
  <c r="G16" i="127" s="1"/>
  <c r="F13" i="127"/>
  <c r="G13" i="127" s="1"/>
  <c r="F10" i="127"/>
  <c r="G10" i="127" s="1"/>
  <c r="F7" i="127"/>
  <c r="G7" i="127" s="1"/>
  <c r="P14" i="4"/>
  <c r="N14" i="130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M15" i="4"/>
  <c r="M14" i="4"/>
  <c r="M13" i="4"/>
  <c r="M12" i="4"/>
  <c r="M11" i="4"/>
  <c r="M10" i="4"/>
  <c r="DX10" i="4" s="1"/>
  <c r="M9" i="4"/>
  <c r="M8" i="4"/>
  <c r="N15" i="4"/>
  <c r="N14" i="4"/>
  <c r="L5" i="130" s="1"/>
  <c r="N13" i="4"/>
  <c r="N12" i="4"/>
  <c r="N11" i="4"/>
  <c r="N10" i="4"/>
  <c r="N9" i="4"/>
  <c r="N8" i="4"/>
  <c r="BF15" i="4"/>
  <c r="BF14" i="4"/>
  <c r="BD5" i="130" s="1"/>
  <c r="BF13" i="4"/>
  <c r="BF12" i="4"/>
  <c r="BF11" i="4"/>
  <c r="BF10" i="4"/>
  <c r="BF9" i="4"/>
  <c r="BF8" i="4"/>
  <c r="AE15" i="4"/>
  <c r="AE14" i="4"/>
  <c r="AC5" i="130" s="1"/>
  <c r="AE13" i="4"/>
  <c r="AE12" i="4"/>
  <c r="AE11" i="4"/>
  <c r="AE10" i="4"/>
  <c r="AE9" i="4"/>
  <c r="AE8" i="4"/>
  <c r="S15" i="4"/>
  <c r="S14" i="4"/>
  <c r="Q5" i="130" s="1"/>
  <c r="S13" i="4"/>
  <c r="S12" i="4"/>
  <c r="S11" i="4"/>
  <c r="S10" i="4"/>
  <c r="S9" i="4"/>
  <c r="S8" i="4"/>
  <c r="Z15" i="4"/>
  <c r="Z14" i="4"/>
  <c r="Z13" i="4"/>
  <c r="Z12" i="4"/>
  <c r="Z11" i="4"/>
  <c r="Z10" i="4"/>
  <c r="Z9" i="4"/>
  <c r="Z8" i="4"/>
  <c r="Y15" i="4"/>
  <c r="Y14" i="4"/>
  <c r="Y13" i="4"/>
  <c r="Y12" i="4"/>
  <c r="Y11" i="4"/>
  <c r="Y10" i="4"/>
  <c r="Y9" i="4"/>
  <c r="Y8" i="4"/>
  <c r="W15" i="4"/>
  <c r="W14" i="4"/>
  <c r="W13" i="4"/>
  <c r="W12" i="4"/>
  <c r="W11" i="4"/>
  <c r="W10" i="4"/>
  <c r="W9" i="4"/>
  <c r="W8" i="4"/>
  <c r="T15" i="4"/>
  <c r="T14" i="4"/>
  <c r="T13" i="4"/>
  <c r="T12" i="4"/>
  <c r="T11" i="4"/>
  <c r="T10" i="4"/>
  <c r="T9" i="4"/>
  <c r="T8" i="4"/>
  <c r="AK15" i="4"/>
  <c r="AK14" i="4"/>
  <c r="AK13" i="4"/>
  <c r="AK12" i="4"/>
  <c r="AK11" i="4"/>
  <c r="AK10" i="4"/>
  <c r="AK9" i="4"/>
  <c r="AK8" i="4"/>
  <c r="V15" i="4"/>
  <c r="V14" i="4"/>
  <c r="V13" i="4"/>
  <c r="V12" i="4"/>
  <c r="V11" i="4"/>
  <c r="V10" i="4"/>
  <c r="V9" i="4"/>
  <c r="V8" i="4"/>
  <c r="R15" i="4"/>
  <c r="R14" i="4"/>
  <c r="R13" i="4"/>
  <c r="R12" i="4"/>
  <c r="R11" i="4"/>
  <c r="R10" i="4"/>
  <c r="R9" i="4"/>
  <c r="R8" i="4"/>
  <c r="P15" i="4"/>
  <c r="P13" i="4"/>
  <c r="P12" i="4"/>
  <c r="P11" i="4"/>
  <c r="P10" i="4"/>
  <c r="P9" i="4"/>
  <c r="P8" i="4"/>
  <c r="N15" i="130"/>
  <c r="N13" i="130"/>
  <c r="F23" i="127" l="1"/>
  <c r="G23" i="127" s="1"/>
  <c r="N5" i="130"/>
  <c r="N9" i="130"/>
  <c r="N8" i="130"/>
  <c r="K15" i="130" l="1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AA25" i="130"/>
  <c r="AA24" i="130"/>
  <c r="CE23" i="4" l="1"/>
  <c r="CD23" i="4"/>
  <c r="DD34" i="4" l="1"/>
  <c r="DE34" i="4"/>
  <c r="K31" i="75" s="1"/>
  <c r="Q37" i="4" l="1"/>
  <c r="P37" i="4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46" i="130"/>
  <c r="J33" i="130"/>
  <c r="BE60" i="130" l="1"/>
  <c r="BE38" i="130"/>
  <c r="BE28" i="130"/>
  <c r="BE22" i="130"/>
  <c r="BE21" i="130"/>
  <c r="AI38" i="130"/>
  <c r="AI36" i="130"/>
  <c r="AI32" i="130"/>
  <c r="AI29" i="130"/>
  <c r="AI28" i="130"/>
  <c r="AI21" i="130"/>
  <c r="AI19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38" i="130"/>
  <c r="K37" i="130"/>
  <c r="K34" i="130"/>
  <c r="K32" i="130"/>
  <c r="K30" i="130"/>
  <c r="K28" i="130"/>
  <c r="K26" i="130"/>
  <c r="K22" i="130"/>
  <c r="K21" i="130"/>
  <c r="K20" i="130"/>
  <c r="BN44" i="130" l="1"/>
  <c r="BQ44" i="130"/>
  <c r="BE25" i="130"/>
  <c r="BE24" i="130"/>
  <c r="BE23" i="130"/>
  <c r="BB43" i="130"/>
  <c r="BB30" i="130"/>
  <c r="BB25" i="130"/>
  <c r="BB24" i="130"/>
  <c r="BB23" i="130"/>
  <c r="AY30" i="130"/>
  <c r="AY25" i="130"/>
  <c r="AY24" i="130"/>
  <c r="AY23" i="130"/>
  <c r="AV50" i="130"/>
  <c r="AV25" i="130"/>
  <c r="AS50" i="130"/>
  <c r="AS25" i="130"/>
  <c r="AP50" i="130"/>
  <c r="AP25" i="130"/>
  <c r="CB23" i="130"/>
  <c r="AG25" i="130"/>
  <c r="AG24" i="130"/>
  <c r="AG23" i="130"/>
  <c r="AD25" i="130"/>
  <c r="AD23" i="130"/>
  <c r="AA23" i="130"/>
  <c r="N25" i="130"/>
  <c r="M25" i="130" s="1"/>
  <c r="N24" i="130"/>
  <c r="M24" i="130" s="1"/>
  <c r="N23" i="130"/>
  <c r="CA23" i="130" l="1"/>
  <c r="M23" i="130"/>
  <c r="DR60" i="4"/>
  <c r="DR59" i="4"/>
  <c r="DR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K65" i="4"/>
  <c r="DX65" i="4" s="1"/>
  <c r="BS44" i="130" l="1"/>
  <c r="BP44" i="130"/>
  <c r="BA30" i="130"/>
  <c r="BA25" i="130"/>
  <c r="BA24" i="130"/>
  <c r="BA23" i="130"/>
  <c r="AR50" i="130"/>
  <c r="AO50" i="130"/>
  <c r="AO25" i="130"/>
  <c r="AK25" i="130"/>
  <c r="AI25" i="130"/>
  <c r="AI24" i="130"/>
  <c r="AI23" i="130"/>
  <c r="W25" i="130"/>
  <c r="W24" i="130"/>
  <c r="W23" i="130"/>
  <c r="V25" i="130"/>
  <c r="V24" i="130"/>
  <c r="V23" i="130"/>
  <c r="L38" i="130"/>
  <c r="L34" i="130"/>
  <c r="L21" i="130"/>
  <c r="L9" i="130"/>
  <c r="J66" i="130"/>
  <c r="J65" i="130"/>
  <c r="DV65" i="130" s="1"/>
  <c r="J59" i="130"/>
  <c r="J49" i="130"/>
  <c r="J43" i="130"/>
  <c r="J64" i="130"/>
  <c r="F29" i="130" l="1"/>
  <c r="BG25" i="4" l="1"/>
  <c r="BG24" i="4"/>
  <c r="BG23" i="4"/>
  <c r="BD25" i="4"/>
  <c r="BD24" i="4"/>
  <c r="BD23" i="4"/>
  <c r="BA25" i="4"/>
  <c r="BA24" i="4"/>
  <c r="BA23" i="4"/>
  <c r="AU25" i="4"/>
  <c r="AR25" i="4"/>
  <c r="AM25" i="4"/>
  <c r="AK25" i="4"/>
  <c r="AK24" i="4"/>
  <c r="AK23" i="4"/>
  <c r="AI25" i="4"/>
  <c r="AI24" i="4"/>
  <c r="AI23" i="4"/>
  <c r="AF25" i="4"/>
  <c r="AF23" i="4"/>
  <c r="AC25" i="4"/>
  <c r="AC24" i="4"/>
  <c r="AC23" i="4"/>
  <c r="Y25" i="4"/>
  <c r="Y24" i="4"/>
  <c r="Y23" i="4"/>
  <c r="X25" i="4"/>
  <c r="X24" i="4"/>
  <c r="X23" i="4"/>
  <c r="P25" i="4"/>
  <c r="P24" i="4"/>
  <c r="P23" i="4"/>
  <c r="N21" i="4"/>
  <c r="K66" i="4"/>
  <c r="K64" i="4"/>
  <c r="K59" i="4"/>
  <c r="AX50" i="4"/>
  <c r="AU50" i="4"/>
  <c r="AR50" i="4"/>
  <c r="K49" i="4"/>
  <c r="K46" i="4"/>
  <c r="BU44" i="4"/>
  <c r="BS44" i="4"/>
  <c r="BP44" i="4"/>
  <c r="BD43" i="4"/>
  <c r="K43" i="4"/>
  <c r="N38" i="4"/>
  <c r="N34" i="4"/>
  <c r="BD30" i="4"/>
  <c r="BA30" i="4"/>
  <c r="G29" i="4"/>
  <c r="Z73" i="130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55" i="105"/>
  <c r="F151" i="105"/>
  <c r="G151" i="105" s="1"/>
  <c r="F147" i="105"/>
  <c r="G147" i="105" s="1"/>
  <c r="F144" i="105"/>
  <c r="G144" i="105" s="1"/>
  <c r="F141" i="105"/>
  <c r="G141" i="105" s="1"/>
  <c r="F137" i="105"/>
  <c r="G137" i="105" s="1"/>
  <c r="F134" i="105"/>
  <c r="G134" i="105" s="1"/>
  <c r="F130" i="105"/>
  <c r="G130" i="105" s="1"/>
  <c r="F127" i="105"/>
  <c r="G127" i="105" s="1"/>
  <c r="F124" i="105"/>
  <c r="G124" i="105" s="1"/>
  <c r="F120" i="105"/>
  <c r="G120" i="105" s="1"/>
  <c r="F116" i="105"/>
  <c r="G116" i="105" s="1"/>
  <c r="F112" i="105"/>
  <c r="G112" i="105" s="1"/>
  <c r="F109" i="105"/>
  <c r="G109" i="105" s="1"/>
  <c r="F106" i="105"/>
  <c r="G106" i="105" s="1"/>
  <c r="F102" i="105"/>
  <c r="G102" i="105" s="1"/>
  <c r="F99" i="105"/>
  <c r="G99" i="105" s="1"/>
  <c r="F96" i="105"/>
  <c r="G96" i="105" s="1"/>
  <c r="F93" i="105"/>
  <c r="G93" i="105" s="1"/>
  <c r="F89" i="105"/>
  <c r="G89" i="105" s="1"/>
  <c r="F86" i="105"/>
  <c r="G86" i="105" s="1"/>
  <c r="F83" i="105"/>
  <c r="G83" i="105" s="1"/>
  <c r="F80" i="105"/>
  <c r="G80" i="105" s="1"/>
  <c r="F75" i="105"/>
  <c r="G75" i="105" s="1"/>
  <c r="F72" i="105"/>
  <c r="G72" i="105" s="1"/>
  <c r="F68" i="105"/>
  <c r="G68" i="105" s="1"/>
  <c r="F64" i="105"/>
  <c r="G64" i="105" s="1"/>
  <c r="F59" i="105"/>
  <c r="G59" i="105" s="1"/>
  <c r="F56" i="105"/>
  <c r="G56" i="105" s="1"/>
  <c r="F51" i="105"/>
  <c r="G51" i="105" s="1"/>
  <c r="F48" i="105"/>
  <c r="G48" i="105" s="1"/>
  <c r="F45" i="105"/>
  <c r="G45" i="105" s="1"/>
  <c r="F42" i="105"/>
  <c r="G42" i="105" s="1"/>
  <c r="F39" i="105"/>
  <c r="G39" i="105" s="1"/>
  <c r="F35" i="105"/>
  <c r="G35" i="105" s="1"/>
  <c r="F33" i="105"/>
  <c r="G33" i="105" s="1"/>
  <c r="F30" i="105"/>
  <c r="G30" i="105" s="1"/>
  <c r="F27" i="105"/>
  <c r="G27" i="105" s="1"/>
  <c r="F24" i="105"/>
  <c r="G24" i="105" s="1"/>
  <c r="F21" i="105"/>
  <c r="G21" i="105" s="1"/>
  <c r="F18" i="105"/>
  <c r="G18" i="105" s="1"/>
  <c r="F10" i="105"/>
  <c r="F7" i="105"/>
  <c r="G7" i="105" s="1"/>
  <c r="F67" i="104"/>
  <c r="G67" i="104" s="1"/>
  <c r="F63" i="104"/>
  <c r="G63" i="104" s="1"/>
  <c r="F58" i="104"/>
  <c r="F54" i="104"/>
  <c r="F51" i="104"/>
  <c r="F48" i="104"/>
  <c r="F45" i="104"/>
  <c r="F42" i="104"/>
  <c r="G42" i="104" s="1"/>
  <c r="F36" i="104"/>
  <c r="F34" i="104"/>
  <c r="G34" i="104" s="1"/>
  <c r="F31" i="104"/>
  <c r="F28" i="104"/>
  <c r="G28" i="104" s="1"/>
  <c r="F24" i="104"/>
  <c r="F20" i="104"/>
  <c r="G20" i="104" s="1"/>
  <c r="F17" i="104"/>
  <c r="G17" i="104" s="1"/>
  <c r="F13" i="104"/>
  <c r="G13" i="104" s="1"/>
  <c r="F10" i="104"/>
  <c r="G10" i="104" s="1"/>
  <c r="F7" i="104"/>
  <c r="G7" i="104" s="1"/>
  <c r="J272" i="94"/>
  <c r="K272" i="94" s="1"/>
  <c r="J267" i="94"/>
  <c r="K267" i="94" s="1"/>
  <c r="J262" i="94"/>
  <c r="J258" i="94"/>
  <c r="J254" i="94"/>
  <c r="J250" i="94"/>
  <c r="J246" i="94"/>
  <c r="K246" i="94" s="1"/>
  <c r="J241" i="94"/>
  <c r="K241" i="94" s="1"/>
  <c r="J238" i="94"/>
  <c r="J235" i="94"/>
  <c r="K235" i="94" s="1"/>
  <c r="J232" i="94"/>
  <c r="K232" i="94" s="1"/>
  <c r="J208" i="94"/>
  <c r="K208" i="94" s="1"/>
  <c r="F146" i="72"/>
  <c r="G146" i="72" s="1"/>
  <c r="F142" i="72"/>
  <c r="G142" i="72" s="1"/>
  <c r="F138" i="72"/>
  <c r="G138" i="72" s="1"/>
  <c r="F133" i="72"/>
  <c r="G133" i="72" s="1"/>
  <c r="F129" i="72"/>
  <c r="G129" i="72" s="1"/>
  <c r="F125" i="72"/>
  <c r="G125" i="72" s="1"/>
  <c r="F121" i="72"/>
  <c r="G121" i="72" s="1"/>
  <c r="F102" i="72"/>
  <c r="G102" i="72" s="1"/>
  <c r="F86" i="72"/>
  <c r="G86" i="72" s="1"/>
  <c r="F75" i="72"/>
  <c r="G75" i="72" s="1"/>
  <c r="F70" i="72"/>
  <c r="G70" i="72" s="1"/>
  <c r="F67" i="72"/>
  <c r="G67" i="72" s="1"/>
  <c r="F63" i="72"/>
  <c r="G63" i="72" s="1"/>
  <c r="F59" i="72"/>
  <c r="G59" i="72" s="1"/>
  <c r="F55" i="72"/>
  <c r="G55" i="72" s="1"/>
  <c r="F52" i="72"/>
  <c r="G52" i="72" s="1"/>
  <c r="F49" i="72"/>
  <c r="G49" i="72" s="1"/>
  <c r="F46" i="72"/>
  <c r="G46" i="72" s="1"/>
  <c r="F34" i="72"/>
  <c r="G34" i="72" s="1"/>
  <c r="F18" i="72"/>
  <c r="G18" i="72" s="1"/>
  <c r="F15" i="72"/>
  <c r="G15" i="72" s="1"/>
  <c r="F12" i="72"/>
  <c r="G12" i="72" s="1"/>
  <c r="F8" i="72"/>
  <c r="G8" i="72" s="1"/>
  <c r="G155" i="105" l="1"/>
  <c r="G10" i="105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F68" i="104"/>
  <c r="G68" i="104" s="1"/>
  <c r="DT34" i="4"/>
  <c r="J31" i="75" s="1"/>
  <c r="J15" i="75" s="1"/>
  <c r="DS34" i="4"/>
  <c r="DT25" i="4"/>
  <c r="DS25" i="4"/>
  <c r="DK59" i="4"/>
  <c r="DH59" i="4"/>
  <c r="DJ34" i="4"/>
  <c r="DJ22" i="4"/>
  <c r="DH22" i="4"/>
  <c r="DF58" i="4"/>
  <c r="DF34" i="4"/>
  <c r="DB34" i="4"/>
  <c r="K33" i="75" s="1"/>
  <c r="DA34" i="4"/>
  <c r="CX34" i="4"/>
  <c r="CV34" i="4"/>
  <c r="BY59" i="4"/>
  <c r="BY34" i="4"/>
  <c r="BY33" i="4"/>
  <c r="K33" i="4"/>
  <c r="K28" i="75" l="1"/>
  <c r="CU74" i="130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CY34" i="4"/>
  <c r="H31" i="75" s="1"/>
  <c r="H15" i="75" s="1"/>
  <c r="S34" i="4" l="1"/>
  <c r="DW26" i="130"/>
  <c r="DW25" i="130"/>
  <c r="BG60" i="4"/>
  <c r="BG38" i="4"/>
  <c r="BH38" i="4"/>
  <c r="BH28" i="4"/>
  <c r="BG28" i="4"/>
  <c r="BG22" i="4"/>
  <c r="BH22" i="4"/>
  <c r="BH21" i="4"/>
  <c r="BG21" i="4"/>
  <c r="AK38" i="4"/>
  <c r="AK36" i="4"/>
  <c r="AK32" i="4"/>
  <c r="AK29" i="4"/>
  <c r="AK28" i="4"/>
  <c r="AK21" i="4"/>
  <c r="AK19" i="4"/>
  <c r="AA48" i="4"/>
  <c r="AA46" i="4"/>
  <c r="AA42" i="4"/>
  <c r="AA38" i="4"/>
  <c r="AA34" i="4"/>
  <c r="AA30" i="4"/>
  <c r="AA22" i="4"/>
  <c r="AA21" i="4"/>
  <c r="Z34" i="4"/>
  <c r="Z27" i="4"/>
  <c r="Y46" i="4"/>
  <c r="Y38" i="4"/>
  <c r="Y37" i="4"/>
  <c r="Y36" i="4"/>
  <c r="Y35" i="4"/>
  <c r="Y34" i="4"/>
  <c r="Y32" i="4"/>
  <c r="Y30" i="4"/>
  <c r="Y28" i="4"/>
  <c r="Y27" i="4"/>
  <c r="Y22" i="4"/>
  <c r="Y21" i="4"/>
  <c r="Y20" i="4"/>
  <c r="W36" i="4"/>
  <c r="W34" i="4"/>
  <c r="W22" i="4"/>
  <c r="W20" i="4"/>
  <c r="U34" i="4"/>
  <c r="V34" i="4"/>
  <c r="V32" i="4"/>
  <c r="V28" i="4"/>
  <c r="V26" i="4"/>
  <c r="V22" i="4"/>
  <c r="V21" i="4"/>
  <c r="V20" i="4"/>
  <c r="V19" i="4"/>
  <c r="T46" i="4"/>
  <c r="T42" i="4"/>
  <c r="T38" i="4"/>
  <c r="T37" i="4"/>
  <c r="T36" i="4"/>
  <c r="T35" i="4"/>
  <c r="T34" i="4"/>
  <c r="T32" i="4"/>
  <c r="T28" i="4"/>
  <c r="T26" i="4"/>
  <c r="T22" i="4"/>
  <c r="T21" i="4"/>
  <c r="T19" i="4"/>
  <c r="P62" i="4"/>
  <c r="Q46" i="4"/>
  <c r="P46" i="4"/>
  <c r="P45" i="4"/>
  <c r="Q45" i="4"/>
  <c r="Q42" i="4"/>
  <c r="P42" i="4"/>
  <c r="P39" i="4"/>
  <c r="Q39" i="4"/>
  <c r="Q38" i="4"/>
  <c r="P38" i="4"/>
  <c r="P36" i="4"/>
  <c r="Q36" i="4"/>
  <c r="P32" i="4"/>
  <c r="Q32" i="4"/>
  <c r="Q31" i="4"/>
  <c r="P31" i="4"/>
  <c r="P28" i="4"/>
  <c r="Q28" i="4"/>
  <c r="Q27" i="4"/>
  <c r="P27" i="4"/>
  <c r="Q26" i="4"/>
  <c r="P26" i="4"/>
  <c r="Q22" i="4"/>
  <c r="P22" i="4"/>
  <c r="P21" i="4"/>
  <c r="Q21" i="4"/>
  <c r="Q20" i="4"/>
  <c r="P20" i="4"/>
  <c r="M38" i="4"/>
  <c r="M37" i="4"/>
  <c r="M34" i="4"/>
  <c r="M32" i="4"/>
  <c r="M30" i="4"/>
  <c r="M28" i="4"/>
  <c r="M26" i="4"/>
  <c r="M22" i="4"/>
  <c r="M21" i="4"/>
  <c r="M20" i="4"/>
  <c r="K16" i="75" l="1"/>
  <c r="K20" i="75"/>
  <c r="K21" i="75"/>
  <c r="K17" i="75"/>
  <c r="K22" i="75" l="1"/>
  <c r="G16" i="75" l="1"/>
  <c r="G15" i="75" s="1"/>
  <c r="S22" i="4"/>
  <c r="BC43" i="4"/>
  <c r="BC30" i="4"/>
  <c r="BC25" i="4"/>
  <c r="BC24" i="4"/>
  <c r="BC23" i="4"/>
  <c r="H39" i="73"/>
  <c r="I39" i="73" s="1"/>
  <c r="H86" i="73"/>
  <c r="I86" i="73" s="1"/>
  <c r="H55" i="73"/>
  <c r="I55" i="73" s="1"/>
  <c r="H46" i="73"/>
  <c r="I46" i="73" s="1"/>
  <c r="H33" i="73"/>
  <c r="I33" i="73" s="1"/>
  <c r="H32" i="73"/>
  <c r="I32" i="73" s="1"/>
  <c r="M118" i="94"/>
  <c r="BE72" i="4"/>
  <c r="BD72" i="4"/>
  <c r="BC71" i="4"/>
  <c r="BC72" i="4" s="1"/>
  <c r="BC70" i="4"/>
  <c r="BE69" i="4"/>
  <c r="BC67" i="4"/>
  <c r="BC66" i="4"/>
  <c r="BC64" i="4"/>
  <c r="BC63" i="4"/>
  <c r="BC62" i="4"/>
  <c r="BC61" i="4"/>
  <c r="BC60" i="4"/>
  <c r="BC59" i="4"/>
  <c r="BC58" i="4"/>
  <c r="BC57" i="4"/>
  <c r="BC54" i="4"/>
  <c r="BC53" i="4"/>
  <c r="BC50" i="4"/>
  <c r="BC49" i="4"/>
  <c r="BC48" i="4"/>
  <c r="BC46" i="4"/>
  <c r="BC45" i="4"/>
  <c r="BC44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29" i="4"/>
  <c r="BC28" i="4"/>
  <c r="BC27" i="4"/>
  <c r="BC26" i="4"/>
  <c r="BE52" i="4"/>
  <c r="BC22" i="4"/>
  <c r="BC21" i="4"/>
  <c r="BC20" i="4"/>
  <c r="BC19" i="4"/>
  <c r="BC18" i="4"/>
  <c r="BC17" i="4"/>
  <c r="BE16" i="4"/>
  <c r="BD16" i="4"/>
  <c r="G91" i="111"/>
  <c r="G92" i="111"/>
  <c r="F91" i="111"/>
  <c r="F92" i="111"/>
  <c r="F93" i="111" l="1"/>
  <c r="BE55" i="4"/>
  <c r="BE74" i="4" s="1"/>
  <c r="G93" i="111"/>
  <c r="BD52" i="4"/>
  <c r="BD55" i="4" s="1"/>
  <c r="BC16" i="4"/>
  <c r="BC52" i="4"/>
  <c r="G43" i="1"/>
  <c r="E91" i="111"/>
  <c r="E92" i="111"/>
  <c r="H60" i="73"/>
  <c r="I60" i="73" s="1"/>
  <c r="J72" i="4"/>
  <c r="J69" i="4"/>
  <c r="J52" i="4"/>
  <c r="I16" i="4"/>
  <c r="J16" i="4"/>
  <c r="G12" i="103"/>
  <c r="D91" i="111"/>
  <c r="D92" i="111"/>
  <c r="C92" i="111"/>
  <c r="C91" i="111"/>
  <c r="C75" i="111"/>
  <c r="M19" i="85"/>
  <c r="I19" i="85"/>
  <c r="F19" i="85"/>
  <c r="E19" i="85"/>
  <c r="D19" i="85"/>
  <c r="Z13" i="103"/>
  <c r="Y13" i="103"/>
  <c r="X13" i="103"/>
  <c r="W13" i="103"/>
  <c r="V13" i="103"/>
  <c r="U13" i="103"/>
  <c r="T13" i="103"/>
  <c r="S13" i="103"/>
  <c r="R13" i="103"/>
  <c r="Q13" i="103"/>
  <c r="P13" i="103"/>
  <c r="O13" i="103"/>
  <c r="N13" i="103"/>
  <c r="M13" i="103"/>
  <c r="L13" i="103"/>
  <c r="K13" i="103"/>
  <c r="J13" i="103"/>
  <c r="I13" i="103"/>
  <c r="I26" i="103" s="1"/>
  <c r="E213" i="131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D42" i="131" l="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BC55" i="4"/>
  <c r="BD69" i="4"/>
  <c r="BD74" i="4" s="1"/>
  <c r="BC68" i="4"/>
  <c r="D93" i="111"/>
  <c r="J55" i="4"/>
  <c r="J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E212" i="131"/>
  <c r="I22" i="90"/>
  <c r="BC69" i="4"/>
  <c r="BC74" i="4" s="1"/>
  <c r="H22" i="90"/>
  <c r="M22" i="90"/>
  <c r="F22" i="90"/>
  <c r="G22" i="90"/>
  <c r="L22" i="90"/>
  <c r="K22" i="90"/>
  <c r="E22" i="90"/>
  <c r="D22" i="90"/>
  <c r="J22" i="90"/>
  <c r="F112" i="75" l="1"/>
  <c r="G112" i="75"/>
  <c r="H112" i="75"/>
  <c r="I112" i="75"/>
  <c r="J112" i="75"/>
  <c r="K112" i="75"/>
  <c r="M112" i="75"/>
  <c r="N112" i="75"/>
  <c r="O112" i="75"/>
  <c r="P112" i="75"/>
  <c r="F130" i="75"/>
  <c r="G130" i="75"/>
  <c r="H130" i="75"/>
  <c r="I130" i="75"/>
  <c r="J130" i="75"/>
  <c r="K130" i="75"/>
  <c r="H48" i="73"/>
  <c r="I48" i="73" s="1"/>
  <c r="H22" i="73"/>
  <c r="I22" i="73" s="1"/>
  <c r="Q37" i="85"/>
  <c r="Q38" i="85"/>
  <c r="Q29" i="85"/>
  <c r="Q16" i="85"/>
  <c r="H44" i="73"/>
  <c r="I44" i="73" s="1"/>
  <c r="G95" i="1"/>
  <c r="H109" i="73"/>
  <c r="I109" i="73" s="1"/>
  <c r="H108" i="73"/>
  <c r="I108" i="73" s="1"/>
  <c r="H107" i="73"/>
  <c r="I107" i="73" s="1"/>
  <c r="H106" i="73"/>
  <c r="I106" i="73" s="1"/>
  <c r="H105" i="73"/>
  <c r="I105" i="73" s="1"/>
  <c r="H102" i="73"/>
  <c r="I102" i="73" s="1"/>
  <c r="H101" i="73"/>
  <c r="I101" i="73" s="1"/>
  <c r="H100" i="73"/>
  <c r="I100" i="73" s="1"/>
  <c r="H99" i="73"/>
  <c r="I99" i="73" s="1"/>
  <c r="H98" i="73"/>
  <c r="I98" i="73" s="1"/>
  <c r="H93" i="73"/>
  <c r="I93" i="73" s="1"/>
  <c r="H81" i="73"/>
  <c r="I81" i="73" s="1"/>
  <c r="H78" i="73"/>
  <c r="H76" i="73"/>
  <c r="I76" i="73" s="1"/>
  <c r="H75" i="73"/>
  <c r="I75" i="73" s="1"/>
  <c r="H74" i="73"/>
  <c r="H72" i="73"/>
  <c r="H71" i="73"/>
  <c r="H70" i="73"/>
  <c r="I70" i="73" s="1"/>
  <c r="H69" i="73"/>
  <c r="I69" i="73" s="1"/>
  <c r="H68" i="73"/>
  <c r="I68" i="73" s="1"/>
  <c r="H67" i="73"/>
  <c r="I67" i="73" s="1"/>
  <c r="H66" i="73"/>
  <c r="I66" i="73" s="1"/>
  <c r="H64" i="73"/>
  <c r="I64" i="73" s="1"/>
  <c r="H63" i="73"/>
  <c r="I63" i="73" s="1"/>
  <c r="H62" i="73"/>
  <c r="I62" i="73" s="1"/>
  <c r="H59" i="73"/>
  <c r="I59" i="73" s="1"/>
  <c r="H58" i="73"/>
  <c r="I58" i="73" s="1"/>
  <c r="H57" i="73"/>
  <c r="I57" i="73" s="1"/>
  <c r="H56" i="73"/>
  <c r="I56" i="73" s="1"/>
  <c r="H53" i="73"/>
  <c r="I53" i="73" s="1"/>
  <c r="H52" i="73"/>
  <c r="I52" i="73" s="1"/>
  <c r="H51" i="73"/>
  <c r="I51" i="73" s="1"/>
  <c r="H50" i="73"/>
  <c r="I50" i="73" s="1"/>
  <c r="H47" i="73"/>
  <c r="I47" i="73" s="1"/>
  <c r="H45" i="73"/>
  <c r="I45" i="73" s="1"/>
  <c r="H41" i="73"/>
  <c r="I41" i="73" s="1"/>
  <c r="H40" i="73"/>
  <c r="I40" i="73" s="1"/>
  <c r="H38" i="73"/>
  <c r="I38" i="73" s="1"/>
  <c r="H37" i="73"/>
  <c r="I37" i="73" s="1"/>
  <c r="H36" i="73"/>
  <c r="I36" i="73" s="1"/>
  <c r="H31" i="73"/>
  <c r="I31" i="73" s="1"/>
  <c r="H24" i="73"/>
  <c r="I24" i="73" s="1"/>
  <c r="H25" i="73"/>
  <c r="I25" i="73" s="1"/>
  <c r="H26" i="73"/>
  <c r="I26" i="73" s="1"/>
  <c r="H23" i="73"/>
  <c r="I23" i="73" s="1"/>
  <c r="H21" i="73"/>
  <c r="I21" i="73" s="1"/>
  <c r="H19" i="73"/>
  <c r="I19" i="73" s="1"/>
  <c r="H18" i="73"/>
  <c r="I18" i="73" s="1"/>
  <c r="H17" i="73"/>
  <c r="I17" i="73" s="1"/>
  <c r="H15" i="73"/>
  <c r="I15" i="73" s="1"/>
  <c r="H114" i="73"/>
  <c r="I114" i="73" s="1"/>
  <c r="H113" i="73"/>
  <c r="I113" i="73" s="1"/>
  <c r="H34" i="73"/>
  <c r="I34" i="73" s="1"/>
  <c r="H34" i="1"/>
  <c r="M35" i="1"/>
  <c r="M36" i="1" s="1"/>
  <c r="N35" i="1"/>
  <c r="N36" i="1" s="1"/>
  <c r="O35" i="1"/>
  <c r="O36" i="1" s="1"/>
  <c r="P35" i="1"/>
  <c r="P36" i="1" s="1"/>
  <c r="K36" i="1"/>
  <c r="L36" i="1"/>
  <c r="K41" i="1"/>
  <c r="L41" i="1"/>
  <c r="M41" i="1"/>
  <c r="N41" i="1"/>
  <c r="O41" i="1"/>
  <c r="E40" i="131" s="1"/>
  <c r="P41" i="1"/>
  <c r="F40" i="131" s="1"/>
  <c r="Q41" i="1"/>
  <c r="G40" i="131" s="1"/>
  <c r="R41" i="1"/>
  <c r="H40" i="131" s="1"/>
  <c r="S41" i="1"/>
  <c r="I40" i="131" s="1"/>
  <c r="T41" i="1"/>
  <c r="D41" i="131"/>
  <c r="G48" i="1"/>
  <c r="D47" i="131" s="1"/>
  <c r="H34" i="72"/>
  <c r="I34" i="72" s="1"/>
  <c r="H55" i="87"/>
  <c r="I55" i="87" s="1"/>
  <c r="H20" i="125"/>
  <c r="I20" i="125" s="1"/>
  <c r="H20" i="123"/>
  <c r="I20" i="123" s="1"/>
  <c r="G15" i="1"/>
  <c r="D14" i="131" s="1"/>
  <c r="H49" i="73" l="1"/>
  <c r="I49" i="73" s="1"/>
  <c r="E47" i="131"/>
  <c r="F47" i="131" s="1"/>
  <c r="G47" i="131" s="1"/>
  <c r="H47" i="131" s="1"/>
  <c r="I47" i="131" s="1"/>
  <c r="H43" i="73"/>
  <c r="I43" i="73" s="1"/>
  <c r="E41" i="131"/>
  <c r="F41" i="131" s="1"/>
  <c r="G41" i="131" s="1"/>
  <c r="H41" i="131" s="1"/>
  <c r="I41" i="131" s="1"/>
  <c r="H35" i="73"/>
  <c r="I35" i="73" s="1"/>
  <c r="H104" i="73"/>
  <c r="I104" i="73" s="1"/>
  <c r="D79" i="131"/>
  <c r="H16" i="73"/>
  <c r="I16" i="73" s="1"/>
  <c r="G41" i="1"/>
  <c r="D40" i="131" s="1"/>
  <c r="R14" i="85"/>
  <c r="D5" i="85"/>
  <c r="H14" i="73"/>
  <c r="I14" i="73" s="1"/>
  <c r="H12" i="73"/>
  <c r="I12" i="73" s="1"/>
  <c r="H11" i="73"/>
  <c r="I11" i="73" s="1"/>
  <c r="H8" i="73"/>
  <c r="I8" i="73" s="1"/>
  <c r="M27" i="94"/>
  <c r="X72" i="4"/>
  <c r="X16" i="4"/>
  <c r="H85" i="73" l="1"/>
  <c r="I85" i="73" s="1"/>
  <c r="R15" i="85"/>
  <c r="I27" i="131"/>
  <c r="I196" i="131" s="1"/>
  <c r="F27" i="131"/>
  <c r="F196" i="131" s="1"/>
  <c r="E33" i="131"/>
  <c r="E27" i="131" s="1"/>
  <c r="G27" i="131"/>
  <c r="H42" i="73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G93" i="1"/>
  <c r="G99" i="1" s="1"/>
  <c r="H7" i="73"/>
  <c r="I7" i="73" s="1"/>
  <c r="H30" i="73" l="1"/>
  <c r="I30" i="73" s="1"/>
  <c r="I42" i="73"/>
  <c r="H6" i="73"/>
  <c r="I6" i="73" s="1"/>
  <c r="D196" i="131"/>
  <c r="D194" i="131" s="1"/>
  <c r="D100" i="131"/>
  <c r="D101" i="131" s="1"/>
  <c r="D177" i="131"/>
  <c r="E196" i="131"/>
  <c r="H196" i="131"/>
  <c r="E6" i="131"/>
  <c r="G196" i="131"/>
  <c r="E100" i="131" l="1"/>
  <c r="E195" i="131"/>
  <c r="E194" i="131" s="1"/>
  <c r="E177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O91" i="111" l="1"/>
  <c r="G6" i="131"/>
  <c r="F100" i="131"/>
  <c r="F195" i="131"/>
  <c r="F194" i="131" s="1"/>
  <c r="F177" i="131"/>
  <c r="C106" i="111"/>
  <c r="C105" i="111"/>
  <c r="D105" i="111"/>
  <c r="D106" i="111"/>
  <c r="E105" i="111"/>
  <c r="E106" i="11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L28" i="75"/>
  <c r="E29" i="75"/>
  <c r="L21" i="75"/>
  <c r="G195" i="131" l="1"/>
  <c r="G194" i="131" s="1"/>
  <c r="G177" i="131"/>
  <c r="G100" i="131"/>
  <c r="I6" i="131"/>
  <c r="H6" i="131"/>
  <c r="S85" i="111"/>
  <c r="O105" i="111"/>
  <c r="S84" i="111"/>
  <c r="S83" i="111"/>
  <c r="S82" i="111"/>
  <c r="S81" i="111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M94" i="94" l="1"/>
  <c r="E28" i="75" l="1"/>
  <c r="C28" i="75" s="1"/>
  <c r="H166" i="87"/>
  <c r="I166" i="87" s="1"/>
  <c r="H145" i="87"/>
  <c r="I145" i="87" s="1"/>
  <c r="H110" i="87"/>
  <c r="I110" i="87" s="1"/>
  <c r="H63" i="87"/>
  <c r="I63" i="87" s="1"/>
  <c r="H45" i="87"/>
  <c r="I45" i="87" s="1"/>
  <c r="H17" i="106"/>
  <c r="I17" i="106" s="1"/>
  <c r="H38" i="87"/>
  <c r="I38" i="87" s="1"/>
  <c r="H18" i="72"/>
  <c r="I18" i="72" s="1"/>
  <c r="H35" i="87"/>
  <c r="I35" i="87" s="1"/>
  <c r="H13" i="106"/>
  <c r="I13" i="106" s="1"/>
  <c r="H32" i="87"/>
  <c r="I32" i="87" s="1"/>
  <c r="H26" i="87"/>
  <c r="I26" i="87" s="1"/>
  <c r="H15" i="72"/>
  <c r="I15" i="72" s="1"/>
  <c r="H29" i="87"/>
  <c r="I29" i="87" s="1"/>
  <c r="H12" i="72"/>
  <c r="I12" i="72" s="1"/>
  <c r="H23" i="87"/>
  <c r="I23" i="87" s="1"/>
  <c r="H10" i="87"/>
  <c r="I10" i="87" s="1"/>
  <c r="H10" i="106"/>
  <c r="I10" i="106" s="1"/>
  <c r="L29" i="75"/>
  <c r="C29" i="75" s="1"/>
  <c r="H97" i="72"/>
  <c r="I97" i="72" s="1"/>
  <c r="H116" i="87"/>
  <c r="I116" i="87" s="1"/>
  <c r="E25" i="75"/>
  <c r="C25" i="75" s="1"/>
  <c r="H52" i="72"/>
  <c r="I52" i="72" s="1"/>
  <c r="H70" i="87"/>
  <c r="I70" i="87" s="1"/>
  <c r="H49" i="72"/>
  <c r="I49" i="72" s="1"/>
  <c r="H66" i="87"/>
  <c r="I66" i="87" s="1"/>
  <c r="E21" i="75"/>
  <c r="C21" i="75" s="1"/>
  <c r="H7" i="87"/>
  <c r="I7" i="87" s="1"/>
  <c r="H7" i="106"/>
  <c r="I7" i="106" s="1"/>
  <c r="H14" i="87"/>
  <c r="I14" i="87" s="1"/>
  <c r="F65" i="4"/>
  <c r="D163" i="131" s="1"/>
  <c r="H192" i="87"/>
  <c r="I192" i="87" s="1"/>
  <c r="H179" i="87"/>
  <c r="I179" i="87" s="1"/>
  <c r="H176" i="87"/>
  <c r="I176" i="87" s="1"/>
  <c r="H173" i="87"/>
  <c r="I173" i="87" s="1"/>
  <c r="H149" i="87"/>
  <c r="I149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X65" i="130" l="1"/>
  <c r="R40" i="85"/>
  <c r="Q78" i="94"/>
  <c r="R78" i="94" s="1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H179" i="73" l="1"/>
  <c r="I179" i="73" s="1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9" i="4"/>
  <c r="AX69" i="4"/>
  <c r="AW57" i="4"/>
  <c r="AW54" i="4"/>
  <c r="AW53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3" i="4"/>
  <c r="AW32" i="4"/>
  <c r="AW31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Y16" i="4"/>
  <c r="AX16" i="4"/>
  <c r="AW16" i="4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7" i="4"/>
  <c r="AT54" i="4"/>
  <c r="AT53" i="4"/>
  <c r="AT50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H63" i="72" s="1"/>
  <c r="I63" i="72" s="1"/>
  <c r="AT34" i="4"/>
  <c r="H84" i="87" s="1"/>
  <c r="I84" i="87" s="1"/>
  <c r="AT33" i="4"/>
  <c r="AT32" i="4"/>
  <c r="AT31" i="4"/>
  <c r="AT30" i="4"/>
  <c r="H26" i="106" s="1"/>
  <c r="I26" i="106" s="1"/>
  <c r="AT29" i="4"/>
  <c r="AT28" i="4"/>
  <c r="AT27" i="4"/>
  <c r="AT26" i="4"/>
  <c r="AU52" i="4"/>
  <c r="AT25" i="4"/>
  <c r="H35" i="125" s="1"/>
  <c r="I35" i="125" s="1"/>
  <c r="AT24" i="4"/>
  <c r="AT23" i="4"/>
  <c r="AT22" i="4"/>
  <c r="AT21" i="4"/>
  <c r="AT20" i="4"/>
  <c r="AT19" i="4"/>
  <c r="AT18" i="4"/>
  <c r="AT17" i="4"/>
  <c r="AV16" i="4"/>
  <c r="AU16" i="4"/>
  <c r="AT16" i="4"/>
  <c r="AU55" i="4" l="1"/>
  <c r="AT52" i="4"/>
  <c r="AT55" i="4" s="1"/>
  <c r="AW58" i="4"/>
  <c r="AW69" i="4" s="1"/>
  <c r="AV52" i="4"/>
  <c r="AV55" i="4" s="1"/>
  <c r="AV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0" i="83" s="1"/>
  <c r="O59" i="111"/>
  <c r="O76" i="111"/>
  <c r="P36" i="75" l="1"/>
  <c r="L70" i="75" l="1"/>
  <c r="C70" i="75" s="1"/>
  <c r="L6" i="75" l="1"/>
  <c r="E6" i="75" l="1"/>
  <c r="D6" i="75" l="1"/>
  <c r="C6" i="75" s="1"/>
  <c r="F34" i="84"/>
  <c r="M62" i="94" l="1"/>
  <c r="M61" i="94"/>
  <c r="R10" i="85" l="1"/>
  <c r="S10" i="85" s="1"/>
  <c r="R11" i="85"/>
  <c r="S11" i="85" s="1"/>
  <c r="R7" i="85"/>
  <c r="S7" i="85" s="1"/>
  <c r="H22" i="127" l="1"/>
  <c r="I22" i="127" s="1"/>
  <c r="O51" i="4" l="1"/>
  <c r="O47" i="4"/>
  <c r="O48" i="4"/>
  <c r="O14" i="4"/>
  <c r="O13" i="4"/>
  <c r="DX13" i="4" s="1"/>
  <c r="O12" i="4"/>
  <c r="O11" i="4"/>
  <c r="DX11" i="4" s="1"/>
  <c r="O10" i="4"/>
  <c r="O9" i="4"/>
  <c r="DX9" i="4" s="1"/>
  <c r="O8" i="4"/>
  <c r="DX8" i="4" s="1"/>
  <c r="F12" i="4" l="1"/>
  <c r="D111" i="131" s="1"/>
  <c r="DX12" i="4"/>
  <c r="M5" i="130"/>
  <c r="DX14" i="4"/>
  <c r="F8" i="4"/>
  <c r="D107" i="131" s="1"/>
  <c r="E107" i="131" s="1"/>
  <c r="F107" i="131" s="1"/>
  <c r="G107" i="131" s="1"/>
  <c r="H107" i="131" s="1"/>
  <c r="I107" i="131" s="1"/>
  <c r="DX8" i="130" l="1"/>
  <c r="DX12" i="130"/>
  <c r="E111" i="131"/>
  <c r="F111" i="131" s="1"/>
  <c r="G111" i="131" s="1"/>
  <c r="H111" i="131" s="1"/>
  <c r="I111" i="131" s="1"/>
  <c r="DY12" i="4"/>
  <c r="DY8" i="4"/>
  <c r="H19" i="127"/>
  <c r="I19" i="127" s="1"/>
  <c r="H16" i="127"/>
  <c r="I16" i="127" s="1"/>
  <c r="H13" i="127"/>
  <c r="I13" i="127" s="1"/>
  <c r="H10" i="127"/>
  <c r="I10" i="127" s="1"/>
  <c r="CM58" i="4" l="1"/>
  <c r="H55" i="125"/>
  <c r="I55" i="125" s="1"/>
  <c r="H26" i="125" l="1"/>
  <c r="I26" i="125" s="1"/>
  <c r="H26" i="123"/>
  <c r="I26" i="123" s="1"/>
  <c r="H29" i="125"/>
  <c r="I29" i="125" s="1"/>
  <c r="H11" i="125"/>
  <c r="I11" i="125" s="1"/>
  <c r="H11" i="123"/>
  <c r="I11" i="123" s="1"/>
  <c r="CC23" i="4" l="1"/>
  <c r="CC24" i="4"/>
  <c r="S71" i="4"/>
  <c r="S70" i="4"/>
  <c r="S67" i="4"/>
  <c r="S64" i="4"/>
  <c r="S63" i="4"/>
  <c r="S62" i="4"/>
  <c r="S61" i="4"/>
  <c r="S60" i="4"/>
  <c r="S59" i="4"/>
  <c r="S57" i="4"/>
  <c r="S56" i="4"/>
  <c r="DX56" i="4" s="1"/>
  <c r="S54" i="4"/>
  <c r="S53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3" i="4"/>
  <c r="S32" i="4"/>
  <c r="S31" i="4"/>
  <c r="S30" i="4"/>
  <c r="S29" i="4"/>
  <c r="S28" i="4"/>
  <c r="S27" i="4"/>
  <c r="S26" i="4"/>
  <c r="S24" i="4"/>
  <c r="S23" i="4"/>
  <c r="S20" i="4"/>
  <c r="S19" i="4"/>
  <c r="DR25" i="4"/>
  <c r="H65" i="125" s="1"/>
  <c r="I65" i="125" s="1"/>
  <c r="DR34" i="4"/>
  <c r="H184" i="87" s="1"/>
  <c r="I184" i="87" s="1"/>
  <c r="DT52" i="4"/>
  <c r="DT72" i="4"/>
  <c r="DT69" i="4"/>
  <c r="DT16" i="4"/>
  <c r="DS72" i="4"/>
  <c r="DS69" i="4"/>
  <c r="DS52" i="4"/>
  <c r="DS16" i="4"/>
  <c r="DS55" i="4" l="1"/>
  <c r="DS74" i="4" s="1"/>
  <c r="DT55" i="4"/>
  <c r="DT74" i="4" s="1"/>
  <c r="E13" i="103" l="1"/>
  <c r="B30" i="103" l="1"/>
  <c r="F28" i="103"/>
  <c r="U22" i="103"/>
  <c r="Y20" i="103"/>
  <c r="T20" i="103"/>
  <c r="F21" i="103"/>
  <c r="F22" i="103"/>
  <c r="F29" i="103" s="1"/>
  <c r="I29" i="103" s="1"/>
  <c r="E218" i="131" s="1"/>
  <c r="E26" i="103"/>
  <c r="C25" i="103"/>
  <c r="C30" i="103" s="1"/>
  <c r="B23" i="103"/>
  <c r="C23" i="103"/>
  <c r="J29" i="103" l="1"/>
  <c r="F218" i="131" s="1"/>
  <c r="J21" i="103"/>
  <c r="I37" i="103"/>
  <c r="J37" i="103" s="1"/>
  <c r="K37" i="103" s="1"/>
  <c r="L37" i="103" s="1"/>
  <c r="M37" i="103" s="1"/>
  <c r="N37" i="103" s="1"/>
  <c r="O37" i="103" s="1"/>
  <c r="P37" i="103" s="1"/>
  <c r="Q37" i="103" s="1"/>
  <c r="R37" i="103" s="1"/>
  <c r="S37" i="103" s="1"/>
  <c r="T37" i="103" s="1"/>
  <c r="U37" i="103" s="1"/>
  <c r="V37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K29" i="103" l="1"/>
  <c r="G218" i="131" s="1"/>
  <c r="K21" i="103"/>
  <c r="I28" i="103" l="1"/>
  <c r="E217" i="131" s="1"/>
  <c r="L29" i="103"/>
  <c r="H218" i="131" s="1"/>
  <c r="L21" i="103"/>
  <c r="M29" i="103" l="1"/>
  <c r="I218" i="131" s="1"/>
  <c r="M21" i="103"/>
  <c r="J28" i="103"/>
  <c r="F217" i="131" s="1"/>
  <c r="J19" i="103"/>
  <c r="H75" i="111"/>
  <c r="H77" i="111" s="1"/>
  <c r="K28" i="103" l="1"/>
  <c r="G217" i="131" s="1"/>
  <c r="K19" i="103"/>
  <c r="N29" i="103"/>
  <c r="N21" i="103"/>
  <c r="O19" i="85"/>
  <c r="O29" i="103" l="1"/>
  <c r="O21" i="103"/>
  <c r="L28" i="103"/>
  <c r="H217" i="131" s="1"/>
  <c r="L19" i="103"/>
  <c r="M28" i="103" l="1"/>
  <c r="I217" i="131" s="1"/>
  <c r="M19" i="103"/>
  <c r="P29" i="103"/>
  <c r="P21" i="103"/>
  <c r="H71" i="111"/>
  <c r="Q29" i="103" l="1"/>
  <c r="Q21" i="103"/>
  <c r="N28" i="103"/>
  <c r="N19" i="103"/>
  <c r="H88" i="111"/>
  <c r="H89" i="111"/>
  <c r="H73" i="111"/>
  <c r="H72" i="111"/>
  <c r="K6" i="117"/>
  <c r="O28" i="103" l="1"/>
  <c r="O19" i="103"/>
  <c r="R29" i="103"/>
  <c r="R21" i="103"/>
  <c r="R6" i="85"/>
  <c r="M136" i="94"/>
  <c r="S29" i="103" l="1"/>
  <c r="S21" i="103"/>
  <c r="P28" i="103"/>
  <c r="P19" i="103"/>
  <c r="Q28" i="103" l="1"/>
  <c r="Q19" i="103"/>
  <c r="T29" i="103"/>
  <c r="T21" i="103"/>
  <c r="U29" i="103" l="1"/>
  <c r="U21" i="103"/>
  <c r="R28" i="103"/>
  <c r="R19" i="103"/>
  <c r="S28" i="103" l="1"/>
  <c r="S19" i="103"/>
  <c r="V29" i="103"/>
  <c r="W29" i="103" s="1"/>
  <c r="X29" i="103" s="1"/>
  <c r="Y29" i="103" s="1"/>
  <c r="Z29" i="103" s="1"/>
  <c r="V21" i="103"/>
  <c r="DP72" i="4"/>
  <c r="Q258" i="94"/>
  <c r="R258" i="94" s="1"/>
  <c r="DP16" i="4"/>
  <c r="DP52" i="4"/>
  <c r="T19" i="103" l="1"/>
  <c r="T28" i="103"/>
  <c r="DP55" i="4"/>
  <c r="P17" i="85"/>
  <c r="U28" i="103" l="1"/>
  <c r="U19" i="103"/>
  <c r="G75" i="111"/>
  <c r="G77" i="111" s="1"/>
  <c r="V28" i="103" l="1"/>
  <c r="V19" i="103"/>
  <c r="F7" i="120"/>
  <c r="F4" i="120"/>
  <c r="D4" i="120"/>
  <c r="D7" i="120"/>
  <c r="C4" i="120"/>
  <c r="C7" i="120"/>
  <c r="W28" i="103" l="1"/>
  <c r="W19" i="103"/>
  <c r="W23" i="103" s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X19" i="103" l="1"/>
  <c r="X23" i="103" s="1"/>
  <c r="W30" i="103"/>
  <c r="X28" i="103"/>
  <c r="R8" i="85"/>
  <c r="S8" i="85" s="1"/>
  <c r="I4" i="120"/>
  <c r="I9" i="120" s="1"/>
  <c r="H9" i="120"/>
  <c r="E9" i="120"/>
  <c r="C9" i="120"/>
  <c r="G7" i="120"/>
  <c r="G9" i="120" s="1"/>
  <c r="Y19" i="103" l="1"/>
  <c r="Y23" i="103" s="1"/>
  <c r="X30" i="103"/>
  <c r="Y28" i="103"/>
  <c r="G10" i="120"/>
  <c r="E10" i="120"/>
  <c r="I10" i="120"/>
  <c r="Z19" i="103" l="1"/>
  <c r="Z23" i="103" s="1"/>
  <c r="Y30" i="103"/>
  <c r="Z28" i="103"/>
  <c r="Z30" i="103" s="1"/>
  <c r="Q6" i="85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W52" i="4" l="1"/>
  <c r="DV52" i="4"/>
  <c r="DU52" i="4"/>
  <c r="DQ52" i="4"/>
  <c r="DO52" i="4"/>
  <c r="DN52" i="4"/>
  <c r="DM52" i="4"/>
  <c r="DL52" i="4"/>
  <c r="R52" i="4"/>
  <c r="H52" i="4"/>
  <c r="I72" i="4"/>
  <c r="I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H82" i="73" l="1"/>
  <c r="I82" i="73" s="1"/>
  <c r="H80" i="73" l="1"/>
  <c r="I80" i="73" s="1"/>
  <c r="R16" i="85" l="1"/>
  <c r="S16" i="85" s="1"/>
  <c r="C6" i="114"/>
  <c r="K7" i="1" l="1"/>
  <c r="L32" i="75"/>
  <c r="L33" i="75"/>
  <c r="DD52" i="4" l="1"/>
  <c r="DE52" i="4"/>
  <c r="DA52" i="4"/>
  <c r="DB52" i="4"/>
  <c r="CV52" i="4"/>
  <c r="DH52" i="4" l="1"/>
  <c r="BY52" i="4"/>
  <c r="I76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AA52" i="4"/>
  <c r="P43" i="75" l="1"/>
  <c r="O43" i="75"/>
  <c r="N43" i="75"/>
  <c r="M43" i="75"/>
  <c r="K43" i="75"/>
  <c r="H43" i="75"/>
  <c r="G43" i="75"/>
  <c r="M36" i="75"/>
  <c r="K36" i="75"/>
  <c r="J36" i="75"/>
  <c r="I36" i="75"/>
  <c r="H36" i="75"/>
  <c r="G36" i="75"/>
  <c r="F36" i="75"/>
  <c r="D36" i="75"/>
  <c r="E145" i="75"/>
  <c r="E143" i="75"/>
  <c r="E111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5" i="75"/>
  <c r="E74" i="75"/>
  <c r="E73" i="75"/>
  <c r="E72" i="75"/>
  <c r="E71" i="75"/>
  <c r="E69" i="75"/>
  <c r="E68" i="75"/>
  <c r="E67" i="75"/>
  <c r="E66" i="75"/>
  <c r="E65" i="75"/>
  <c r="E58" i="75"/>
  <c r="E56" i="75"/>
  <c r="E51" i="75"/>
  <c r="E50" i="75"/>
  <c r="E49" i="75"/>
  <c r="E48" i="75"/>
  <c r="E47" i="75"/>
  <c r="E46" i="75"/>
  <c r="E45" i="75"/>
  <c r="E44" i="75"/>
  <c r="E42" i="75"/>
  <c r="E41" i="75"/>
  <c r="E40" i="75"/>
  <c r="E39" i="75"/>
  <c r="E38" i="75"/>
  <c r="E37" i="75"/>
  <c r="E35" i="75"/>
  <c r="E14" i="75"/>
  <c r="E13" i="75"/>
  <c r="E12" i="75"/>
  <c r="E11" i="75"/>
  <c r="E10" i="75"/>
  <c r="E9" i="75"/>
  <c r="E8" i="75"/>
  <c r="E36" i="75" l="1"/>
  <c r="E76" i="75"/>
  <c r="E64" i="75"/>
  <c r="E7" i="75"/>
  <c r="L143" i="75" l="1"/>
  <c r="C143" i="75" s="1"/>
  <c r="E138" i="75"/>
  <c r="L101" i="75"/>
  <c r="C101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L99" i="75"/>
  <c r="C99" i="75" s="1"/>
  <c r="J64" i="75"/>
  <c r="D63" i="75"/>
  <c r="C48" i="75"/>
  <c r="C47" i="75"/>
  <c r="C46" i="75"/>
  <c r="C45" i="75"/>
  <c r="L39" i="75"/>
  <c r="J7" i="75"/>
  <c r="J76" i="75"/>
  <c r="J34" i="75"/>
  <c r="L30" i="75"/>
  <c r="L31" i="75"/>
  <c r="L27" i="75"/>
  <c r="L26" i="75"/>
  <c r="L23" i="75"/>
  <c r="L22" i="75"/>
  <c r="L20" i="75"/>
  <c r="L19" i="75"/>
  <c r="L18" i="75"/>
  <c r="L145" i="75"/>
  <c r="L111" i="75"/>
  <c r="C111" i="75" s="1"/>
  <c r="L110" i="75"/>
  <c r="C110" i="75" s="1"/>
  <c r="L109" i="75"/>
  <c r="C109" i="75" s="1"/>
  <c r="L107" i="75"/>
  <c r="C107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0" i="75"/>
  <c r="C100" i="75" s="1"/>
  <c r="L87" i="75"/>
  <c r="C87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5" i="75"/>
  <c r="C75" i="75" s="1"/>
  <c r="L74" i="75"/>
  <c r="C74" i="75" s="1"/>
  <c r="L73" i="75"/>
  <c r="C73" i="75" s="1"/>
  <c r="L72" i="75"/>
  <c r="C72" i="75" s="1"/>
  <c r="L71" i="75"/>
  <c r="C71" i="75" s="1"/>
  <c r="C64" i="75" s="1"/>
  <c r="L69" i="75"/>
  <c r="C69" i="75" s="1"/>
  <c r="L68" i="75"/>
  <c r="C68" i="75" s="1"/>
  <c r="L67" i="75"/>
  <c r="C67" i="75" s="1"/>
  <c r="L66" i="75"/>
  <c r="C66" i="75" s="1"/>
  <c r="L65" i="75"/>
  <c r="C65" i="75" s="1"/>
  <c r="L58" i="75"/>
  <c r="C58" i="75" s="1"/>
  <c r="L56" i="75"/>
  <c r="C56" i="75" s="1"/>
  <c r="L51" i="75"/>
  <c r="L50" i="75"/>
  <c r="L49" i="75"/>
  <c r="L44" i="75"/>
  <c r="L42" i="75"/>
  <c r="L41" i="75"/>
  <c r="L35" i="75"/>
  <c r="L17" i="75"/>
  <c r="L16" i="75"/>
  <c r="L14" i="75"/>
  <c r="L13" i="75"/>
  <c r="C13" i="75" s="1"/>
  <c r="L12" i="75"/>
  <c r="L11" i="75"/>
  <c r="L10" i="75"/>
  <c r="L9" i="75"/>
  <c r="L8" i="75"/>
  <c r="M76" i="75"/>
  <c r="I64" i="75"/>
  <c r="M64" i="75"/>
  <c r="M34" i="75"/>
  <c r="M15" i="75"/>
  <c r="M7" i="75"/>
  <c r="I34" i="75"/>
  <c r="I7" i="75"/>
  <c r="C76" i="75" l="1"/>
  <c r="E125" i="75"/>
  <c r="E32" i="75"/>
  <c r="C32" i="75" s="1"/>
  <c r="E129" i="75"/>
  <c r="E134" i="75"/>
  <c r="E142" i="75"/>
  <c r="E55" i="75"/>
  <c r="E113" i="75"/>
  <c r="E121" i="75"/>
  <c r="E117" i="75"/>
  <c r="E57" i="75"/>
  <c r="E116" i="75"/>
  <c r="E120" i="75"/>
  <c r="E124" i="75"/>
  <c r="E128" i="75"/>
  <c r="E133" i="75"/>
  <c r="E137" i="75"/>
  <c r="E141" i="75"/>
  <c r="L43" i="75"/>
  <c r="E115" i="75"/>
  <c r="E119" i="75"/>
  <c r="E123" i="75"/>
  <c r="E127" i="75"/>
  <c r="E132" i="75"/>
  <c r="L135" i="75"/>
  <c r="E136" i="75"/>
  <c r="E140" i="75"/>
  <c r="C145" i="75"/>
  <c r="E54" i="75"/>
  <c r="E62" i="75"/>
  <c r="L113" i="75"/>
  <c r="E114" i="75"/>
  <c r="E118" i="75"/>
  <c r="E122" i="75"/>
  <c r="E126" i="75"/>
  <c r="E131" i="75"/>
  <c r="E135" i="75"/>
  <c r="L138" i="75"/>
  <c r="C138" i="75" s="1"/>
  <c r="E139" i="75"/>
  <c r="L120" i="75"/>
  <c r="L128" i="75"/>
  <c r="L137" i="75"/>
  <c r="L132" i="75"/>
  <c r="L142" i="75"/>
  <c r="L140" i="75"/>
  <c r="L141" i="75"/>
  <c r="L136" i="75"/>
  <c r="L139" i="75"/>
  <c r="L131" i="75"/>
  <c r="L116" i="75"/>
  <c r="L124" i="75"/>
  <c r="L118" i="75"/>
  <c r="L119" i="75"/>
  <c r="L121" i="75"/>
  <c r="L126" i="75"/>
  <c r="L127" i="75"/>
  <c r="L129" i="75"/>
  <c r="L134" i="75"/>
  <c r="L114" i="75"/>
  <c r="L115" i="75"/>
  <c r="L117" i="75"/>
  <c r="L122" i="75"/>
  <c r="L123" i="75"/>
  <c r="L125" i="75"/>
  <c r="L133" i="75"/>
  <c r="M5" i="75"/>
  <c r="M52" i="75" s="1"/>
  <c r="L54" i="75"/>
  <c r="C39" i="75"/>
  <c r="L62" i="75"/>
  <c r="L38" i="75"/>
  <c r="L55" i="75"/>
  <c r="L57" i="75"/>
  <c r="M63" i="75"/>
  <c r="K63" i="75"/>
  <c r="J5" i="75"/>
  <c r="J52" i="75" s="1"/>
  <c r="L112" i="75" l="1"/>
  <c r="C48" i="117"/>
  <c r="C125" i="75"/>
  <c r="C129" i="75"/>
  <c r="H63" i="75"/>
  <c r="M144" i="75"/>
  <c r="M146" i="75" s="1"/>
  <c r="M148" i="75" s="1"/>
  <c r="M149" i="75" s="1"/>
  <c r="C134" i="75"/>
  <c r="I63" i="75"/>
  <c r="C55" i="75"/>
  <c r="G63" i="75"/>
  <c r="J63" i="75"/>
  <c r="P63" i="75"/>
  <c r="C119" i="75"/>
  <c r="C57" i="75"/>
  <c r="C117" i="75"/>
  <c r="C121" i="75"/>
  <c r="C142" i="75"/>
  <c r="C113" i="75"/>
  <c r="C137" i="75"/>
  <c r="C141" i="75"/>
  <c r="C122" i="75"/>
  <c r="C132" i="75"/>
  <c r="C118" i="75"/>
  <c r="C124" i="75"/>
  <c r="O63" i="75"/>
  <c r="C54" i="75"/>
  <c r="I144" i="75"/>
  <c r="C115" i="75"/>
  <c r="J144" i="75"/>
  <c r="C131" i="75"/>
  <c r="E130" i="75"/>
  <c r="C114" i="75"/>
  <c r="C62" i="75"/>
  <c r="C140" i="75"/>
  <c r="C127" i="75"/>
  <c r="C133" i="75"/>
  <c r="C116" i="75"/>
  <c r="E59" i="75"/>
  <c r="C135" i="75"/>
  <c r="C120" i="75"/>
  <c r="E60" i="75"/>
  <c r="C139" i="75"/>
  <c r="C126" i="75"/>
  <c r="F63" i="75"/>
  <c r="C136" i="75"/>
  <c r="C123" i="75"/>
  <c r="C128" i="75"/>
  <c r="E112" i="75"/>
  <c r="J47" i="111"/>
  <c r="K47" i="111"/>
  <c r="C112" i="75" l="1"/>
  <c r="L61" i="75"/>
  <c r="E61" i="75"/>
  <c r="N63" i="75"/>
  <c r="C130" i="75"/>
  <c r="E144" i="75"/>
  <c r="J146" i="75"/>
  <c r="J148" i="75" s="1"/>
  <c r="J149" i="75" s="1"/>
  <c r="I146" i="75"/>
  <c r="I148" i="75" s="1"/>
  <c r="C61" i="75" l="1"/>
  <c r="E63" i="75"/>
  <c r="E146" i="75" s="1"/>
  <c r="E148" i="75" s="1"/>
  <c r="T52" i="4" l="1"/>
  <c r="Y52" i="4"/>
  <c r="S35" i="111" l="1"/>
  <c r="Q29" i="111" l="1"/>
  <c r="P7" i="1"/>
  <c r="P14" i="1" s="1"/>
  <c r="R7" i="1"/>
  <c r="R8" i="1"/>
  <c r="R12" i="1"/>
  <c r="R9" i="1"/>
  <c r="R13" i="1"/>
  <c r="K14" i="1"/>
  <c r="M14" i="1"/>
  <c r="N14" i="1"/>
  <c r="O14" i="1"/>
  <c r="S14" i="1"/>
  <c r="R14" i="1" l="1"/>
  <c r="R15" i="1" s="1"/>
  <c r="Q34" i="111" l="1"/>
  <c r="Q33" i="111"/>
  <c r="Q32" i="111"/>
  <c r="Q31" i="111"/>
  <c r="Q30" i="111"/>
  <c r="H47" i="111" l="1"/>
  <c r="I47" i="111"/>
  <c r="H58" i="104" l="1"/>
  <c r="I58" i="104" s="1"/>
  <c r="F11" i="4" l="1"/>
  <c r="D110" i="131" s="1"/>
  <c r="F10" i="4"/>
  <c r="DG19" i="4"/>
  <c r="DG22" i="4"/>
  <c r="D109" i="131" l="1"/>
  <c r="E109" i="131" s="1"/>
  <c r="F109" i="131" s="1"/>
  <c r="G109" i="131" s="1"/>
  <c r="H109" i="131" s="1"/>
  <c r="I109" i="131" s="1"/>
  <c r="DX10" i="130"/>
  <c r="DY10" i="4"/>
  <c r="DX11" i="130"/>
  <c r="DY11" i="4"/>
  <c r="E33" i="75"/>
  <c r="C33" i="75" s="1"/>
  <c r="U52" i="4"/>
  <c r="K16" i="117" l="1"/>
  <c r="Z52" i="4"/>
  <c r="W52" i="4"/>
  <c r="V52" i="4"/>
  <c r="DJ52" i="4" l="1"/>
  <c r="CM36" i="4"/>
  <c r="CM37" i="4"/>
  <c r="CO16" i="4"/>
  <c r="CN16" i="4"/>
  <c r="G16" i="117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CI52" i="4"/>
  <c r="CU52" i="4"/>
  <c r="DI52" i="4"/>
  <c r="AL52" i="4"/>
  <c r="AO52" i="4"/>
  <c r="CH52" i="4"/>
  <c r="CT52" i="4"/>
  <c r="E16" i="75"/>
  <c r="AP52" i="4"/>
  <c r="E17" i="117" l="1"/>
  <c r="C17" i="117" s="1"/>
  <c r="C16" i="117"/>
  <c r="CF52" i="4"/>
  <c r="C17" i="75"/>
  <c r="CR52" i="4"/>
  <c r="CL52" i="4"/>
  <c r="O31" i="117" l="1"/>
  <c r="O47" i="117" s="1"/>
  <c r="O143" i="117" s="1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BT52" i="4"/>
  <c r="BS52" i="4"/>
  <c r="BQ52" i="4"/>
  <c r="BK52" i="4"/>
  <c r="AM52" i="4"/>
  <c r="F47" i="4" l="1"/>
  <c r="D147" i="131" s="1"/>
  <c r="DX47" i="4"/>
  <c r="L35" i="117"/>
  <c r="N31" i="117"/>
  <c r="N47" i="117" s="1"/>
  <c r="N143" i="117" s="1"/>
  <c r="AD52" i="4"/>
  <c r="AJ52" i="4"/>
  <c r="P52" i="4"/>
  <c r="BH52" i="4"/>
  <c r="Q52" i="4"/>
  <c r="BG52" i="4"/>
  <c r="BU52" i="4"/>
  <c r="G52" i="4"/>
  <c r="DX47" i="130" l="1"/>
  <c r="E147" i="131"/>
  <c r="F147" i="131" s="1"/>
  <c r="G147" i="131" s="1"/>
  <c r="H147" i="131" s="1"/>
  <c r="I147" i="131" s="1"/>
  <c r="DY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R72" i="4"/>
  <c r="O88" i="111" l="1"/>
  <c r="O89" i="111"/>
  <c r="S71" i="111"/>
  <c r="S72" i="111" s="1"/>
  <c r="O73" i="111"/>
  <c r="O72" i="111"/>
  <c r="P72" i="111"/>
  <c r="N72" i="4" l="1"/>
  <c r="N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DN72" i="4"/>
  <c r="DN16" i="4"/>
  <c r="P47" i="111" l="1"/>
  <c r="P15" i="1"/>
  <c r="Q47" i="111"/>
  <c r="F70" i="84"/>
  <c r="H70" i="84" s="1"/>
  <c r="Q71" i="111" l="1"/>
  <c r="P71" i="111"/>
  <c r="Q72" i="111"/>
  <c r="G10" i="84" l="1"/>
  <c r="L37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M267" i="94"/>
  <c r="M57" i="94"/>
  <c r="M53" i="94"/>
  <c r="M36" i="94"/>
  <c r="M17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T18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3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H163" i="73"/>
  <c r="I163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27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H6" i="107"/>
  <c r="I36" i="108" l="1"/>
  <c r="J35" i="108"/>
  <c r="C44" i="108"/>
  <c r="D44" i="108" s="1"/>
  <c r="E44" i="108" s="1"/>
  <c r="I6" i="107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26" i="103" l="1"/>
  <c r="I39" i="108"/>
  <c r="J38" i="108"/>
  <c r="C47" i="108"/>
  <c r="D47" i="108" s="1"/>
  <c r="F27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27" i="103"/>
  <c r="E214" i="131" s="1"/>
  <c r="J17" i="103" l="1"/>
  <c r="E211" i="131"/>
  <c r="I43" i="108"/>
  <c r="J42" i="108"/>
  <c r="C51" i="108"/>
  <c r="D51" i="108" s="1"/>
  <c r="J27" i="103"/>
  <c r="F214" i="131" s="1"/>
  <c r="K17" i="103" l="1"/>
  <c r="I44" i="108"/>
  <c r="J43" i="108"/>
  <c r="C52" i="108"/>
  <c r="D52" i="108" s="1"/>
  <c r="E52" i="108" s="1"/>
  <c r="K27" i="103"/>
  <c r="G214" i="131" s="1"/>
  <c r="L17" i="103" l="1"/>
  <c r="I45" i="108"/>
  <c r="J44" i="108"/>
  <c r="K44" i="108" s="1"/>
  <c r="C53" i="108"/>
  <c r="D53" i="108" s="1"/>
  <c r="L27" i="103"/>
  <c r="H214" i="131" s="1"/>
  <c r="M17" i="103" l="1"/>
  <c r="I46" i="108"/>
  <c r="J45" i="108"/>
  <c r="C54" i="108"/>
  <c r="D54" i="108" s="1"/>
  <c r="M27" i="103"/>
  <c r="I214" i="131" s="1"/>
  <c r="N17" i="103" l="1"/>
  <c r="I47" i="108"/>
  <c r="J46" i="108"/>
  <c r="C55" i="108"/>
  <c r="D55" i="108" s="1"/>
  <c r="N27" i="103"/>
  <c r="O17" i="103" s="1"/>
  <c r="O27" i="103" l="1"/>
  <c r="I48" i="108"/>
  <c r="J47" i="108"/>
  <c r="C56" i="108"/>
  <c r="D56" i="108" s="1"/>
  <c r="E56" i="108" s="1"/>
  <c r="P27" i="103" l="1"/>
  <c r="P17" i="103"/>
  <c r="I49" i="108"/>
  <c r="J48" i="108"/>
  <c r="K48" i="108" s="1"/>
  <c r="C57" i="108"/>
  <c r="D57" i="108" s="1"/>
  <c r="Q27" i="103" l="1"/>
  <c r="Q17" i="103"/>
  <c r="I50" i="108"/>
  <c r="J49" i="108"/>
  <c r="C58" i="108"/>
  <c r="D58" i="108" s="1"/>
  <c r="R27" i="103" l="1"/>
  <c r="R17" i="103"/>
  <c r="I51" i="108"/>
  <c r="J50" i="108"/>
  <c r="C59" i="108"/>
  <c r="D59" i="108" s="1"/>
  <c r="S27" i="103" l="1"/>
  <c r="T17" i="103" s="1"/>
  <c r="S17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M258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W16" i="4" l="1"/>
  <c r="DV16" i="4"/>
  <c r="DU16" i="4"/>
  <c r="DR16" i="4"/>
  <c r="DQ16" i="4"/>
  <c r="DO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B16" i="4"/>
  <c r="BA16" i="4"/>
  <c r="AZ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Q16" i="4"/>
  <c r="L108" i="75" l="1"/>
  <c r="C108" i="75" s="1"/>
  <c r="C144" i="75" s="1"/>
  <c r="H119" i="73"/>
  <c r="M254" i="94" l="1"/>
  <c r="M250" i="94"/>
  <c r="L60" i="75" l="1"/>
  <c r="C60" i="75" s="1"/>
  <c r="L59" i="75" l="1"/>
  <c r="L63" i="75" l="1"/>
  <c r="C59" i="75"/>
  <c r="C63" i="75" s="1"/>
  <c r="C146" i="75" s="1"/>
  <c r="S54" i="85" l="1"/>
  <c r="DM72" i="4" l="1"/>
  <c r="DL72" i="4"/>
  <c r="DM69" i="4"/>
  <c r="Q254" i="94" l="1"/>
  <c r="R254" i="94" s="1"/>
  <c r="DL69" i="4"/>
  <c r="Q250" i="94" s="1"/>
  <c r="R250" i="94" s="1"/>
  <c r="DM55" i="4"/>
  <c r="DM74" i="4" s="1"/>
  <c r="DL55" i="4"/>
  <c r="DL74" i="4" l="1"/>
  <c r="M238" i="94" l="1"/>
  <c r="M205" i="94" l="1"/>
  <c r="DG33" i="4" l="1"/>
  <c r="M114" i="94" l="1"/>
  <c r="H155" i="105" l="1"/>
  <c r="I155" i="105" s="1"/>
  <c r="H147" i="105"/>
  <c r="I147" i="105" s="1"/>
  <c r="H141" i="105"/>
  <c r="I141" i="105" s="1"/>
  <c r="H127" i="105"/>
  <c r="I127" i="105" s="1"/>
  <c r="H124" i="105"/>
  <c r="I124" i="105" s="1"/>
  <c r="H120" i="105"/>
  <c r="I120" i="105" s="1"/>
  <c r="H102" i="105"/>
  <c r="I102" i="105" s="1"/>
  <c r="H96" i="105"/>
  <c r="I96" i="105" s="1"/>
  <c r="H68" i="105"/>
  <c r="I68" i="105" s="1"/>
  <c r="H59" i="105"/>
  <c r="I59" i="105" s="1"/>
  <c r="H35" i="105"/>
  <c r="I35" i="105" s="1"/>
  <c r="H24" i="105"/>
  <c r="I24" i="105" s="1"/>
  <c r="H7" i="105"/>
  <c r="I7" i="105" s="1"/>
  <c r="H36" i="104"/>
  <c r="I36" i="104" s="1"/>
  <c r="H31" i="104"/>
  <c r="I31" i="104" s="1"/>
  <c r="H7" i="104"/>
  <c r="I7" i="104" s="1"/>
  <c r="H56" i="105"/>
  <c r="I56" i="105" s="1"/>
  <c r="CS34" i="4" l="1"/>
  <c r="H135" i="87" s="1"/>
  <c r="I135" i="87" s="1"/>
  <c r="F82" i="84" l="1"/>
  <c r="G82" i="84" s="1"/>
  <c r="P11" i="91"/>
  <c r="M241" i="94" l="1"/>
  <c r="M82" i="94"/>
  <c r="AQ23" i="4" l="1"/>
  <c r="F9" i="4" l="1"/>
  <c r="D108" i="131" s="1"/>
  <c r="EA8" i="4"/>
  <c r="E108" i="131" l="1"/>
  <c r="DX9" i="130"/>
  <c r="DY9" i="4"/>
  <c r="F108" i="131" l="1"/>
  <c r="C38" i="75"/>
  <c r="G108" i="131" l="1"/>
  <c r="P76" i="75"/>
  <c r="P64" i="75"/>
  <c r="P34" i="75"/>
  <c r="P15" i="75"/>
  <c r="P7" i="75"/>
  <c r="H108" i="131" l="1"/>
  <c r="P144" i="75"/>
  <c r="P146" i="75" s="1"/>
  <c r="P148" i="75" s="1"/>
  <c r="P5" i="75"/>
  <c r="P52" i="75" s="1"/>
  <c r="H33" i="105"/>
  <c r="I33" i="105" s="1"/>
  <c r="EA39" i="4"/>
  <c r="I108" i="131" l="1"/>
  <c r="P149" i="75"/>
  <c r="C45" i="103" l="1"/>
  <c r="B45" i="103"/>
  <c r="C44" i="103"/>
  <c r="B44" i="103"/>
  <c r="V43" i="103"/>
  <c r="U43" i="103"/>
  <c r="T43" i="103"/>
  <c r="S43" i="103"/>
  <c r="Q43" i="103"/>
  <c r="P43" i="103"/>
  <c r="O43" i="103"/>
  <c r="N43" i="103"/>
  <c r="L43" i="103"/>
  <c r="K43" i="103"/>
  <c r="J43" i="103"/>
  <c r="I43" i="103"/>
  <c r="G43" i="103"/>
  <c r="F43" i="103"/>
  <c r="E43" i="103"/>
  <c r="D43" i="103"/>
  <c r="D37" i="103"/>
  <c r="B38" i="103"/>
  <c r="C33" i="103"/>
  <c r="V23" i="103"/>
  <c r="D14" i="103" l="1"/>
  <c r="D23" i="103" s="1"/>
  <c r="C34" i="103"/>
  <c r="D25" i="103"/>
  <c r="C43" i="103"/>
  <c r="B43" i="103"/>
  <c r="D30" i="103" l="1"/>
  <c r="D38" i="103" s="1"/>
  <c r="C38" i="103"/>
  <c r="E14" i="103"/>
  <c r="E23" i="103" s="1"/>
  <c r="E25" i="103"/>
  <c r="E30" i="103" s="1"/>
  <c r="F14" i="103" l="1"/>
  <c r="F25" i="103"/>
  <c r="F30" i="103" s="1"/>
  <c r="H45" i="103"/>
  <c r="H43" i="103" s="1"/>
  <c r="D33" i="103"/>
  <c r="D34" i="103"/>
  <c r="M45" i="103"/>
  <c r="M43" i="103" s="1"/>
  <c r="F24" i="103" l="1"/>
  <c r="F23" i="103"/>
  <c r="R45" i="103" s="1"/>
  <c r="R43" i="103" s="1"/>
  <c r="I30" i="103"/>
  <c r="G30" i="103" l="1"/>
  <c r="H23" i="103"/>
  <c r="H30" i="103"/>
  <c r="J26" i="103"/>
  <c r="F213" i="131" s="1"/>
  <c r="E200" i="131" l="1"/>
  <c r="E199" i="131" s="1"/>
  <c r="E208" i="131" s="1"/>
  <c r="E152" i="131"/>
  <c r="J30" i="103"/>
  <c r="F211" i="131"/>
  <c r="J23" i="103"/>
  <c r="I23" i="103"/>
  <c r="K26" i="103"/>
  <c r="G213" i="131" s="1"/>
  <c r="K12" i="103"/>
  <c r="F200" i="131" l="1"/>
  <c r="F152" i="131"/>
  <c r="E209" i="131"/>
  <c r="E207" i="131" s="1"/>
  <c r="E192" i="131"/>
  <c r="K23" i="103"/>
  <c r="F199" i="131"/>
  <c r="K30" i="103"/>
  <c r="G211" i="131"/>
  <c r="L26" i="103"/>
  <c r="H213" i="131" s="1"/>
  <c r="L12" i="103"/>
  <c r="G200" i="131" l="1"/>
  <c r="G152" i="131"/>
  <c r="F209" i="131"/>
  <c r="F208" i="131"/>
  <c r="F207" i="131" s="1"/>
  <c r="F192" i="131"/>
  <c r="L23" i="103"/>
  <c r="G199" i="131"/>
  <c r="L30" i="103"/>
  <c r="H211" i="131"/>
  <c r="M26" i="103"/>
  <c r="I213" i="131" s="1"/>
  <c r="M12" i="103"/>
  <c r="H200" i="131" l="1"/>
  <c r="H152" i="131"/>
  <c r="G209" i="131"/>
  <c r="G208" i="131"/>
  <c r="G207" i="131" s="1"/>
  <c r="G192" i="131"/>
  <c r="M23" i="103"/>
  <c r="H199" i="131"/>
  <c r="M30" i="103"/>
  <c r="I211" i="131"/>
  <c r="N12" i="103"/>
  <c r="N26" i="103"/>
  <c r="I200" i="131" l="1"/>
  <c r="I152" i="131"/>
  <c r="H208" i="131"/>
  <c r="H209" i="131"/>
  <c r="H192" i="131"/>
  <c r="N23" i="103"/>
  <c r="I199" i="131"/>
  <c r="N30" i="103"/>
  <c r="O26" i="103"/>
  <c r="P26" i="103" s="1"/>
  <c r="Q26" i="103" s="1"/>
  <c r="R26" i="103" s="1"/>
  <c r="S26" i="103" s="1"/>
  <c r="T26" i="103" s="1"/>
  <c r="U26" i="103" s="1"/>
  <c r="V26" i="103" s="1"/>
  <c r="O12" i="103"/>
  <c r="O23" i="103" s="1"/>
  <c r="H207" i="131" l="1"/>
  <c r="I208" i="131"/>
  <c r="I209" i="131"/>
  <c r="I192" i="131"/>
  <c r="O30" i="103"/>
  <c r="P12" i="103"/>
  <c r="P23" i="103" s="1"/>
  <c r="P30" i="103"/>
  <c r="I207" i="131" l="1"/>
  <c r="Q12" i="103"/>
  <c r="Q23" i="103" s="1"/>
  <c r="Q30" i="103"/>
  <c r="R12" i="103" l="1"/>
  <c r="R23" i="103" s="1"/>
  <c r="R30" i="103"/>
  <c r="S30" i="103" l="1"/>
  <c r="S12" i="103"/>
  <c r="S23" i="103" s="1"/>
  <c r="T30" i="103" l="1"/>
  <c r="T12" i="103"/>
  <c r="T23" i="103" s="1"/>
  <c r="U12" i="103" l="1"/>
  <c r="U23" i="103" s="1"/>
  <c r="U30" i="103"/>
  <c r="V30" i="103" l="1"/>
  <c r="H39" i="105" l="1"/>
  <c r="I39" i="105" s="1"/>
  <c r="H42" i="104"/>
  <c r="I42" i="104" s="1"/>
  <c r="H30" i="105"/>
  <c r="I30" i="105" s="1"/>
  <c r="H21" i="105"/>
  <c r="I21" i="105" s="1"/>
  <c r="H20" i="104"/>
  <c r="I20" i="104" s="1"/>
  <c r="H10" i="105"/>
  <c r="I10" i="105" s="1"/>
  <c r="H10" i="104"/>
  <c r="I10" i="104" s="1"/>
  <c r="H34" i="104" l="1"/>
  <c r="I34" i="104" s="1"/>
  <c r="H28" i="104" l="1"/>
  <c r="I28" i="104" s="1"/>
  <c r="H27" i="105"/>
  <c r="I27" i="105" s="1"/>
  <c r="H63" i="104" l="1"/>
  <c r="I63" i="104" s="1"/>
  <c r="AZ58" i="4" l="1"/>
  <c r="H10" i="107" l="1"/>
  <c r="I10" i="107" s="1"/>
  <c r="O66" i="4" l="1"/>
  <c r="AB59" i="4"/>
  <c r="AB60" i="4"/>
  <c r="O21" i="4"/>
  <c r="O22" i="4"/>
  <c r="O23" i="4"/>
  <c r="O24" i="4"/>
  <c r="AB34" i="4"/>
  <c r="H48" i="87" s="1"/>
  <c r="I48" i="87" s="1"/>
  <c r="AH34" i="4"/>
  <c r="H58" i="87" s="1"/>
  <c r="I58" i="87" s="1"/>
  <c r="BF34" i="4"/>
  <c r="H188" i="87" s="1"/>
  <c r="I188" i="87" s="1"/>
  <c r="BI34" i="4"/>
  <c r="H97" i="87" s="1"/>
  <c r="I97" i="87" s="1"/>
  <c r="BO34" i="4"/>
  <c r="H100" i="87" s="1"/>
  <c r="I100" i="87" s="1"/>
  <c r="BV34" i="4"/>
  <c r="H107" i="87" s="1"/>
  <c r="I107" i="87" s="1"/>
  <c r="BF35" i="4"/>
  <c r="H138" i="72" s="1"/>
  <c r="I138" i="72" s="1"/>
  <c r="BI35" i="4"/>
  <c r="H75" i="72" s="1"/>
  <c r="I75" i="72" s="1"/>
  <c r="AB36" i="4"/>
  <c r="AH36" i="4"/>
  <c r="AN36" i="4"/>
  <c r="AQ36" i="4"/>
  <c r="AZ36" i="4"/>
  <c r="BF36" i="4"/>
  <c r="BI36" i="4"/>
  <c r="BL36" i="4"/>
  <c r="BO36" i="4"/>
  <c r="BR36" i="4"/>
  <c r="BV36" i="4"/>
  <c r="BZ36" i="4"/>
  <c r="AB37" i="4"/>
  <c r="AE37" i="4"/>
  <c r="AH37" i="4"/>
  <c r="AN37" i="4"/>
  <c r="AQ37" i="4"/>
  <c r="AZ37" i="4"/>
  <c r="BF37" i="4"/>
  <c r="BI37" i="4"/>
  <c r="BL37" i="4"/>
  <c r="BO37" i="4"/>
  <c r="BR37" i="4"/>
  <c r="BV37" i="4"/>
  <c r="BZ37" i="4"/>
  <c r="CW32" i="4"/>
  <c r="CW33" i="4"/>
  <c r="CW35" i="4"/>
  <c r="CW36" i="4"/>
  <c r="CS30" i="4"/>
  <c r="CS31" i="4"/>
  <c r="CS32" i="4"/>
  <c r="CS33" i="4"/>
  <c r="CS36" i="4"/>
  <c r="CG27" i="4"/>
  <c r="CG28" i="4"/>
  <c r="CG29" i="4"/>
  <c r="CG30" i="4"/>
  <c r="CG31" i="4"/>
  <c r="CG32" i="4"/>
  <c r="CG33" i="4"/>
  <c r="CG34" i="4"/>
  <c r="H132" i="87" s="1"/>
  <c r="I132" i="87" s="1"/>
  <c r="CG36" i="4"/>
  <c r="CC20" i="4"/>
  <c r="CC26" i="4"/>
  <c r="CC27" i="4"/>
  <c r="CC28" i="4"/>
  <c r="CC29" i="4"/>
  <c r="CC31" i="4"/>
  <c r="CC32" i="4"/>
  <c r="CC33" i="4"/>
  <c r="CC36" i="4"/>
  <c r="CC37" i="4"/>
  <c r="CG59" i="4"/>
  <c r="DG71" i="4"/>
  <c r="DC71" i="4"/>
  <c r="CZ71" i="4"/>
  <c r="CW71" i="4"/>
  <c r="DG70" i="4"/>
  <c r="DC70" i="4"/>
  <c r="CZ70" i="4"/>
  <c r="CW70" i="4"/>
  <c r="DG68" i="4"/>
  <c r="DC68" i="4"/>
  <c r="CZ68" i="4"/>
  <c r="CW68" i="4"/>
  <c r="DG67" i="4"/>
  <c r="DC67" i="4"/>
  <c r="CZ67" i="4"/>
  <c r="CW67" i="4"/>
  <c r="DG66" i="4"/>
  <c r="DC66" i="4"/>
  <c r="CZ66" i="4"/>
  <c r="CW66" i="4"/>
  <c r="DG64" i="4"/>
  <c r="DC64" i="4"/>
  <c r="CZ64" i="4"/>
  <c r="CW64" i="4"/>
  <c r="DG63" i="4"/>
  <c r="DC63" i="4"/>
  <c r="CZ63" i="4"/>
  <c r="CW63" i="4"/>
  <c r="DG62" i="4"/>
  <c r="DC62" i="4"/>
  <c r="CZ62" i="4"/>
  <c r="CW62" i="4"/>
  <c r="DG61" i="4"/>
  <c r="DC61" i="4"/>
  <c r="CZ61" i="4"/>
  <c r="DG60" i="4"/>
  <c r="DC60" i="4"/>
  <c r="CZ60" i="4"/>
  <c r="CW60" i="4"/>
  <c r="DG59" i="4"/>
  <c r="DC59" i="4"/>
  <c r="CW59" i="4"/>
  <c r="DG58" i="4"/>
  <c r="DC58" i="4"/>
  <c r="CZ58" i="4"/>
  <c r="CW58" i="4"/>
  <c r="DG57" i="4"/>
  <c r="DC57" i="4"/>
  <c r="CZ57" i="4"/>
  <c r="CW57" i="4"/>
  <c r="DG54" i="4"/>
  <c r="DC54" i="4"/>
  <c r="CZ54" i="4"/>
  <c r="CW54" i="4"/>
  <c r="DG53" i="4"/>
  <c r="DC53" i="4"/>
  <c r="CZ53" i="4"/>
  <c r="CW53" i="4"/>
  <c r="DG50" i="4"/>
  <c r="DC50" i="4"/>
  <c r="CZ50" i="4"/>
  <c r="CW50" i="4"/>
  <c r="DG49" i="4"/>
  <c r="DC49" i="4"/>
  <c r="CZ49" i="4"/>
  <c r="CW49" i="4"/>
  <c r="DG48" i="4"/>
  <c r="DC48" i="4"/>
  <c r="CZ48" i="4"/>
  <c r="CW48" i="4"/>
  <c r="DG46" i="4"/>
  <c r="DC46" i="4"/>
  <c r="CZ46" i="4"/>
  <c r="CW46" i="4"/>
  <c r="DG45" i="4"/>
  <c r="DC45" i="4"/>
  <c r="CZ45" i="4"/>
  <c r="CW45" i="4"/>
  <c r="DG44" i="4"/>
  <c r="DC44" i="4"/>
  <c r="CZ44" i="4"/>
  <c r="CW44" i="4"/>
  <c r="DG43" i="4"/>
  <c r="DC43" i="4"/>
  <c r="CZ43" i="4"/>
  <c r="CW43" i="4"/>
  <c r="DG42" i="4"/>
  <c r="DC42" i="4"/>
  <c r="CZ42" i="4"/>
  <c r="CW42" i="4"/>
  <c r="DG41" i="4"/>
  <c r="DC41" i="4"/>
  <c r="CZ41" i="4"/>
  <c r="CW41" i="4"/>
  <c r="DG40" i="4"/>
  <c r="DC40" i="4"/>
  <c r="CZ40" i="4"/>
  <c r="CW40" i="4"/>
  <c r="DG39" i="4"/>
  <c r="DC39" i="4"/>
  <c r="CZ39" i="4"/>
  <c r="CW39" i="4"/>
  <c r="DG38" i="4"/>
  <c r="DC38" i="4"/>
  <c r="CZ38" i="4"/>
  <c r="CW38" i="4"/>
  <c r="DG37" i="4"/>
  <c r="DC37" i="4"/>
  <c r="CZ37" i="4"/>
  <c r="CW37" i="4"/>
  <c r="DG36" i="4"/>
  <c r="DC36" i="4"/>
  <c r="CZ36" i="4"/>
  <c r="DG35" i="4"/>
  <c r="DC35" i="4"/>
  <c r="CZ35" i="4"/>
  <c r="DC34" i="4"/>
  <c r="H162" i="87" s="1"/>
  <c r="I162" i="87" s="1"/>
  <c r="CZ34" i="4"/>
  <c r="H159" i="87" s="1"/>
  <c r="I159" i="87" s="1"/>
  <c r="DC33" i="4"/>
  <c r="CZ33" i="4"/>
  <c r="DG32" i="4"/>
  <c r="DC32" i="4"/>
  <c r="CZ32" i="4"/>
  <c r="DG31" i="4"/>
  <c r="DC31" i="4"/>
  <c r="CZ31" i="4"/>
  <c r="CW31" i="4"/>
  <c r="DG30" i="4"/>
  <c r="DC30" i="4"/>
  <c r="CZ30" i="4"/>
  <c r="CW30" i="4"/>
  <c r="DG29" i="4"/>
  <c r="DC29" i="4"/>
  <c r="CZ29" i="4"/>
  <c r="CW29" i="4"/>
  <c r="DG28" i="4"/>
  <c r="DC28" i="4"/>
  <c r="CZ28" i="4"/>
  <c r="CW28" i="4"/>
  <c r="DG27" i="4"/>
  <c r="DC27" i="4"/>
  <c r="CZ27" i="4"/>
  <c r="CW27" i="4"/>
  <c r="DG26" i="4"/>
  <c r="DC26" i="4"/>
  <c r="CZ26" i="4"/>
  <c r="DG25" i="4"/>
  <c r="DC25" i="4"/>
  <c r="CZ25" i="4"/>
  <c r="CW25" i="4"/>
  <c r="DG24" i="4"/>
  <c r="DC24" i="4"/>
  <c r="CZ24" i="4"/>
  <c r="CW24" i="4"/>
  <c r="DG23" i="4"/>
  <c r="DC23" i="4"/>
  <c r="CZ23" i="4"/>
  <c r="CW23" i="4"/>
  <c r="H116" i="105"/>
  <c r="I116" i="105" s="1"/>
  <c r="DC22" i="4"/>
  <c r="H137" i="105" s="1"/>
  <c r="I137" i="105" s="1"/>
  <c r="CZ22" i="4"/>
  <c r="H134" i="105" s="1"/>
  <c r="I134" i="105" s="1"/>
  <c r="CW22" i="4"/>
  <c r="H130" i="105" s="1"/>
  <c r="I130" i="105" s="1"/>
  <c r="DG21" i="4"/>
  <c r="DC21" i="4"/>
  <c r="CZ21" i="4"/>
  <c r="CW21" i="4"/>
  <c r="DG20" i="4"/>
  <c r="DC20" i="4"/>
  <c r="CZ20" i="4"/>
  <c r="CW20" i="4"/>
  <c r="DC19" i="4"/>
  <c r="CZ19" i="4"/>
  <c r="CW19" i="4"/>
  <c r="DG18" i="4"/>
  <c r="DC18" i="4"/>
  <c r="CZ18" i="4"/>
  <c r="DG17" i="4"/>
  <c r="DC17" i="4"/>
  <c r="CZ17" i="4"/>
  <c r="CW17" i="4"/>
  <c r="CS71" i="4"/>
  <c r="CG71" i="4"/>
  <c r="CC71" i="4"/>
  <c r="CS70" i="4"/>
  <c r="CG70" i="4"/>
  <c r="CC70" i="4"/>
  <c r="CS68" i="4"/>
  <c r="CG68" i="4"/>
  <c r="CC68" i="4"/>
  <c r="CS67" i="4"/>
  <c r="CG67" i="4"/>
  <c r="CC67" i="4"/>
  <c r="CS66" i="4"/>
  <c r="CG66" i="4"/>
  <c r="CC66" i="4"/>
  <c r="CS64" i="4"/>
  <c r="CG64" i="4"/>
  <c r="CC64" i="4"/>
  <c r="CS63" i="4"/>
  <c r="CG63" i="4"/>
  <c r="CC63" i="4"/>
  <c r="CS62" i="4"/>
  <c r="CG62" i="4"/>
  <c r="CC62" i="4"/>
  <c r="CS61" i="4"/>
  <c r="CG61" i="4"/>
  <c r="CC61" i="4"/>
  <c r="CS60" i="4"/>
  <c r="CG60" i="4"/>
  <c r="CC60" i="4"/>
  <c r="CS59" i="4"/>
  <c r="CS58" i="4"/>
  <c r="CS57" i="4"/>
  <c r="CG57" i="4"/>
  <c r="CC57" i="4"/>
  <c r="CS54" i="4"/>
  <c r="CG54" i="4"/>
  <c r="CC54" i="4"/>
  <c r="CS53" i="4"/>
  <c r="CG53" i="4"/>
  <c r="CC53" i="4"/>
  <c r="CS50" i="4"/>
  <c r="CG50" i="4"/>
  <c r="CC50" i="4"/>
  <c r="CS49" i="4"/>
  <c r="CC49" i="4"/>
  <c r="CS48" i="4"/>
  <c r="CC48" i="4"/>
  <c r="CS46" i="4"/>
  <c r="CC46" i="4"/>
  <c r="CS45" i="4"/>
  <c r="CC45" i="4"/>
  <c r="CS44" i="4"/>
  <c r="CC44" i="4"/>
  <c r="CS43" i="4"/>
  <c r="CC43" i="4"/>
  <c r="CS42" i="4"/>
  <c r="CC42" i="4"/>
  <c r="CS41" i="4"/>
  <c r="CC41" i="4"/>
  <c r="CS40" i="4"/>
  <c r="CC40" i="4"/>
  <c r="CS39" i="4"/>
  <c r="CC39" i="4"/>
  <c r="CS38" i="4"/>
  <c r="CC38" i="4"/>
  <c r="CS37" i="4"/>
  <c r="CS29" i="4"/>
  <c r="CS28" i="4"/>
  <c r="CS27" i="4"/>
  <c r="CS26" i="4"/>
  <c r="CG26" i="4"/>
  <c r="CS25" i="4"/>
  <c r="H115" i="105" s="1"/>
  <c r="CG25" i="4"/>
  <c r="H58" i="125" s="1"/>
  <c r="I58" i="125" s="1"/>
  <c r="CS24" i="4"/>
  <c r="CG24" i="4"/>
  <c r="CS23" i="4"/>
  <c r="H113" i="105" s="1"/>
  <c r="CG23" i="4"/>
  <c r="CS22" i="4"/>
  <c r="H112" i="105" s="1"/>
  <c r="I112" i="105" s="1"/>
  <c r="CG22" i="4"/>
  <c r="H109" i="105" s="1"/>
  <c r="I109" i="105" s="1"/>
  <c r="CS21" i="4"/>
  <c r="CG21" i="4"/>
  <c r="CS20" i="4"/>
  <c r="CG20" i="4"/>
  <c r="CS19" i="4"/>
  <c r="CG19" i="4"/>
  <c r="CC19" i="4"/>
  <c r="CS18" i="4"/>
  <c r="CG18" i="4"/>
  <c r="CC18" i="4"/>
  <c r="CS17" i="4"/>
  <c r="CG17" i="4"/>
  <c r="CC17" i="4"/>
  <c r="BZ71" i="4"/>
  <c r="BV71" i="4"/>
  <c r="BR71" i="4"/>
  <c r="BZ70" i="4"/>
  <c r="BV70" i="4"/>
  <c r="BR70" i="4"/>
  <c r="BZ68" i="4"/>
  <c r="BV68" i="4"/>
  <c r="BR68" i="4"/>
  <c r="BZ67" i="4"/>
  <c r="BV67" i="4"/>
  <c r="BR67" i="4"/>
  <c r="BZ66" i="4"/>
  <c r="BV66" i="4"/>
  <c r="BR66" i="4"/>
  <c r="BZ64" i="4"/>
  <c r="BV64" i="4"/>
  <c r="BR64" i="4"/>
  <c r="BZ63" i="4"/>
  <c r="BV63" i="4"/>
  <c r="BR63" i="4"/>
  <c r="BZ62" i="4"/>
  <c r="BV62" i="4"/>
  <c r="BR62" i="4"/>
  <c r="BZ61" i="4"/>
  <c r="BV61" i="4"/>
  <c r="BR61" i="4"/>
  <c r="BZ60" i="4"/>
  <c r="BV60" i="4"/>
  <c r="BR60" i="4"/>
  <c r="BZ59" i="4"/>
  <c r="BV59" i="4"/>
  <c r="BR59" i="4"/>
  <c r="BZ57" i="4"/>
  <c r="BV57" i="4"/>
  <c r="BR57" i="4"/>
  <c r="BZ54" i="4"/>
  <c r="BV54" i="4"/>
  <c r="BR54" i="4"/>
  <c r="BZ53" i="4"/>
  <c r="BV53" i="4"/>
  <c r="BR53" i="4"/>
  <c r="BZ50" i="4"/>
  <c r="BV50" i="4"/>
  <c r="BR50" i="4"/>
  <c r="BZ49" i="4"/>
  <c r="BV49" i="4"/>
  <c r="BR49" i="4"/>
  <c r="BZ48" i="4"/>
  <c r="BV48" i="4"/>
  <c r="BR48" i="4"/>
  <c r="BZ46" i="4"/>
  <c r="BV46" i="4"/>
  <c r="BR46" i="4"/>
  <c r="BZ45" i="4"/>
  <c r="BV45" i="4"/>
  <c r="BR45" i="4"/>
  <c r="BZ44" i="4"/>
  <c r="BV44" i="4"/>
  <c r="BR44" i="4"/>
  <c r="BZ43" i="4"/>
  <c r="BV43" i="4"/>
  <c r="BR43" i="4"/>
  <c r="BZ42" i="4"/>
  <c r="BV42" i="4"/>
  <c r="BR42" i="4"/>
  <c r="BZ41" i="4"/>
  <c r="BV41" i="4"/>
  <c r="BR41" i="4"/>
  <c r="BZ40" i="4"/>
  <c r="BV40" i="4"/>
  <c r="BR40" i="4"/>
  <c r="BZ39" i="4"/>
  <c r="BV39" i="4"/>
  <c r="BR39" i="4"/>
  <c r="BZ38" i="4"/>
  <c r="BV38" i="4"/>
  <c r="BR38" i="4"/>
  <c r="BZ33" i="4"/>
  <c r="BV33" i="4"/>
  <c r="BR33" i="4"/>
  <c r="BZ32" i="4"/>
  <c r="BV32" i="4"/>
  <c r="BR32" i="4"/>
  <c r="BZ31" i="4"/>
  <c r="BV31" i="4"/>
  <c r="BR31" i="4"/>
  <c r="BZ30" i="4"/>
  <c r="H38" i="106" s="1"/>
  <c r="I38" i="106" s="1"/>
  <c r="BV30" i="4"/>
  <c r="BR30" i="4"/>
  <c r="BZ29" i="4"/>
  <c r="BV29" i="4"/>
  <c r="BR29" i="4"/>
  <c r="BZ28" i="4"/>
  <c r="BV28" i="4"/>
  <c r="BR28" i="4"/>
  <c r="BZ27" i="4"/>
  <c r="BV27" i="4"/>
  <c r="BR27" i="4"/>
  <c r="BZ26" i="4"/>
  <c r="BV26" i="4"/>
  <c r="BR26" i="4"/>
  <c r="BR25" i="4"/>
  <c r="BZ24" i="4"/>
  <c r="BR24" i="4"/>
  <c r="BZ23" i="4"/>
  <c r="BR23" i="4"/>
  <c r="BV22" i="4"/>
  <c r="H93" i="105" s="1"/>
  <c r="I93" i="105" s="1"/>
  <c r="BR22" i="4"/>
  <c r="H99" i="105" s="1"/>
  <c r="I99" i="105" s="1"/>
  <c r="BZ21" i="4"/>
  <c r="BV21" i="4"/>
  <c r="BR21" i="4"/>
  <c r="BZ20" i="4"/>
  <c r="BV20" i="4"/>
  <c r="BR20" i="4"/>
  <c r="BZ19" i="4"/>
  <c r="BV19" i="4"/>
  <c r="BR19" i="4"/>
  <c r="BZ18" i="4"/>
  <c r="BV18" i="4"/>
  <c r="BR18" i="4"/>
  <c r="BZ17" i="4"/>
  <c r="BV17" i="4"/>
  <c r="BR17" i="4"/>
  <c r="BO71" i="4"/>
  <c r="BL71" i="4"/>
  <c r="BI71" i="4"/>
  <c r="BF71" i="4"/>
  <c r="BO70" i="4"/>
  <c r="BL70" i="4"/>
  <c r="BI70" i="4"/>
  <c r="BF70" i="4"/>
  <c r="BO68" i="4"/>
  <c r="BL68" i="4"/>
  <c r="BI68" i="4"/>
  <c r="BF68" i="4"/>
  <c r="BO67" i="4"/>
  <c r="BL67" i="4"/>
  <c r="BI67" i="4"/>
  <c r="BF67" i="4"/>
  <c r="BO66" i="4"/>
  <c r="BL66" i="4"/>
  <c r="BI66" i="4"/>
  <c r="BF66" i="4"/>
  <c r="BO64" i="4"/>
  <c r="BL64" i="4"/>
  <c r="BI64" i="4"/>
  <c r="BF64" i="4"/>
  <c r="BO63" i="4"/>
  <c r="BL63" i="4"/>
  <c r="BI63" i="4"/>
  <c r="BF63" i="4"/>
  <c r="BO62" i="4"/>
  <c r="BL62" i="4"/>
  <c r="BI62" i="4"/>
  <c r="BF62" i="4"/>
  <c r="BO61" i="4"/>
  <c r="BL61" i="4"/>
  <c r="BI61" i="4"/>
  <c r="BF61" i="4"/>
  <c r="BO60" i="4"/>
  <c r="BL60" i="4"/>
  <c r="BI60" i="4"/>
  <c r="BF60" i="4"/>
  <c r="BO59" i="4"/>
  <c r="BL59" i="4"/>
  <c r="BI59" i="4"/>
  <c r="BO58" i="4"/>
  <c r="BL58" i="4"/>
  <c r="Q136" i="94" s="1"/>
  <c r="R136" i="94" s="1"/>
  <c r="BI58" i="4"/>
  <c r="BF58" i="4"/>
  <c r="BO57" i="4"/>
  <c r="BL57" i="4"/>
  <c r="BI57" i="4"/>
  <c r="BF57" i="4"/>
  <c r="BO54" i="4"/>
  <c r="BL54" i="4"/>
  <c r="BI54" i="4"/>
  <c r="BF54" i="4"/>
  <c r="BO53" i="4"/>
  <c r="BL53" i="4"/>
  <c r="BI53" i="4"/>
  <c r="BF53" i="4"/>
  <c r="BO50" i="4"/>
  <c r="BL50" i="4"/>
  <c r="BI50" i="4"/>
  <c r="BF50" i="4"/>
  <c r="BO49" i="4"/>
  <c r="BL49" i="4"/>
  <c r="BI49" i="4"/>
  <c r="BF49" i="4"/>
  <c r="BO48" i="4"/>
  <c r="BL48" i="4"/>
  <c r="BI48" i="4"/>
  <c r="BF48" i="4"/>
  <c r="BO46" i="4"/>
  <c r="BL46" i="4"/>
  <c r="BI46" i="4"/>
  <c r="BF46" i="4"/>
  <c r="BO45" i="4"/>
  <c r="BL45" i="4"/>
  <c r="BI45" i="4"/>
  <c r="BF45" i="4"/>
  <c r="BL44" i="4"/>
  <c r="BF44" i="4"/>
  <c r="BO43" i="4"/>
  <c r="BL43" i="4"/>
  <c r="BI43" i="4"/>
  <c r="BF43" i="4"/>
  <c r="BO42" i="4"/>
  <c r="BL42" i="4"/>
  <c r="BI42" i="4"/>
  <c r="BF42" i="4"/>
  <c r="BO41" i="4"/>
  <c r="BL41" i="4"/>
  <c r="BI41" i="4"/>
  <c r="BF41" i="4"/>
  <c r="BO40" i="4"/>
  <c r="BL40" i="4"/>
  <c r="BI40" i="4"/>
  <c r="BF40" i="4"/>
  <c r="BO39" i="4"/>
  <c r="BL39" i="4"/>
  <c r="BI39" i="4"/>
  <c r="BF39" i="4"/>
  <c r="BO38" i="4"/>
  <c r="BL38" i="4"/>
  <c r="BI38" i="4"/>
  <c r="BF38" i="4"/>
  <c r="BO33" i="4"/>
  <c r="BL33" i="4"/>
  <c r="BI33" i="4"/>
  <c r="BF33" i="4"/>
  <c r="BO32" i="4"/>
  <c r="BL32" i="4"/>
  <c r="BI32" i="4"/>
  <c r="BF32" i="4"/>
  <c r="BO31" i="4"/>
  <c r="BL31" i="4"/>
  <c r="BI31" i="4"/>
  <c r="BF31" i="4"/>
  <c r="BO30" i="4"/>
  <c r="BI30" i="4"/>
  <c r="BF30" i="4"/>
  <c r="BO29" i="4"/>
  <c r="BL29" i="4"/>
  <c r="BI29" i="4"/>
  <c r="BF29" i="4"/>
  <c r="BO28" i="4"/>
  <c r="BL28" i="4"/>
  <c r="BI28" i="4"/>
  <c r="BF28" i="4"/>
  <c r="BO27" i="4"/>
  <c r="BL27" i="4"/>
  <c r="BI27" i="4"/>
  <c r="BF27" i="4"/>
  <c r="BO26" i="4"/>
  <c r="BL26" i="4"/>
  <c r="BI26" i="4"/>
  <c r="BF26" i="4"/>
  <c r="BO25" i="4"/>
  <c r="BL25" i="4"/>
  <c r="BI25" i="4"/>
  <c r="BF25" i="4"/>
  <c r="BO24" i="4"/>
  <c r="BL24" i="4"/>
  <c r="BI24" i="4"/>
  <c r="BF24" i="4"/>
  <c r="BO23" i="4"/>
  <c r="BL23" i="4"/>
  <c r="BI23" i="4"/>
  <c r="BF23" i="4"/>
  <c r="BO22" i="4"/>
  <c r="H86" i="105" s="1"/>
  <c r="I86" i="105" s="1"/>
  <c r="BL22" i="4"/>
  <c r="H89" i="105" s="1"/>
  <c r="I89" i="105" s="1"/>
  <c r="BI22" i="4"/>
  <c r="H83" i="105" s="1"/>
  <c r="I83" i="105" s="1"/>
  <c r="BF22" i="4"/>
  <c r="H151" i="105" s="1"/>
  <c r="I151" i="105" s="1"/>
  <c r="BO21" i="4"/>
  <c r="BL21" i="4"/>
  <c r="BI21" i="4"/>
  <c r="BF21" i="4"/>
  <c r="BO20" i="4"/>
  <c r="BL20" i="4"/>
  <c r="BI20" i="4"/>
  <c r="BF20" i="4"/>
  <c r="BO19" i="4"/>
  <c r="BL19" i="4"/>
  <c r="BI19" i="4"/>
  <c r="BF19" i="4"/>
  <c r="BO18" i="4"/>
  <c r="BL18" i="4"/>
  <c r="BI18" i="4"/>
  <c r="BF18" i="4"/>
  <c r="BO17" i="4"/>
  <c r="BL17" i="4"/>
  <c r="BI17" i="4"/>
  <c r="BF17" i="4"/>
  <c r="AZ71" i="4"/>
  <c r="AQ71" i="4"/>
  <c r="AZ70" i="4"/>
  <c r="AQ70" i="4"/>
  <c r="AZ68" i="4"/>
  <c r="AQ68" i="4"/>
  <c r="AZ67" i="4"/>
  <c r="AQ67" i="4"/>
  <c r="AZ66" i="4"/>
  <c r="AQ66" i="4"/>
  <c r="AZ64" i="4"/>
  <c r="AQ64" i="4"/>
  <c r="AZ63" i="4"/>
  <c r="AQ63" i="4"/>
  <c r="AZ62" i="4"/>
  <c r="AQ62" i="4"/>
  <c r="AZ61" i="4"/>
  <c r="AQ61" i="4"/>
  <c r="AZ60" i="4"/>
  <c r="AQ60" i="4"/>
  <c r="AZ57" i="4"/>
  <c r="AQ57" i="4"/>
  <c r="AZ54" i="4"/>
  <c r="AQ54" i="4"/>
  <c r="AZ53" i="4"/>
  <c r="AQ53" i="4"/>
  <c r="AZ50" i="4"/>
  <c r="AQ50" i="4"/>
  <c r="AZ49" i="4"/>
  <c r="AQ49" i="4"/>
  <c r="AZ48" i="4"/>
  <c r="AQ48" i="4"/>
  <c r="AZ46" i="4"/>
  <c r="AQ46" i="4"/>
  <c r="AZ45" i="4"/>
  <c r="AQ45" i="4"/>
  <c r="AQ44" i="4"/>
  <c r="AZ43" i="4"/>
  <c r="AQ43" i="4"/>
  <c r="AZ42" i="4"/>
  <c r="AQ42" i="4"/>
  <c r="AZ41" i="4"/>
  <c r="AQ41" i="4"/>
  <c r="AZ40" i="4"/>
  <c r="AQ40" i="4"/>
  <c r="AZ39" i="4"/>
  <c r="AQ39" i="4"/>
  <c r="AZ38" i="4"/>
  <c r="AQ38" i="4"/>
  <c r="AZ33" i="4"/>
  <c r="H35" i="106" s="1"/>
  <c r="I35" i="106" s="1"/>
  <c r="AQ33" i="4"/>
  <c r="AZ32" i="4"/>
  <c r="AQ32" i="4"/>
  <c r="AZ31" i="4"/>
  <c r="AQ31" i="4"/>
  <c r="AZ30" i="4"/>
  <c r="AZ29" i="4"/>
  <c r="AQ29" i="4"/>
  <c r="AZ28" i="4"/>
  <c r="AQ28" i="4"/>
  <c r="AZ27" i="4"/>
  <c r="H32" i="123" s="1"/>
  <c r="I32" i="123" s="1"/>
  <c r="AQ27" i="4"/>
  <c r="AZ26" i="4"/>
  <c r="AQ26" i="4"/>
  <c r="AQ24" i="4"/>
  <c r="AZ22" i="4"/>
  <c r="H80" i="105" s="1"/>
  <c r="I80" i="105" s="1"/>
  <c r="AQ22" i="4"/>
  <c r="H75" i="105" s="1"/>
  <c r="I75" i="105" s="1"/>
  <c r="AZ21" i="4"/>
  <c r="AQ21" i="4"/>
  <c r="AZ20" i="4"/>
  <c r="AQ20" i="4"/>
  <c r="AZ19" i="4"/>
  <c r="AQ19" i="4"/>
  <c r="AZ18" i="4"/>
  <c r="AQ18" i="4"/>
  <c r="AZ17" i="4"/>
  <c r="AQ17" i="4"/>
  <c r="AN71" i="4"/>
  <c r="AN70" i="4"/>
  <c r="AN68" i="4"/>
  <c r="AN67" i="4"/>
  <c r="AN66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1" i="4"/>
  <c r="AH70" i="4"/>
  <c r="AH68" i="4"/>
  <c r="AH67" i="4"/>
  <c r="AH66" i="4"/>
  <c r="AH64" i="4"/>
  <c r="AH63" i="4"/>
  <c r="AH62" i="4"/>
  <c r="AH61" i="4"/>
  <c r="AH60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H23" i="125" s="1"/>
  <c r="I23" i="125" s="1"/>
  <c r="AH24" i="4"/>
  <c r="H23" i="123" s="1"/>
  <c r="I23" i="123" s="1"/>
  <c r="AH23" i="4"/>
  <c r="AH22" i="4"/>
  <c r="H51" i="105" s="1"/>
  <c r="I51" i="105" s="1"/>
  <c r="AH21" i="4"/>
  <c r="H54" i="104" s="1"/>
  <c r="I54" i="104" s="1"/>
  <c r="AH20" i="4"/>
  <c r="AH19" i="4"/>
  <c r="AH18" i="4"/>
  <c r="AH17" i="4"/>
  <c r="AE71" i="4"/>
  <c r="AE70" i="4"/>
  <c r="AE68" i="4"/>
  <c r="AE67" i="4"/>
  <c r="AE66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3" i="4"/>
  <c r="AE20" i="4"/>
  <c r="AE19" i="4"/>
  <c r="AE18" i="4"/>
  <c r="AE17" i="4"/>
  <c r="AB73" i="4"/>
  <c r="DX73" i="4" s="1"/>
  <c r="AB71" i="4"/>
  <c r="AB70" i="4"/>
  <c r="AB68" i="4"/>
  <c r="AB67" i="4"/>
  <c r="AB66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8" i="4"/>
  <c r="AB27" i="4"/>
  <c r="AB26" i="4"/>
  <c r="AB25" i="4"/>
  <c r="H14" i="125" s="1"/>
  <c r="I14" i="125" s="1"/>
  <c r="AB24" i="4"/>
  <c r="H14" i="123" s="1"/>
  <c r="I14" i="123" s="1"/>
  <c r="AB23" i="4"/>
  <c r="AB22" i="4"/>
  <c r="H42" i="105" s="1"/>
  <c r="I42" i="105" s="1"/>
  <c r="AB21" i="4"/>
  <c r="AB20" i="4"/>
  <c r="AB19" i="4"/>
  <c r="AB18" i="4"/>
  <c r="AB17" i="4"/>
  <c r="O71" i="4"/>
  <c r="O70" i="4"/>
  <c r="O68" i="4"/>
  <c r="O67" i="4"/>
  <c r="O64" i="4"/>
  <c r="O63" i="4"/>
  <c r="O62" i="4"/>
  <c r="O61" i="4"/>
  <c r="O60" i="4"/>
  <c r="O59" i="4"/>
  <c r="O58" i="4"/>
  <c r="O57" i="4"/>
  <c r="O54" i="4"/>
  <c r="O53" i="4"/>
  <c r="O50" i="4"/>
  <c r="O49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0" i="4"/>
  <c r="O19" i="4"/>
  <c r="O18" i="4"/>
  <c r="F118" i="131" s="1"/>
  <c r="O17" i="4"/>
  <c r="F117" i="131" s="1"/>
  <c r="DX54" i="4" l="1"/>
  <c r="DX57" i="4"/>
  <c r="DX19" i="4"/>
  <c r="DX32" i="4"/>
  <c r="DX43" i="4"/>
  <c r="DX68" i="4"/>
  <c r="DX27" i="4"/>
  <c r="DX29" i="4"/>
  <c r="DX45" i="4"/>
  <c r="DX38" i="4"/>
  <c r="DX46" i="4"/>
  <c r="DX64" i="4"/>
  <c r="DX39" i="4"/>
  <c r="DX62" i="4"/>
  <c r="DX31" i="4"/>
  <c r="DX49" i="4"/>
  <c r="DX20" i="4"/>
  <c r="DX40" i="4"/>
  <c r="DX33" i="4"/>
  <c r="DX41" i="4"/>
  <c r="DX63" i="4"/>
  <c r="DX37" i="4"/>
  <c r="H35" i="123"/>
  <c r="I35" i="123" s="1"/>
  <c r="H44" i="125"/>
  <c r="I44" i="125" s="1"/>
  <c r="DX60" i="4"/>
  <c r="H20" i="87"/>
  <c r="I20" i="87" s="1"/>
  <c r="H8" i="72"/>
  <c r="I8" i="72" s="1"/>
  <c r="H20" i="106"/>
  <c r="I20" i="106" s="1"/>
  <c r="F41" i="4"/>
  <c r="D141" i="131" s="1"/>
  <c r="F63" i="4"/>
  <c r="D161" i="131" s="1"/>
  <c r="F29" i="4"/>
  <c r="D129" i="131" s="1"/>
  <c r="F27" i="4"/>
  <c r="D127" i="131" s="1"/>
  <c r="F19" i="4"/>
  <c r="D119" i="131" s="1"/>
  <c r="F43" i="4"/>
  <c r="D143" i="131" s="1"/>
  <c r="F54" i="4"/>
  <c r="D153" i="131" s="1"/>
  <c r="F57" i="4"/>
  <c r="D155" i="131" s="1"/>
  <c r="F33" i="4"/>
  <c r="D133" i="131" s="1"/>
  <c r="F68" i="4"/>
  <c r="D165" i="131" s="1"/>
  <c r="F64" i="4"/>
  <c r="D162" i="131" s="1"/>
  <c r="F45" i="4"/>
  <c r="D145" i="131" s="1"/>
  <c r="F31" i="4"/>
  <c r="D131" i="131" s="1"/>
  <c r="F39" i="4"/>
  <c r="D139" i="131" s="1"/>
  <c r="F32" i="4"/>
  <c r="D132" i="131" s="1"/>
  <c r="F20" i="4"/>
  <c r="D120" i="131" s="1"/>
  <c r="F40" i="4"/>
  <c r="D140" i="131" s="1"/>
  <c r="F49" i="4"/>
  <c r="D149" i="131" s="1"/>
  <c r="F60" i="4"/>
  <c r="D158" i="131" s="1"/>
  <c r="F38" i="4"/>
  <c r="D138" i="131" s="1"/>
  <c r="H17" i="125"/>
  <c r="I17" i="125" s="1"/>
  <c r="F62" i="4"/>
  <c r="D160" i="131" s="1"/>
  <c r="F37" i="4"/>
  <c r="D137" i="131" s="1"/>
  <c r="H32" i="106"/>
  <c r="I32" i="106" s="1"/>
  <c r="H8" i="123"/>
  <c r="I8" i="123" s="1"/>
  <c r="H8" i="125"/>
  <c r="I8" i="125" s="1"/>
  <c r="H7" i="127"/>
  <c r="I7" i="127" s="1"/>
  <c r="H18" i="105"/>
  <c r="I18" i="105" s="1"/>
  <c r="H17" i="104"/>
  <c r="I17" i="104" s="1"/>
  <c r="CZ52" i="4"/>
  <c r="DC52" i="4"/>
  <c r="H67" i="104"/>
  <c r="I67" i="104" s="1"/>
  <c r="BF52" i="4"/>
  <c r="H45" i="104"/>
  <c r="I45" i="104" s="1"/>
  <c r="O52" i="4"/>
  <c r="DX17" i="4"/>
  <c r="DX70" i="4"/>
  <c r="H9" i="107"/>
  <c r="H11" i="107"/>
  <c r="DX40" i="130" l="1"/>
  <c r="E140" i="131"/>
  <c r="F140" i="131" s="1"/>
  <c r="G140" i="131" s="1"/>
  <c r="H140" i="131" s="1"/>
  <c r="I140" i="131" s="1"/>
  <c r="DX57" i="130"/>
  <c r="DX54" i="130"/>
  <c r="DX49" i="130"/>
  <c r="E149" i="131"/>
  <c r="F149" i="131" s="1"/>
  <c r="G149" i="131" s="1"/>
  <c r="H149" i="131" s="1"/>
  <c r="I149" i="131" s="1"/>
  <c r="DX43" i="130"/>
  <c r="E143" i="131"/>
  <c r="F143" i="131" s="1"/>
  <c r="G143" i="131" s="1"/>
  <c r="H143" i="131" s="1"/>
  <c r="I143" i="131" s="1"/>
  <c r="DX19" i="130"/>
  <c r="E119" i="131"/>
  <c r="DX27" i="130"/>
  <c r="E127" i="131"/>
  <c r="F127" i="131" s="1"/>
  <c r="G127" i="131" s="1"/>
  <c r="H127" i="131" s="1"/>
  <c r="I127" i="131" s="1"/>
  <c r="DX29" i="130"/>
  <c r="E129" i="131"/>
  <c r="F129" i="131" s="1"/>
  <c r="G129" i="131" s="1"/>
  <c r="H129" i="131" s="1"/>
  <c r="I129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1" i="130"/>
  <c r="E141" i="131"/>
  <c r="F141" i="131" s="1"/>
  <c r="G141" i="131" s="1"/>
  <c r="H141" i="131" s="1"/>
  <c r="I14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2" i="130"/>
  <c r="E132" i="131"/>
  <c r="F132" i="131" s="1"/>
  <c r="G132" i="131" s="1"/>
  <c r="H132" i="131" s="1"/>
  <c r="I132" i="131" s="1"/>
  <c r="DX38" i="130"/>
  <c r="E138" i="131"/>
  <c r="F138" i="131" s="1"/>
  <c r="G138" i="131" s="1"/>
  <c r="H138" i="131" s="1"/>
  <c r="I138" i="131" s="1"/>
  <c r="DX33" i="130"/>
  <c r="E133" i="131"/>
  <c r="F133" i="131" s="1"/>
  <c r="G133" i="131" s="1"/>
  <c r="H133" i="131" s="1"/>
  <c r="I133" i="131" s="1"/>
  <c r="DY57" i="4"/>
  <c r="Q118" i="94"/>
  <c r="R118" i="94" s="1"/>
  <c r="DX68" i="130"/>
  <c r="H177" i="73"/>
  <c r="I177" i="73" s="1"/>
  <c r="DX63" i="130"/>
  <c r="H176" i="73"/>
  <c r="I176" i="73" s="1"/>
  <c r="DX62" i="130"/>
  <c r="H178" i="73"/>
  <c r="I178" i="73" s="1"/>
  <c r="DX64" i="130"/>
  <c r="H174" i="73"/>
  <c r="I174" i="73" s="1"/>
  <c r="DX60" i="130"/>
  <c r="I11" i="107"/>
  <c r="I9" i="107"/>
  <c r="F119" i="131" l="1"/>
  <c r="C11" i="75"/>
  <c r="G24" i="92"/>
  <c r="J24" i="92"/>
  <c r="I24" i="92"/>
  <c r="O24" i="92"/>
  <c r="L24" i="92"/>
  <c r="H24" i="92"/>
  <c r="N24" i="92"/>
  <c r="F24" i="92"/>
  <c r="K24" i="92"/>
  <c r="E24" i="92"/>
  <c r="M24" i="92"/>
  <c r="D24" i="92"/>
  <c r="DK69" i="4"/>
  <c r="Q246" i="94" s="1"/>
  <c r="R246" i="94" s="1"/>
  <c r="AP69" i="4"/>
  <c r="DI55" i="4"/>
  <c r="CT55" i="4"/>
  <c r="BQ55" i="4"/>
  <c r="BK55" i="4"/>
  <c r="BH55" i="4"/>
  <c r="BG55" i="4"/>
  <c r="O76" i="75"/>
  <c r="N76" i="75"/>
  <c r="K76" i="75"/>
  <c r="H76" i="75"/>
  <c r="G76" i="75"/>
  <c r="F76" i="75"/>
  <c r="M13" i="94"/>
  <c r="M21" i="94"/>
  <c r="M30" i="94"/>
  <c r="M60" i="94"/>
  <c r="M246" i="94"/>
  <c r="F14" i="4"/>
  <c r="F13" i="4"/>
  <c r="D112" i="131" s="1"/>
  <c r="DQ69" i="4"/>
  <c r="DE55" i="4"/>
  <c r="Q55" i="4"/>
  <c r="H134" i="73"/>
  <c r="I134" i="73" s="1"/>
  <c r="H133" i="73"/>
  <c r="I133" i="73" s="1"/>
  <c r="C11" i="92"/>
  <c r="P11" i="92" s="1"/>
  <c r="DY70" i="4"/>
  <c r="DQ72" i="4"/>
  <c r="F17" i="4"/>
  <c r="M65" i="94"/>
  <c r="M78" i="94"/>
  <c r="M229" i="94"/>
  <c r="M272" i="94"/>
  <c r="M235" i="94"/>
  <c r="M225" i="94"/>
  <c r="M154" i="94"/>
  <c r="M149" i="94"/>
  <c r="M143" i="94"/>
  <c r="M132" i="94"/>
  <c r="M122" i="94"/>
  <c r="M89" i="94"/>
  <c r="M69" i="94"/>
  <c r="M85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4" i="75"/>
  <c r="C51" i="75"/>
  <c r="C50" i="75"/>
  <c r="C42" i="75"/>
  <c r="C41" i="75"/>
  <c r="H64" i="75"/>
  <c r="H34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EA68" i="4"/>
  <c r="EA67" i="4"/>
  <c r="EA66" i="4"/>
  <c r="EA64" i="4"/>
  <c r="EA63" i="4"/>
  <c r="EA62" i="4"/>
  <c r="EA61" i="4"/>
  <c r="EA60" i="4"/>
  <c r="EA59" i="4"/>
  <c r="EA57" i="4"/>
  <c r="EA50" i="4"/>
  <c r="EA49" i="4"/>
  <c r="EA48" i="4"/>
  <c r="EA46" i="4"/>
  <c r="EA45" i="4"/>
  <c r="EA44" i="4"/>
  <c r="EA43" i="4"/>
  <c r="EA42" i="4"/>
  <c r="EA41" i="4"/>
  <c r="EA40" i="4"/>
  <c r="EA38" i="4"/>
  <c r="EA37" i="4"/>
  <c r="EA33" i="4"/>
  <c r="EA32" i="4"/>
  <c r="EA31" i="4"/>
  <c r="EA29" i="4"/>
  <c r="EA27" i="4"/>
  <c r="EA24" i="4"/>
  <c r="EA23" i="4"/>
  <c r="EA20" i="4"/>
  <c r="EA19" i="4"/>
  <c r="EA17" i="4"/>
  <c r="EA15" i="4"/>
  <c r="EA14" i="4"/>
  <c r="EA13" i="4"/>
  <c r="EA12" i="4"/>
  <c r="EA11" i="4"/>
  <c r="EA10" i="4"/>
  <c r="EA9" i="4"/>
  <c r="EA72" i="4"/>
  <c r="CE72" i="4"/>
  <c r="CE69" i="4"/>
  <c r="DB72" i="4"/>
  <c r="DA72" i="4"/>
  <c r="DB69" i="4"/>
  <c r="CY72" i="4"/>
  <c r="CX72" i="4"/>
  <c r="CY69" i="4"/>
  <c r="CU72" i="4"/>
  <c r="CT72" i="4"/>
  <c r="CU69" i="4"/>
  <c r="CT69" i="4"/>
  <c r="CI72" i="4"/>
  <c r="CH72" i="4"/>
  <c r="CI69" i="4"/>
  <c r="CD72" i="4"/>
  <c r="CB72" i="4"/>
  <c r="CA72" i="4"/>
  <c r="BX72" i="4"/>
  <c r="BW72" i="4"/>
  <c r="BX69" i="4"/>
  <c r="BV72" i="4"/>
  <c r="BT72" i="4"/>
  <c r="BS72" i="4"/>
  <c r="BT69" i="4"/>
  <c r="BQ72" i="4"/>
  <c r="BP72" i="4"/>
  <c r="BQ69" i="4"/>
  <c r="BP69" i="4"/>
  <c r="BN72" i="4"/>
  <c r="BM72" i="4"/>
  <c r="BN69" i="4"/>
  <c r="BM69" i="4"/>
  <c r="BK72" i="4"/>
  <c r="BJ72" i="4"/>
  <c r="BK69" i="4"/>
  <c r="BJ69" i="4"/>
  <c r="BH72" i="4"/>
  <c r="BG72" i="4"/>
  <c r="BH69" i="4"/>
  <c r="BB72" i="4"/>
  <c r="BA72" i="4"/>
  <c r="BB69" i="4"/>
  <c r="AS72" i="4"/>
  <c r="AR72" i="4"/>
  <c r="AS69" i="4"/>
  <c r="AP72" i="4"/>
  <c r="AO72" i="4"/>
  <c r="AJ72" i="4"/>
  <c r="AI72" i="4"/>
  <c r="AJ69" i="4"/>
  <c r="AG72" i="4"/>
  <c r="AF72" i="4"/>
  <c r="AG69" i="4"/>
  <c r="AD72" i="4"/>
  <c r="AC72" i="4"/>
  <c r="AD69" i="4"/>
  <c r="Q72" i="4"/>
  <c r="P72" i="4"/>
  <c r="Q69" i="4"/>
  <c r="P69" i="4"/>
  <c r="U69" i="4"/>
  <c r="DJ72" i="4"/>
  <c r="DI72" i="4"/>
  <c r="DH72" i="4"/>
  <c r="DJ69" i="4"/>
  <c r="DI69" i="4"/>
  <c r="DH69" i="4"/>
  <c r="DE72" i="4"/>
  <c r="DD72" i="4"/>
  <c r="DE69" i="4"/>
  <c r="DD69" i="4"/>
  <c r="F73" i="4"/>
  <c r="O15" i="75"/>
  <c r="N15" i="75"/>
  <c r="D15" i="75"/>
  <c r="O64" i="75"/>
  <c r="N64" i="75"/>
  <c r="G64" i="75"/>
  <c r="F64" i="75"/>
  <c r="D64" i="75"/>
  <c r="C35" i="75"/>
  <c r="C34" i="75" s="1"/>
  <c r="G34" i="75"/>
  <c r="G7" i="75"/>
  <c r="N34" i="75"/>
  <c r="N7" i="75"/>
  <c r="F43" i="75"/>
  <c r="F34" i="75"/>
  <c r="CJ69" i="4"/>
  <c r="D43" i="75"/>
  <c r="O34" i="75"/>
  <c r="K34" i="75"/>
  <c r="D34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K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O72" i="4"/>
  <c r="CP69" i="4"/>
  <c r="G16" i="4"/>
  <c r="H16" i="4"/>
  <c r="U16" i="4"/>
  <c r="AA16" i="4"/>
  <c r="AB16" i="4"/>
  <c r="G69" i="4"/>
  <c r="H69" i="4"/>
  <c r="M69" i="4"/>
  <c r="W69" i="4"/>
  <c r="Z69" i="4"/>
  <c r="AA69" i="4"/>
  <c r="AL69" i="4"/>
  <c r="AM69" i="4"/>
  <c r="BI69" i="4"/>
  <c r="BU69" i="4"/>
  <c r="CF69" i="4"/>
  <c r="CV69" i="4"/>
  <c r="DC69" i="4"/>
  <c r="DW69" i="4"/>
  <c r="K72" i="4"/>
  <c r="M72" i="4"/>
  <c r="O72" i="4"/>
  <c r="S72" i="4"/>
  <c r="T72" i="4"/>
  <c r="U72" i="4"/>
  <c r="V72" i="4"/>
  <c r="W72" i="4"/>
  <c r="Y72" i="4"/>
  <c r="Z72" i="4"/>
  <c r="AA72" i="4"/>
  <c r="AB72" i="4"/>
  <c r="AE72" i="4"/>
  <c r="AH72" i="4"/>
  <c r="AK72" i="4"/>
  <c r="AL72" i="4"/>
  <c r="AM72" i="4"/>
  <c r="AN72" i="4"/>
  <c r="AQ72" i="4"/>
  <c r="AZ72" i="4"/>
  <c r="BF72" i="4"/>
  <c r="BI72" i="4"/>
  <c r="BL72" i="4"/>
  <c r="BO72" i="4"/>
  <c r="BR72" i="4"/>
  <c r="BU72" i="4"/>
  <c r="BY72" i="4"/>
  <c r="BZ72" i="4"/>
  <c r="CC72" i="4"/>
  <c r="CF72" i="4"/>
  <c r="CG72" i="4"/>
  <c r="CJ72" i="4"/>
  <c r="CM72" i="4"/>
  <c r="CP72" i="4"/>
  <c r="CS72" i="4"/>
  <c r="CV72" i="4"/>
  <c r="CW72" i="4"/>
  <c r="CZ72" i="4"/>
  <c r="DC72" i="4"/>
  <c r="DF72" i="4"/>
  <c r="DG72" i="4"/>
  <c r="DR72" i="4"/>
  <c r="DU72" i="4"/>
  <c r="DV72" i="4"/>
  <c r="DW72" i="4"/>
  <c r="D16" i="76"/>
  <c r="C37" i="75"/>
  <c r="F143" i="83"/>
  <c r="J125" i="83"/>
  <c r="I125" i="83"/>
  <c r="C16" i="75"/>
  <c r="D4" i="76"/>
  <c r="C44" i="75"/>
  <c r="D113" i="131" l="1"/>
  <c r="E113" i="131" s="1"/>
  <c r="F113" i="131" s="1"/>
  <c r="G113" i="131" s="1"/>
  <c r="H113" i="131" s="1"/>
  <c r="I113" i="131" s="1"/>
  <c r="E112" i="131"/>
  <c r="G119" i="131"/>
  <c r="DX13" i="130"/>
  <c r="DY13" i="4"/>
  <c r="DX14" i="130"/>
  <c r="DY14" i="4"/>
  <c r="D114" i="84"/>
  <c r="C114" i="84"/>
  <c r="H111" i="73"/>
  <c r="I111" i="73" s="1"/>
  <c r="H207" i="73"/>
  <c r="S14" i="85"/>
  <c r="I132" i="83"/>
  <c r="J131" i="83"/>
  <c r="L34" i="75"/>
  <c r="N5" i="75"/>
  <c r="O5" i="75"/>
  <c r="L64" i="75"/>
  <c r="G144" i="75"/>
  <c r="G146" i="75" s="1"/>
  <c r="G148" i="75" s="1"/>
  <c r="L76" i="75"/>
  <c r="L15" i="75"/>
  <c r="H144" i="75"/>
  <c r="E34" i="75"/>
  <c r="L7" i="75"/>
  <c r="E43" i="75"/>
  <c r="F144" i="75"/>
  <c r="D144" i="75"/>
  <c r="K144" i="75"/>
  <c r="M273" i="94"/>
  <c r="C5" i="92"/>
  <c r="P5" i="92" s="1"/>
  <c r="C8" i="92"/>
  <c r="P8" i="92" s="1"/>
  <c r="C21" i="92"/>
  <c r="P21" i="92" s="1"/>
  <c r="J132" i="83"/>
  <c r="DW55" i="4"/>
  <c r="DW74" i="4" s="1"/>
  <c r="DY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V55" i="4"/>
  <c r="C9" i="75"/>
  <c r="C12" i="92"/>
  <c r="P12" i="92" s="1"/>
  <c r="C7" i="92"/>
  <c r="P7" i="92" s="1"/>
  <c r="C20" i="92"/>
  <c r="P20" i="92" s="1"/>
  <c r="C15" i="92"/>
  <c r="P15" i="92" s="1"/>
  <c r="EA16" i="4"/>
  <c r="C14" i="92"/>
  <c r="P14" i="92" s="1"/>
  <c r="C10" i="92"/>
  <c r="P10" i="92" s="1"/>
  <c r="BK74" i="4"/>
  <c r="DY63" i="4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DY73" i="4"/>
  <c r="H73" i="84"/>
  <c r="I73" i="84"/>
  <c r="C49" i="75"/>
  <c r="C43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CT74" i="4"/>
  <c r="D115" i="84"/>
  <c r="C14" i="75"/>
  <c r="L27" i="91"/>
  <c r="Q74" i="4"/>
  <c r="BQ74" i="4"/>
  <c r="C10" i="75"/>
  <c r="C8" i="75"/>
  <c r="DB55" i="4"/>
  <c r="DB74" i="4" s="1"/>
  <c r="AJ55" i="4"/>
  <c r="AJ74" i="4" s="1"/>
  <c r="Y69" i="4"/>
  <c r="Q30" i="94" s="1"/>
  <c r="R30" i="94" s="1"/>
  <c r="DV69" i="4"/>
  <c r="F7" i="75"/>
  <c r="DY40" i="4"/>
  <c r="BO69" i="4"/>
  <c r="CI55" i="4"/>
  <c r="CI74" i="4" s="1"/>
  <c r="H171" i="73"/>
  <c r="I171" i="73" s="1"/>
  <c r="S16" i="4"/>
  <c r="H7" i="75"/>
  <c r="H155" i="73"/>
  <c r="I155" i="73" s="1"/>
  <c r="DO55" i="4"/>
  <c r="BY69" i="4"/>
  <c r="AD55" i="4"/>
  <c r="AD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U55" i="4"/>
  <c r="H27" i="84"/>
  <c r="I27" i="84"/>
  <c r="I33" i="84"/>
  <c r="I50" i="84"/>
  <c r="D97" i="84" s="1"/>
  <c r="I127" i="83"/>
  <c r="I131" i="83" s="1"/>
  <c r="DE74" i="4"/>
  <c r="BH74" i="4"/>
  <c r="C13" i="92"/>
  <c r="P13" i="92" s="1"/>
  <c r="C17" i="92"/>
  <c r="P17" i="92" s="1"/>
  <c r="C19" i="92"/>
  <c r="P19" i="92" s="1"/>
  <c r="DO69" i="4"/>
  <c r="DI74" i="4"/>
  <c r="BL69" i="4"/>
  <c r="CS69" i="4"/>
  <c r="T69" i="4"/>
  <c r="Q60" i="94" s="1"/>
  <c r="R60" i="94" s="1"/>
  <c r="AL55" i="4"/>
  <c r="AL74" i="4" s="1"/>
  <c r="K7" i="75"/>
  <c r="C12" i="75"/>
  <c r="D7" i="75" s="1"/>
  <c r="D5" i="75" s="1"/>
  <c r="D52" i="75" s="1"/>
  <c r="DA55" i="4"/>
  <c r="DD55" i="4"/>
  <c r="DD74" i="4" s="1"/>
  <c r="DG69" i="4"/>
  <c r="O69" i="4"/>
  <c r="DJ55" i="4"/>
  <c r="DJ74" i="4" s="1"/>
  <c r="H156" i="73"/>
  <c r="I156" i="73" s="1"/>
  <c r="M16" i="4"/>
  <c r="C7" i="75" l="1"/>
  <c r="H119" i="131"/>
  <c r="F112" i="131"/>
  <c r="H206" i="73"/>
  <c r="H193" i="73" s="1"/>
  <c r="R41" i="85"/>
  <c r="S41" i="85" s="1"/>
  <c r="R50" i="85"/>
  <c r="Q208" i="94"/>
  <c r="R208" i="94" s="1"/>
  <c r="R47" i="85"/>
  <c r="Q21" i="94"/>
  <c r="R21" i="94" s="1"/>
  <c r="R34" i="85"/>
  <c r="M262" i="94"/>
  <c r="S15" i="85"/>
  <c r="G93" i="84"/>
  <c r="D47" i="76"/>
  <c r="C8" i="114"/>
  <c r="H213" i="73"/>
  <c r="C4" i="114"/>
  <c r="L5" i="75"/>
  <c r="D146" i="75"/>
  <c r="D148" i="75" s="1"/>
  <c r="D149" i="75" s="1"/>
  <c r="R12" i="85"/>
  <c r="S12" i="85" s="1"/>
  <c r="Q238" i="94"/>
  <c r="R238" i="94" s="1"/>
  <c r="Q85" i="94"/>
  <c r="R85" i="94" s="1"/>
  <c r="Q232" i="94"/>
  <c r="R232" i="94" s="1"/>
  <c r="E47" i="76"/>
  <c r="H146" i="75"/>
  <c r="H148" i="75" s="1"/>
  <c r="H29" i="84"/>
  <c r="H36" i="84" s="1"/>
  <c r="C96" i="84" s="1"/>
  <c r="Q132" i="94"/>
  <c r="R132" i="94" s="1"/>
  <c r="Q272" i="94"/>
  <c r="R272" i="94" s="1"/>
  <c r="F146" i="75"/>
  <c r="F148" i="75" s="1"/>
  <c r="C148" i="75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6" i="75"/>
  <c r="K148" i="75" s="1"/>
  <c r="C18" i="92"/>
  <c r="P18" i="92" s="1"/>
  <c r="G143" i="83"/>
  <c r="AA55" i="4"/>
  <c r="AA74" i="4" s="1"/>
  <c r="AM55" i="4"/>
  <c r="AM74" i="4" s="1"/>
  <c r="H125" i="73"/>
  <c r="I125" i="73" s="1"/>
  <c r="H123" i="73"/>
  <c r="I123" i="73" s="1"/>
  <c r="DV74" i="4"/>
  <c r="DC55" i="4"/>
  <c r="BU55" i="4"/>
  <c r="BU74" i="4" s="1"/>
  <c r="DY39" i="4"/>
  <c r="H129" i="73"/>
  <c r="I129" i="73" s="1"/>
  <c r="DY37" i="4"/>
  <c r="H153" i="73"/>
  <c r="I153" i="73" s="1"/>
  <c r="CV55" i="4"/>
  <c r="CV74" i="4" s="1"/>
  <c r="DY68" i="4"/>
  <c r="C99" i="84"/>
  <c r="D99" i="84"/>
  <c r="H75" i="84"/>
  <c r="DY27" i="4"/>
  <c r="DO74" i="4"/>
  <c r="DQ55" i="4"/>
  <c r="DQ74" i="4" s="1"/>
  <c r="I36" i="84"/>
  <c r="G144" i="83"/>
  <c r="H128" i="73"/>
  <c r="I128" i="73" s="1"/>
  <c r="H127" i="73"/>
  <c r="I127" i="73" s="1"/>
  <c r="H136" i="73"/>
  <c r="I136" i="73" s="1"/>
  <c r="H135" i="73"/>
  <c r="I135" i="73" s="1"/>
  <c r="H181" i="73"/>
  <c r="I181" i="73" s="1"/>
  <c r="U55" i="4"/>
  <c r="U74" i="4" s="1"/>
  <c r="DY45" i="4"/>
  <c r="H148" i="73"/>
  <c r="I148" i="73" s="1"/>
  <c r="DY20" i="4"/>
  <c r="H143" i="73"/>
  <c r="I143" i="73" s="1"/>
  <c r="H126" i="73"/>
  <c r="I126" i="73" s="1"/>
  <c r="DY19" i="4"/>
  <c r="H161" i="73"/>
  <c r="I161" i="73" s="1"/>
  <c r="CZ55" i="4"/>
  <c r="DY60" i="4"/>
  <c r="DY32" i="4"/>
  <c r="G112" i="131" l="1"/>
  <c r="I119" i="131"/>
  <c r="M2" i="85"/>
  <c r="S6" i="85"/>
  <c r="D94" i="84"/>
  <c r="G145" i="83"/>
  <c r="C24" i="92"/>
  <c r="P24" i="92" s="1"/>
  <c r="I124" i="83"/>
  <c r="G147" i="83"/>
  <c r="B75" i="83"/>
  <c r="C71" i="83" s="1"/>
  <c r="DC74" i="4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H55" i="4" l="1"/>
  <c r="DG34" i="4" l="1"/>
  <c r="DH55" i="4"/>
  <c r="DH74" i="4" s="1"/>
  <c r="DG52" i="4" l="1"/>
  <c r="DG55" i="4" s="1"/>
  <c r="H141" i="87"/>
  <c r="I141" i="87" s="1"/>
  <c r="DG74" i="4" l="1"/>
  <c r="AB58" i="4" l="1"/>
  <c r="AC69" i="4"/>
  <c r="BV58" i="4"/>
  <c r="BW69" i="4"/>
  <c r="AB69" i="4" l="1"/>
  <c r="BV69" i="4"/>
  <c r="R45" i="85" l="1"/>
  <c r="R35" i="85"/>
  <c r="Q149" i="94"/>
  <c r="R149" i="94" s="1"/>
  <c r="S47" i="85"/>
  <c r="Q36" i="94"/>
  <c r="R36" i="94" s="1"/>
  <c r="EA36" i="4" l="1"/>
  <c r="EA28" i="4"/>
  <c r="AP55" i="4" l="1"/>
  <c r="AP74" i="4" s="1"/>
  <c r="G5" i="75" l="1"/>
  <c r="G52" i="75" s="1"/>
  <c r="G149" i="75" s="1"/>
  <c r="AE36" i="4" l="1"/>
  <c r="F36" i="4" l="1"/>
  <c r="D136" i="131" s="1"/>
  <c r="DX36" i="4"/>
  <c r="H152" i="73" l="1"/>
  <c r="I152" i="73" s="1"/>
  <c r="E136" i="131"/>
  <c r="F136" i="131" s="1"/>
  <c r="G136" i="131" s="1"/>
  <c r="H136" i="131" s="1"/>
  <c r="I136" i="131" s="1"/>
  <c r="DY36" i="4"/>
  <c r="DX36" i="130"/>
  <c r="F24" i="127"/>
  <c r="F25" i="127" s="1"/>
  <c r="AN34" i="4"/>
  <c r="H74" i="87" s="1"/>
  <c r="I74" i="87" s="1"/>
  <c r="AE28" i="4" l="1"/>
  <c r="F28" i="4" l="1"/>
  <c r="D128" i="131" s="1"/>
  <c r="DX28" i="4"/>
  <c r="AE22" i="4"/>
  <c r="DX28" i="130" l="1"/>
  <c r="E128" i="131"/>
  <c r="F128" i="131" s="1"/>
  <c r="G128" i="131" s="1"/>
  <c r="H128" i="131" s="1"/>
  <c r="I128" i="131" s="1"/>
  <c r="H45" i="105"/>
  <c r="I45" i="105" s="1"/>
  <c r="H144" i="73"/>
  <c r="I144" i="73" s="1"/>
  <c r="DY28" i="4"/>
  <c r="AN23" i="4"/>
  <c r="AN22" i="4" l="1"/>
  <c r="AN58" i="4"/>
  <c r="AO69" i="4"/>
  <c r="AN35" i="4"/>
  <c r="H55" i="72" s="1"/>
  <c r="I55" i="72" s="1"/>
  <c r="H72" i="105" l="1"/>
  <c r="I72" i="105" s="1"/>
  <c r="AN52" i="4"/>
  <c r="AN69" i="4"/>
  <c r="AO55" i="4"/>
  <c r="AO74" i="4" s="1"/>
  <c r="AE34" i="4"/>
  <c r="H51" i="87" l="1"/>
  <c r="I51" i="87" s="1"/>
  <c r="Q69" i="94"/>
  <c r="R69" i="94" s="1"/>
  <c r="S50" i="85"/>
  <c r="AN55" i="4"/>
  <c r="AN74" i="4" s="1"/>
  <c r="BV25" i="4" l="1"/>
  <c r="BV24" i="4"/>
  <c r="BV23" i="4" l="1"/>
  <c r="AZ24" i="4"/>
  <c r="AZ25" i="4"/>
  <c r="H38" i="125" s="1"/>
  <c r="I38" i="125" s="1"/>
  <c r="H29" i="123" l="1"/>
  <c r="I29" i="123" s="1"/>
  <c r="AZ23" i="4"/>
  <c r="DX23" i="4" s="1"/>
  <c r="G72" i="4"/>
  <c r="F23" i="4" l="1"/>
  <c r="D123" i="131" s="1"/>
  <c r="DX23" i="130" l="1"/>
  <c r="E123" i="131"/>
  <c r="F123" i="131" s="1"/>
  <c r="G123" i="131" s="1"/>
  <c r="H123" i="131" s="1"/>
  <c r="I123" i="131" s="1"/>
  <c r="H139" i="73"/>
  <c r="I139" i="73" s="1"/>
  <c r="DY23" i="4"/>
  <c r="CS35" i="4" l="1"/>
  <c r="CU55" i="4"/>
  <c r="CU74" i="4" s="1"/>
  <c r="CS52" i="4" l="1"/>
  <c r="CS55" i="4" s="1"/>
  <c r="CS74" i="4" s="1"/>
  <c r="H125" i="72"/>
  <c r="I125" i="72" s="1"/>
  <c r="BR35" i="4" l="1"/>
  <c r="H94" i="72" s="1"/>
  <c r="I94" i="72" s="1"/>
  <c r="BR34" i="4"/>
  <c r="H113" i="87" s="1"/>
  <c r="I113" i="87" s="1"/>
  <c r="BS55" i="4"/>
  <c r="BT55" i="4"/>
  <c r="BT74" i="4" s="1"/>
  <c r="BR52" i="4" l="1"/>
  <c r="BR55" i="4" s="1"/>
  <c r="DY41" i="4" l="1"/>
  <c r="CF55" i="4"/>
  <c r="H157" i="73"/>
  <c r="I157" i="73" s="1"/>
  <c r="CF74" i="4" l="1"/>
  <c r="AQ59" i="4" l="1"/>
  <c r="O144" i="75" l="1"/>
  <c r="O146" i="75" s="1"/>
  <c r="O148" i="75" s="1"/>
  <c r="L130" i="75" l="1"/>
  <c r="L144" i="75" s="1"/>
  <c r="L146" i="75" s="1"/>
  <c r="L148" i="75" s="1"/>
  <c r="N144" i="75"/>
  <c r="N146" i="75" s="1"/>
  <c r="N148" i="75" s="1"/>
  <c r="BF59" i="4" l="1"/>
  <c r="BG69" i="4"/>
  <c r="BG74" i="4" s="1"/>
  <c r="BF69" i="4" l="1"/>
  <c r="Q122" i="94" l="1"/>
  <c r="R122" i="94" s="1"/>
  <c r="CG35" i="4"/>
  <c r="CH55" i="4"/>
  <c r="CG52" i="4" l="1"/>
  <c r="H121" i="72"/>
  <c r="I121" i="72" s="1"/>
  <c r="CG55" i="4" l="1"/>
  <c r="H169" i="73" l="1"/>
  <c r="I169" i="73" s="1"/>
  <c r="R69" i="4" l="1"/>
  <c r="H154" i="73" l="1"/>
  <c r="I154" i="73" s="1"/>
  <c r="DY38" i="4" l="1"/>
  <c r="N16" i="4" l="1"/>
  <c r="H124" i="73"/>
  <c r="I124" i="73" s="1"/>
  <c r="H13" i="104" l="1"/>
  <c r="I13" i="104" s="1"/>
  <c r="H165" i="73" l="1"/>
  <c r="I165" i="73" s="1"/>
  <c r="K16" i="4"/>
  <c r="DY29" i="4"/>
  <c r="H145" i="73"/>
  <c r="I145" i="73" s="1"/>
  <c r="DY64" i="4" l="1"/>
  <c r="DY49" i="4"/>
  <c r="DU69" i="4" l="1"/>
  <c r="Q235" i="94" l="1"/>
  <c r="R235" i="94" s="1"/>
  <c r="DU74" i="4"/>
  <c r="BL30" i="4" l="1"/>
  <c r="DN55" i="4" l="1"/>
  <c r="DN69" i="4"/>
  <c r="Q262" i="94" l="1"/>
  <c r="R262" i="94" s="1"/>
  <c r="DN74" i="4"/>
  <c r="EA26" i="4" l="1"/>
  <c r="EA18" i="4" l="1"/>
  <c r="H144" i="105" l="1"/>
  <c r="I144" i="105" s="1"/>
  <c r="CZ59" i="4" l="1"/>
  <c r="DA69" i="4"/>
  <c r="DA74" i="4" s="1"/>
  <c r="CZ69" i="4" l="1"/>
  <c r="Q82" i="94" s="1"/>
  <c r="R82" i="94" s="1"/>
  <c r="CZ74" i="4" l="1"/>
  <c r="CW26" i="4" l="1"/>
  <c r="F26" i="4" l="1"/>
  <c r="D126" i="131" s="1"/>
  <c r="DX26" i="4"/>
  <c r="DF69" i="4"/>
  <c r="Q241" i="94" s="1"/>
  <c r="R241" i="94" s="1"/>
  <c r="DX26" i="130" l="1"/>
  <c r="E126" i="131"/>
  <c r="F126" i="131" s="1"/>
  <c r="G126" i="131" s="1"/>
  <c r="H126" i="131" s="1"/>
  <c r="I126" i="131" s="1"/>
  <c r="DY26" i="4"/>
  <c r="CW61" i="4"/>
  <c r="DX61" i="4" s="1"/>
  <c r="CX69" i="4"/>
  <c r="CW18" i="4"/>
  <c r="H142" i="73"/>
  <c r="I142" i="73" s="1"/>
  <c r="F61" i="4" l="1"/>
  <c r="D159" i="131" s="1"/>
  <c r="DX18" i="4"/>
  <c r="H149" i="73"/>
  <c r="I149" i="73" s="1"/>
  <c r="DY33" i="4"/>
  <c r="CW69" i="4"/>
  <c r="F18" i="4"/>
  <c r="H175" i="73" l="1"/>
  <c r="I175" i="73" s="1"/>
  <c r="DX61" i="130"/>
  <c r="DY18" i="4"/>
  <c r="BY55" i="4"/>
  <c r="BY74" i="4" s="1"/>
  <c r="H147" i="73" l="1"/>
  <c r="I147" i="73" s="1"/>
  <c r="DY31" i="4"/>
  <c r="DY43" i="4" l="1"/>
  <c r="H159" i="73"/>
  <c r="I159" i="73" s="1"/>
  <c r="S45" i="85" l="1"/>
  <c r="EA30" i="4" l="1"/>
  <c r="AG52" i="4" l="1"/>
  <c r="AG55" i="4" l="1"/>
  <c r="AG74" i="4" s="1"/>
  <c r="BX52" i="4" l="1"/>
  <c r="BX55" i="4" s="1"/>
  <c r="BX74" i="4" s="1"/>
  <c r="K21" i="117"/>
  <c r="E21" i="117" l="1"/>
  <c r="E22" i="75"/>
  <c r="C22" i="75" s="1"/>
  <c r="C21" i="117" l="1"/>
  <c r="AE21" i="4" l="1"/>
  <c r="H48" i="104" l="1"/>
  <c r="I48" i="104" s="1"/>
  <c r="DF52" i="4" l="1"/>
  <c r="DF55" i="4" l="1"/>
  <c r="DF74" i="4" l="1"/>
  <c r="Q19" i="85" l="1"/>
  <c r="C5" i="114" l="1"/>
  <c r="R13" i="85"/>
  <c r="R17" i="85" s="1"/>
  <c r="H214" i="73"/>
  <c r="F34" i="103" l="1"/>
  <c r="F33" i="103"/>
  <c r="S13" i="85"/>
  <c r="G38" i="103" l="1"/>
  <c r="G33" i="103"/>
  <c r="G34" i="103"/>
  <c r="H38" i="103" l="1"/>
  <c r="I38" i="103" l="1"/>
  <c r="J38" i="103" l="1"/>
  <c r="S17" i="85"/>
  <c r="K38" i="103" l="1"/>
  <c r="L38" i="103" l="1"/>
  <c r="M38" i="103" l="1"/>
  <c r="N38" i="103" l="1"/>
  <c r="O38" i="103" l="1"/>
  <c r="P38" i="103" l="1"/>
  <c r="Q38" i="103" l="1"/>
  <c r="R38" i="103" l="1"/>
  <c r="S38" i="103" l="1"/>
  <c r="T38" i="103" l="1"/>
  <c r="V38" i="103" l="1"/>
  <c r="U38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38" i="103" l="1"/>
  <c r="E38" i="103" l="1"/>
  <c r="DR69" i="4" l="1"/>
  <c r="Q267" i="94" l="1"/>
  <c r="R267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R52" i="4" l="1"/>
  <c r="DR55" i="4" s="1"/>
  <c r="DR74" i="4" s="1"/>
  <c r="DP69" i="4" l="1"/>
  <c r="DP74" i="4" s="1"/>
  <c r="CC59" i="4" l="1"/>
  <c r="S34" i="85" l="1"/>
  <c r="S25" i="4" l="1"/>
  <c r="EA25" i="4"/>
  <c r="S58" i="4" l="1"/>
  <c r="CB69" i="4"/>
  <c r="EA58" i="4"/>
  <c r="EA69" i="4" s="1"/>
  <c r="DY61" i="4" l="1"/>
  <c r="P27" i="85" l="1"/>
  <c r="AE58" i="4"/>
  <c r="AF69" i="4"/>
  <c r="P31" i="85" l="1"/>
  <c r="P52" i="85" s="1"/>
  <c r="P57" i="85" s="1"/>
  <c r="AE69" i="4"/>
  <c r="P59" i="85" l="1"/>
  <c r="R38" i="85"/>
  <c r="S38" i="85" s="1"/>
  <c r="Q57" i="94"/>
  <c r="R57" i="94" s="1"/>
  <c r="V69" i="4" l="1"/>
  <c r="DY62" i="4" l="1"/>
  <c r="Q17" i="94"/>
  <c r="R17" i="94" s="1"/>
  <c r="V16" i="4" l="1"/>
  <c r="V55" i="4" s="1"/>
  <c r="V74" i="4" s="1"/>
  <c r="AK16" i="4" l="1"/>
  <c r="AE16" i="4"/>
  <c r="BF16" i="4"/>
  <c r="BF55" i="4" s="1"/>
  <c r="BF74" i="4" s="1"/>
  <c r="R16" i="4"/>
  <c r="R55" i="4" s="1"/>
  <c r="R74" i="4" s="1"/>
  <c r="T16" i="4"/>
  <c r="T55" i="4" s="1"/>
  <c r="T74" i="4" s="1"/>
  <c r="Z16" i="4"/>
  <c r="Z55" i="4" s="1"/>
  <c r="Z74" i="4" s="1"/>
  <c r="Y16" i="4"/>
  <c r="Y55" i="4" s="1"/>
  <c r="Y74" i="4" s="1"/>
  <c r="W16" i="4"/>
  <c r="W55" i="4" s="1"/>
  <c r="W74" i="4" s="1"/>
  <c r="O15" i="4" l="1"/>
  <c r="DX15" i="4" s="1"/>
  <c r="P16" i="4"/>
  <c r="P55" i="4" s="1"/>
  <c r="P74" i="4" s="1"/>
  <c r="O16" i="4" l="1"/>
  <c r="O55" i="4" s="1"/>
  <c r="O74" i="4" s="1"/>
  <c r="F15" i="4"/>
  <c r="D114" i="131" s="1"/>
  <c r="DX15" i="130" l="1"/>
  <c r="DY15" i="4"/>
  <c r="F16" i="4"/>
  <c r="H130" i="73"/>
  <c r="I130" i="73" s="1"/>
  <c r="E114" i="131" l="1"/>
  <c r="D106" i="131"/>
  <c r="H122" i="73"/>
  <c r="I122" i="73" s="1"/>
  <c r="R20" i="85"/>
  <c r="F114" i="131" l="1"/>
  <c r="E106" i="131"/>
  <c r="S20" i="85"/>
  <c r="G114" i="131" l="1"/>
  <c r="F106" i="131"/>
  <c r="H114" i="131" l="1"/>
  <c r="G106" i="131"/>
  <c r="AQ25" i="4"/>
  <c r="I114" i="131" l="1"/>
  <c r="I106" i="131" s="1"/>
  <c r="H106" i="131"/>
  <c r="H32" i="125"/>
  <c r="I32" i="125" s="1"/>
  <c r="CK52" i="4" l="1"/>
  <c r="CJ35" i="4"/>
  <c r="CQ52" i="4"/>
  <c r="CP35" i="4"/>
  <c r="O36" i="75" s="1"/>
  <c r="O52" i="75" s="1"/>
  <c r="O149" i="75" s="1"/>
  <c r="N36" i="75" l="1"/>
  <c r="N52" i="75" s="1"/>
  <c r="N149" i="75" s="1"/>
  <c r="L40" i="75"/>
  <c r="H146" i="72"/>
  <c r="CJ52" i="4"/>
  <c r="CJ55" i="4" s="1"/>
  <c r="CJ74" i="4" s="1"/>
  <c r="CP52" i="4"/>
  <c r="CP55" i="4" s="1"/>
  <c r="CP74" i="4" s="1"/>
  <c r="H129" i="72"/>
  <c r="I129" i="72" s="1"/>
  <c r="L36" i="75" l="1"/>
  <c r="L52" i="75" s="1"/>
  <c r="L149" i="75" s="1"/>
  <c r="C40" i="75"/>
  <c r="C36" i="75" s="1"/>
  <c r="AQ30" i="4" l="1"/>
  <c r="H23" i="106" l="1"/>
  <c r="I23" i="106" s="1"/>
  <c r="K19" i="117" l="1"/>
  <c r="AS52" i="4"/>
  <c r="AS55" i="4" s="1"/>
  <c r="AS74" i="4" s="1"/>
  <c r="E19" i="117" l="1"/>
  <c r="E19" i="75"/>
  <c r="C19" i="75" l="1"/>
  <c r="C19" i="117"/>
  <c r="AQ35" i="4" l="1"/>
  <c r="AQ34" i="4" l="1"/>
  <c r="AR52" i="4"/>
  <c r="AR55" i="4" s="1"/>
  <c r="H59" i="72"/>
  <c r="I59" i="72" s="1"/>
  <c r="AK69" i="4"/>
  <c r="Q65" i="94" l="1"/>
  <c r="R65" i="94" s="1"/>
  <c r="R39" i="85"/>
  <c r="S39" i="85" s="1"/>
  <c r="H80" i="87"/>
  <c r="I80" i="87" s="1"/>
  <c r="AQ52" i="4"/>
  <c r="AQ55" i="4" s="1"/>
  <c r="AW34" i="4" l="1"/>
  <c r="H89" i="87" s="1"/>
  <c r="I89" i="87" s="1"/>
  <c r="AY52" i="4"/>
  <c r="AY55" i="4" s="1"/>
  <c r="AY74" i="4" s="1"/>
  <c r="AW35" i="4" l="1"/>
  <c r="H67" i="72" s="1"/>
  <c r="I67" i="72" s="1"/>
  <c r="AW30" i="4" l="1"/>
  <c r="H29" i="106" l="1"/>
  <c r="I29" i="106" s="1"/>
  <c r="CC21" i="4" l="1"/>
  <c r="S21" i="4"/>
  <c r="EA21" i="4"/>
  <c r="DX21" i="4" l="1"/>
  <c r="H24" i="104"/>
  <c r="I24" i="104" s="1"/>
  <c r="EA22" i="4" l="1"/>
  <c r="BZ22" i="4"/>
  <c r="H64" i="105" l="1"/>
  <c r="I64" i="105" s="1"/>
  <c r="H142" i="72" l="1"/>
  <c r="I142" i="72" s="1"/>
  <c r="CM25" i="4" l="1"/>
  <c r="H62" i="125" l="1"/>
  <c r="I62" i="125" s="1"/>
  <c r="CC25" i="4" l="1"/>
  <c r="BZ25" i="4"/>
  <c r="DX25" i="4" l="1"/>
  <c r="F25" i="4"/>
  <c r="H52" i="125"/>
  <c r="I52" i="125" s="1"/>
  <c r="H48" i="125"/>
  <c r="I48" i="125" s="1"/>
  <c r="D125" i="131" l="1"/>
  <c r="E125" i="131" s="1"/>
  <c r="F125" i="131" s="1"/>
  <c r="G125" i="131" s="1"/>
  <c r="H125" i="131" s="1"/>
  <c r="I125" i="131" s="1"/>
  <c r="DX25" i="130"/>
  <c r="F67" i="125"/>
  <c r="DY25" i="4"/>
  <c r="H141" i="73"/>
  <c r="I141" i="73" s="1"/>
  <c r="CO52" i="4" l="1"/>
  <c r="I25" i="117"/>
  <c r="BZ34" i="4"/>
  <c r="BB52" i="4"/>
  <c r="BB55" i="4" s="1"/>
  <c r="BB74" i="4" s="1"/>
  <c r="BN52" i="4" l="1"/>
  <c r="BN55" i="4" s="1"/>
  <c r="BN74" i="4" s="1"/>
  <c r="E25" i="117"/>
  <c r="C25" i="117" s="1"/>
  <c r="I15" i="117"/>
  <c r="I5" i="117" s="1"/>
  <c r="I47" i="117" s="1"/>
  <c r="I143" i="117" s="1"/>
  <c r="E30" i="75"/>
  <c r="C30" i="75" s="1"/>
  <c r="I5" i="75"/>
  <c r="I52" i="75" s="1"/>
  <c r="I149" i="75" s="1"/>
  <c r="E26" i="75"/>
  <c r="C26" i="75" s="1"/>
  <c r="F23" i="117"/>
  <c r="H122" i="87"/>
  <c r="I122" i="87" s="1"/>
  <c r="CB52" i="4"/>
  <c r="CB55" i="4" s="1"/>
  <c r="CB74" i="4" s="1"/>
  <c r="K20" i="117"/>
  <c r="F15" i="117" l="1"/>
  <c r="F5" i="117" s="1"/>
  <c r="F47" i="117" s="1"/>
  <c r="F143" i="117" s="1"/>
  <c r="E23" i="117"/>
  <c r="C23" i="117" s="1"/>
  <c r="E20" i="117"/>
  <c r="E20" i="75"/>
  <c r="F5" i="75" l="1"/>
  <c r="F52" i="75" s="1"/>
  <c r="F149" i="75" s="1"/>
  <c r="C20" i="75"/>
  <c r="C20" i="117"/>
  <c r="BZ35" i="4" l="1"/>
  <c r="CA52" i="4"/>
  <c r="CA55" i="4" s="1"/>
  <c r="H102" i="72" l="1"/>
  <c r="I102" i="72" s="1"/>
  <c r="BZ52" i="4"/>
  <c r="BZ55" i="4" l="1"/>
  <c r="R8" i="91"/>
  <c r="S8" i="91"/>
  <c r="T8" i="91"/>
  <c r="P8" i="91"/>
  <c r="H170" i="87" l="1"/>
  <c r="I170" i="87" s="1"/>
  <c r="CM35" i="4" l="1"/>
  <c r="H133" i="72" s="1"/>
  <c r="I133" i="72" s="1"/>
  <c r="BL35" i="4"/>
  <c r="H86" i="72" s="1"/>
  <c r="I86" i="72" s="1"/>
  <c r="AZ35" i="4"/>
  <c r="H70" i="72" l="1"/>
  <c r="I70" i="72" s="1"/>
  <c r="BL34" i="4"/>
  <c r="BM52" i="4"/>
  <c r="BM55" i="4" s="1"/>
  <c r="BM74" i="4" s="1"/>
  <c r="AZ34" i="4"/>
  <c r="H103" i="87" l="1"/>
  <c r="I103" i="87" s="1"/>
  <c r="BL52" i="4"/>
  <c r="BL55" i="4" s="1"/>
  <c r="BL74" i="4" s="1"/>
  <c r="H94" i="87"/>
  <c r="I94" i="87" s="1"/>
  <c r="H46" i="72"/>
  <c r="I46" i="72" s="1"/>
  <c r="AK52" i="4"/>
  <c r="AK55" i="4" s="1"/>
  <c r="AK74" i="4" s="1"/>
  <c r="BZ58" i="4" l="1"/>
  <c r="CA69" i="4"/>
  <c r="CA74" i="4" s="1"/>
  <c r="BZ69" i="4" l="1"/>
  <c r="R51" i="85" l="1"/>
  <c r="S51" i="85" s="1"/>
  <c r="Q154" i="94"/>
  <c r="R154" i="94" s="1"/>
  <c r="S40" i="85"/>
  <c r="BZ74" i="4"/>
  <c r="CM34" i="4" l="1"/>
  <c r="CN52" i="4"/>
  <c r="H152" i="87" l="1"/>
  <c r="I152" i="87" s="1"/>
  <c r="CM52" i="4"/>
  <c r="CM55" i="4" s="1"/>
  <c r="H58" i="106" l="1"/>
  <c r="I58" i="106" s="1"/>
  <c r="DK52" i="4"/>
  <c r="DK55" i="4" s="1"/>
  <c r="DK74" i="4" s="1"/>
  <c r="CC30" i="4" l="1"/>
  <c r="DX30" i="4" s="1"/>
  <c r="H55" i="106" l="1"/>
  <c r="I55" i="106" s="1"/>
  <c r="F30" i="4"/>
  <c r="D130" i="131" l="1"/>
  <c r="E130" i="131" s="1"/>
  <c r="F130" i="131" s="1"/>
  <c r="G130" i="131" s="1"/>
  <c r="H130" i="131" s="1"/>
  <c r="I130" i="131" s="1"/>
  <c r="DX30" i="130"/>
  <c r="F60" i="106"/>
  <c r="DY30" i="4"/>
  <c r="H146" i="73"/>
  <c r="I146" i="73" s="1"/>
  <c r="H51" i="104" l="1"/>
  <c r="I51" i="104" s="1"/>
  <c r="F21" i="4"/>
  <c r="H48" i="105"/>
  <c r="I48" i="105" s="1"/>
  <c r="X52" i="4"/>
  <c r="X55" i="4" s="1"/>
  <c r="D121" i="131" l="1"/>
  <c r="E121" i="131" s="1"/>
  <c r="F121" i="131" s="1"/>
  <c r="DX21" i="130"/>
  <c r="F69" i="104"/>
  <c r="H137" i="73"/>
  <c r="I137" i="73" s="1"/>
  <c r="DY21" i="4"/>
  <c r="G121" i="131" l="1"/>
  <c r="H26" i="117"/>
  <c r="CY52" i="4"/>
  <c r="CY55" i="4" s="1"/>
  <c r="CY74" i="4" s="1"/>
  <c r="EA34" i="4"/>
  <c r="H121" i="131" l="1"/>
  <c r="E31" i="75"/>
  <c r="H5" i="75"/>
  <c r="H52" i="75" s="1"/>
  <c r="H149" i="75" s="1"/>
  <c r="E26" i="117"/>
  <c r="H15" i="117"/>
  <c r="H5" i="117" s="1"/>
  <c r="H47" i="117" s="1"/>
  <c r="H143" i="117" s="1"/>
  <c r="I121" i="131" l="1"/>
  <c r="C26" i="117"/>
  <c r="C31" i="75"/>
  <c r="CX52" i="4" l="1"/>
  <c r="CX55" i="4" s="1"/>
  <c r="CX74" i="4" s="1"/>
  <c r="CW34" i="4"/>
  <c r="H155" i="87" l="1"/>
  <c r="I155" i="87" s="1"/>
  <c r="P7" i="91"/>
  <c r="P18" i="91" s="1"/>
  <c r="P27" i="91" s="1"/>
  <c r="P31" i="91" s="1"/>
  <c r="P34" i="91" s="1"/>
  <c r="P37" i="91" s="1"/>
  <c r="P42" i="91" s="1"/>
  <c r="S7" i="91"/>
  <c r="S18" i="91" s="1"/>
  <c r="S27" i="91" s="1"/>
  <c r="R7" i="91"/>
  <c r="R18" i="91" s="1"/>
  <c r="R27" i="91" s="1"/>
  <c r="T7" i="91"/>
  <c r="T18" i="91" s="1"/>
  <c r="T27" i="91" s="1"/>
  <c r="CW52" i="4"/>
  <c r="CW55" i="4" s="1"/>
  <c r="CW74" i="4" s="1"/>
  <c r="X69" i="4" l="1"/>
  <c r="Q27" i="94" l="1"/>
  <c r="R27" i="94" s="1"/>
  <c r="R37" i="85"/>
  <c r="S37" i="85" s="1"/>
  <c r="X74" i="4"/>
  <c r="AH59" i="4" l="1"/>
  <c r="BO44" i="4" l="1"/>
  <c r="H8" i="107" l="1"/>
  <c r="I8" i="107" s="1"/>
  <c r="AW50" i="4" l="1"/>
  <c r="DX50" i="4" s="1"/>
  <c r="AX52" i="4"/>
  <c r="AX55" i="4" s="1"/>
  <c r="AX74" i="4" s="1"/>
  <c r="F50" i="4" l="1"/>
  <c r="D150" i="131" s="1"/>
  <c r="AW52" i="4"/>
  <c r="AW55" i="4" s="1"/>
  <c r="AW74" i="4" s="1"/>
  <c r="DX50" i="130" l="1"/>
  <c r="E150" i="131"/>
  <c r="F150" i="131" s="1"/>
  <c r="G150" i="131" s="1"/>
  <c r="H150" i="131" s="1"/>
  <c r="I150" i="131" s="1"/>
  <c r="H166" i="73"/>
  <c r="I166" i="73" s="1"/>
  <c r="DY50" i="4"/>
  <c r="F46" i="4" l="1"/>
  <c r="K52" i="4"/>
  <c r="K55" i="4" s="1"/>
  <c r="D146" i="131" l="1"/>
  <c r="E146" i="131" s="1"/>
  <c r="F146" i="131" s="1"/>
  <c r="G146" i="131" s="1"/>
  <c r="H146" i="131" s="1"/>
  <c r="I146" i="131" s="1"/>
  <c r="DX46" i="130"/>
  <c r="DY46" i="4"/>
  <c r="H162" i="73"/>
  <c r="I162" i="73" s="1"/>
  <c r="F12" i="105" l="1"/>
  <c r="G12" i="105" s="1"/>
  <c r="F14" i="105" l="1"/>
  <c r="F156" i="105" s="1"/>
  <c r="G14" i="105" l="1"/>
  <c r="G156" i="105"/>
  <c r="L22" i="130"/>
  <c r="N22" i="4"/>
  <c r="H14" i="105" l="1"/>
  <c r="I14" i="105" s="1"/>
  <c r="N52" i="4"/>
  <c r="N55" i="4" s="1"/>
  <c r="N74" i="4" s="1"/>
  <c r="L52" i="130"/>
  <c r="L55" i="130" s="1"/>
  <c r="L74" i="130" s="1"/>
  <c r="K42" i="130" l="1"/>
  <c r="M42" i="4"/>
  <c r="DX42" i="4" l="1"/>
  <c r="F42" i="4"/>
  <c r="DV42" i="130"/>
  <c r="E42" i="130"/>
  <c r="D142" i="131" l="1"/>
  <c r="E142" i="131" s="1"/>
  <c r="F142" i="131" s="1"/>
  <c r="G142" i="131" s="1"/>
  <c r="H142" i="131" s="1"/>
  <c r="I142" i="131" s="1"/>
  <c r="DW42" i="130"/>
  <c r="DX42" i="130"/>
  <c r="H158" i="73"/>
  <c r="I158" i="73" s="1"/>
  <c r="DY42" i="4"/>
  <c r="J94" i="94" l="1"/>
  <c r="K94" i="94" s="1"/>
  <c r="AR59" i="130"/>
  <c r="AT59" i="4"/>
  <c r="AT58" i="4" l="1"/>
  <c r="AU69" i="4"/>
  <c r="AU74" i="4" s="1"/>
  <c r="AS69" i="130"/>
  <c r="AS74" i="130" s="1"/>
  <c r="AR58" i="130"/>
  <c r="AR69" i="130" l="1"/>
  <c r="AR74" i="130" s="1"/>
  <c r="AT69" i="4"/>
  <c r="R43" i="85" l="1"/>
  <c r="S43" i="85" s="1"/>
  <c r="Q94" i="94"/>
  <c r="R94" i="94" s="1"/>
  <c r="AT74" i="4"/>
  <c r="CE35" i="4" l="1"/>
  <c r="K27" i="75" l="1"/>
  <c r="K15" i="75" s="1"/>
  <c r="K5" i="75" s="1"/>
  <c r="K52" i="75" s="1"/>
  <c r="K149" i="75" s="1"/>
  <c r="S35" i="4"/>
  <c r="E27" i="75"/>
  <c r="K24" i="117"/>
  <c r="CE52" i="4"/>
  <c r="CE55" i="4" s="1"/>
  <c r="CE74" i="4" s="1"/>
  <c r="EA35" i="4"/>
  <c r="EA52" i="4" s="1"/>
  <c r="EA55" i="4" s="1"/>
  <c r="EA74" i="4" s="1"/>
  <c r="C27" i="75" l="1"/>
  <c r="C15" i="75" s="1"/>
  <c r="C5" i="75" s="1"/>
  <c r="C52" i="75" s="1"/>
  <c r="C149" i="75" s="1"/>
  <c r="E15" i="75"/>
  <c r="E5" i="75" s="1"/>
  <c r="E52" i="75" s="1"/>
  <c r="S52" i="4"/>
  <c r="S55" i="4" s="1"/>
  <c r="E24" i="117"/>
  <c r="K15" i="117"/>
  <c r="K5" i="117" s="1"/>
  <c r="K47" i="117" s="1"/>
  <c r="K143" i="117" s="1"/>
  <c r="Q52" i="75" l="1"/>
  <c r="E149" i="75"/>
  <c r="C24" i="117"/>
  <c r="C15" i="117" s="1"/>
  <c r="C5" i="117" s="1"/>
  <c r="E15" i="117"/>
  <c r="E5" i="117" s="1"/>
  <c r="E47" i="117" s="1"/>
  <c r="Q47" i="117" l="1"/>
  <c r="E143" i="117"/>
  <c r="C47" i="117"/>
  <c r="C143" i="117" s="1"/>
  <c r="F7" i="107" l="1"/>
  <c r="G7" i="107" s="1"/>
  <c r="BH44" i="130" l="1"/>
  <c r="BJ44" i="4"/>
  <c r="BJ52" i="4" l="1"/>
  <c r="BJ55" i="4" s="1"/>
  <c r="BJ74" i="4" s="1"/>
  <c r="BI44" i="4"/>
  <c r="BG44" i="130"/>
  <c r="BH52" i="130"/>
  <c r="BH55" i="130" s="1"/>
  <c r="BH74" i="130" s="1"/>
  <c r="BG52" i="130" l="1"/>
  <c r="BG55" i="130" s="1"/>
  <c r="BG74" i="130" s="1"/>
  <c r="BI52" i="4"/>
  <c r="BI55" i="4" s="1"/>
  <c r="BI74" i="4" s="1"/>
  <c r="H7" i="107"/>
  <c r="I7" i="107" s="1"/>
  <c r="J10" i="94" l="1"/>
  <c r="K10" i="94" s="1"/>
  <c r="J12" i="94"/>
  <c r="K12" i="94" s="1"/>
  <c r="J11" i="94" l="1"/>
  <c r="K11" i="94" s="1"/>
  <c r="J13" i="94" l="1"/>
  <c r="K13" i="94" s="1"/>
  <c r="S66" i="4" l="1"/>
  <c r="Q13" i="94" l="1"/>
  <c r="R13" i="94" s="1"/>
  <c r="DX66" i="4"/>
  <c r="F66" i="4"/>
  <c r="D164" i="131" s="1"/>
  <c r="S69" i="4"/>
  <c r="S74" i="4" s="1"/>
  <c r="S75" i="4"/>
  <c r="S76" i="4" l="1"/>
  <c r="F48" i="117"/>
  <c r="DY66" i="4"/>
  <c r="H180" i="73"/>
  <c r="I180" i="73" s="1"/>
  <c r="R29" i="85"/>
  <c r="DX66" i="130"/>
  <c r="S29" i="85" l="1"/>
  <c r="R31" i="85"/>
  <c r="E154" i="131" l="1"/>
  <c r="E185" i="131" s="1"/>
  <c r="F154" i="131" l="1"/>
  <c r="F185" i="131" s="1"/>
  <c r="G154" i="131" l="1"/>
  <c r="G185" i="131" s="1"/>
  <c r="I154" i="131" l="1"/>
  <c r="I185" i="131" s="1"/>
  <c r="H154" i="131"/>
  <c r="H185" i="131" s="1"/>
  <c r="F15" i="123" l="1"/>
  <c r="G15" i="123" s="1"/>
  <c r="F17" i="123" l="1"/>
  <c r="G17" i="123" s="1"/>
  <c r="F36" i="123" l="1"/>
  <c r="G36" i="123" s="1"/>
  <c r="AD24" i="130" l="1"/>
  <c r="AF24" i="4"/>
  <c r="AE24" i="4" l="1"/>
  <c r="AC24" i="130"/>
  <c r="E24" i="130" l="1"/>
  <c r="DV24" i="130"/>
  <c r="H17" i="123"/>
  <c r="I17" i="123" s="1"/>
  <c r="F24" i="4"/>
  <c r="DX24" i="4"/>
  <c r="DY24" i="4" l="1"/>
  <c r="DW24" i="130"/>
  <c r="D124" i="131"/>
  <c r="E124" i="131" s="1"/>
  <c r="H140" i="73"/>
  <c r="I140" i="73" s="1"/>
  <c r="F37" i="123"/>
  <c r="DX24" i="130"/>
  <c r="R22" i="85" l="1"/>
  <c r="S22" i="85" s="1"/>
  <c r="F124" i="131"/>
  <c r="G124" i="131" l="1"/>
  <c r="H124" i="131" l="1"/>
  <c r="I124" i="131" l="1"/>
  <c r="K48" i="130" l="1"/>
  <c r="M48" i="4"/>
  <c r="DX48" i="4" l="1"/>
  <c r="F48" i="4"/>
  <c r="M52" i="4"/>
  <c r="M55" i="4" s="1"/>
  <c r="M74" i="4" s="1"/>
  <c r="E48" i="130"/>
  <c r="DV48" i="130"/>
  <c r="K52" i="130"/>
  <c r="K55" i="130" s="1"/>
  <c r="K74" i="130" s="1"/>
  <c r="DX48" i="130" l="1"/>
  <c r="DW48" i="130"/>
  <c r="D148" i="131"/>
  <c r="E148" i="131" s="1"/>
  <c r="F148" i="131" s="1"/>
  <c r="G148" i="131" s="1"/>
  <c r="H148" i="131" s="1"/>
  <c r="I148" i="131" s="1"/>
  <c r="H164" i="73"/>
  <c r="I164" i="73" s="1"/>
  <c r="DY48" i="4"/>
  <c r="I51" i="4" l="1"/>
  <c r="H51" i="130"/>
  <c r="E51" i="130" l="1"/>
  <c r="H52" i="130"/>
  <c r="H55" i="130" s="1"/>
  <c r="H74" i="130" s="1"/>
  <c r="DV51" i="130"/>
  <c r="DX51" i="4"/>
  <c r="F51" i="4"/>
  <c r="I52" i="4"/>
  <c r="I55" i="4" s="1"/>
  <c r="I74" i="4" s="1"/>
  <c r="D151" i="131" l="1"/>
  <c r="H167" i="73"/>
  <c r="I167" i="73" s="1"/>
  <c r="DX51" i="130"/>
  <c r="R25" i="85" l="1"/>
  <c r="E151" i="131"/>
  <c r="F151" i="131" l="1"/>
  <c r="S25" i="85"/>
  <c r="G151" i="131" l="1"/>
  <c r="H151" i="131" l="1"/>
  <c r="I151" i="131" l="1"/>
  <c r="G71" i="130" l="1"/>
  <c r="H71" i="4"/>
  <c r="G72" i="130" l="1"/>
  <c r="E71" i="130"/>
  <c r="E72" i="130" s="1"/>
  <c r="DV71" i="130"/>
  <c r="F71" i="4"/>
  <c r="H72" i="4"/>
  <c r="DX71" i="4"/>
  <c r="DY71" i="4" l="1"/>
  <c r="DW71" i="130"/>
  <c r="DV72" i="130"/>
  <c r="DW72" i="130" s="1"/>
  <c r="G74" i="130"/>
  <c r="DX72" i="4"/>
  <c r="H74" i="4"/>
  <c r="H186" i="73"/>
  <c r="I186" i="73" s="1"/>
  <c r="F72" i="4"/>
  <c r="D170" i="131"/>
  <c r="DY72" i="4" l="1"/>
  <c r="D201" i="131"/>
  <c r="D181" i="131"/>
  <c r="H198" i="73"/>
  <c r="H219" i="73"/>
  <c r="R53" i="85"/>
  <c r="S53" i="85" s="1"/>
  <c r="F53" i="130" l="1"/>
  <c r="G53" i="4"/>
  <c r="DX53" i="4" l="1"/>
  <c r="F53" i="4"/>
  <c r="R28" i="85"/>
  <c r="S28" i="85" s="1"/>
  <c r="G55" i="4"/>
  <c r="G74" i="4" s="1"/>
  <c r="F55" i="130"/>
  <c r="F74" i="130" s="1"/>
  <c r="DV53" i="130"/>
  <c r="E53" i="130"/>
  <c r="DY53" i="4" l="1"/>
  <c r="DW53" i="130"/>
  <c r="DX53" i="130"/>
  <c r="D152" i="131"/>
  <c r="H168" i="73"/>
  <c r="I168" i="73" s="1"/>
  <c r="H218" i="73" l="1"/>
  <c r="H217" i="73" s="1"/>
  <c r="D200" i="131"/>
  <c r="D199" i="131" s="1"/>
  <c r="D192" i="131" l="1"/>
  <c r="D209" i="131"/>
  <c r="D208" i="131"/>
  <c r="H227" i="73"/>
  <c r="D207" i="131" l="1"/>
  <c r="H215" i="73" l="1"/>
  <c r="H212" i="73" s="1"/>
  <c r="H210" i="73" s="1"/>
  <c r="H201" i="73"/>
  <c r="E32" i="103"/>
  <c r="E33" i="103" s="1"/>
  <c r="C7" i="114"/>
  <c r="C9" i="114" s="1"/>
  <c r="H116" i="73"/>
  <c r="H117" i="73" l="1"/>
  <c r="I117" i="73" s="1"/>
  <c r="I116" i="73"/>
  <c r="H226" i="73"/>
  <c r="H225" i="73" s="1"/>
  <c r="E34" i="103"/>
  <c r="H32" i="103"/>
  <c r="H33" i="103" l="1"/>
  <c r="I32" i="103"/>
  <c r="H34" i="103"/>
  <c r="I33" i="103" l="1"/>
  <c r="I34" i="103"/>
  <c r="J32" i="103"/>
  <c r="J34" i="103" l="1"/>
  <c r="J33" i="103"/>
  <c r="K32" i="103"/>
  <c r="K34" i="103" l="1"/>
  <c r="K33" i="103"/>
  <c r="L32" i="103"/>
  <c r="M32" i="103" l="1"/>
  <c r="L34" i="103"/>
  <c r="L33" i="103"/>
  <c r="N32" i="103" l="1"/>
  <c r="M33" i="103"/>
  <c r="M34" i="103"/>
  <c r="N33" i="103" l="1"/>
  <c r="N34" i="103"/>
  <c r="O32" i="103"/>
  <c r="P32" i="103" l="1"/>
  <c r="O33" i="103"/>
  <c r="O34" i="103"/>
  <c r="P33" i="103" l="1"/>
  <c r="Q32" i="103"/>
  <c r="P34" i="103"/>
  <c r="Q33" i="103" l="1"/>
  <c r="Q34" i="103"/>
  <c r="R32" i="103"/>
  <c r="R33" i="103" l="1"/>
  <c r="R34" i="103"/>
  <c r="S32" i="103"/>
  <c r="S33" i="103" l="1"/>
  <c r="S34" i="103"/>
  <c r="T32" i="103"/>
  <c r="U32" i="103" l="1"/>
  <c r="T33" i="103"/>
  <c r="T34" i="103"/>
  <c r="V32" i="103" l="1"/>
  <c r="U33" i="103"/>
  <c r="U34" i="103"/>
  <c r="V33" i="103" l="1"/>
  <c r="W32" i="103"/>
  <c r="V34" i="103"/>
  <c r="W33" i="103" l="1"/>
  <c r="X32" i="103"/>
  <c r="Y32" i="103" l="1"/>
  <c r="X33" i="103"/>
  <c r="Z32" i="103" l="1"/>
  <c r="Z33" i="103" s="1"/>
  <c r="Y33" i="103"/>
  <c r="F38" i="72" l="1"/>
  <c r="G38" i="72" l="1"/>
  <c r="F41" i="72"/>
  <c r="G41" i="72" s="1"/>
  <c r="F77" i="72" l="1"/>
  <c r="F88" i="72"/>
  <c r="G88" i="72" l="1"/>
  <c r="F91" i="72"/>
  <c r="G91" i="72" s="1"/>
  <c r="G77" i="72"/>
  <c r="F82" i="72"/>
  <c r="G82" i="72" s="1"/>
  <c r="F113" i="72"/>
  <c r="G113" i="72" l="1"/>
  <c r="F117" i="72"/>
  <c r="G117" i="72" s="1"/>
  <c r="F23" i="72"/>
  <c r="G23" i="72" l="1"/>
  <c r="F25" i="72"/>
  <c r="G25" i="72" l="1"/>
  <c r="F29" i="72" l="1"/>
  <c r="G29" i="72" l="1"/>
  <c r="F30" i="72"/>
  <c r="G30" i="72" l="1"/>
  <c r="F147" i="72"/>
  <c r="G147" i="72" s="1"/>
  <c r="F127" i="87" l="1"/>
  <c r="G127" i="87" l="1"/>
  <c r="F128" i="87"/>
  <c r="G128" i="87" l="1"/>
  <c r="F193" i="87"/>
  <c r="G193" i="87" s="1"/>
  <c r="CD34" i="4"/>
  <c r="CC34" i="4" s="1"/>
  <c r="CB34" i="130"/>
  <c r="CA34" i="130" s="1"/>
  <c r="H128" i="87" l="1"/>
  <c r="I128" i="87" s="1"/>
  <c r="F34" i="4"/>
  <c r="DX34" i="4"/>
  <c r="DV34" i="130"/>
  <c r="E34" i="130"/>
  <c r="DX34" i="130" l="1"/>
  <c r="DY34" i="4"/>
  <c r="DW34" i="130"/>
  <c r="D134" i="131"/>
  <c r="E134" i="131" s="1"/>
  <c r="F134" i="131" s="1"/>
  <c r="G134" i="131" s="1"/>
  <c r="H134" i="131" s="1"/>
  <c r="I134" i="131" s="1"/>
  <c r="H150" i="73"/>
  <c r="I150" i="73" s="1"/>
  <c r="F194" i="87"/>
  <c r="AA35" i="130" l="1"/>
  <c r="Z35" i="130" l="1"/>
  <c r="AA52" i="130"/>
  <c r="AA55" i="130" s="1"/>
  <c r="AA74" i="130" s="1"/>
  <c r="Z52" i="130" l="1"/>
  <c r="Z55" i="130" s="1"/>
  <c r="Z74" i="130" s="1"/>
  <c r="BU35" i="130" l="1"/>
  <c r="BW35" i="4"/>
  <c r="BW52" i="4" l="1"/>
  <c r="BW55" i="4" s="1"/>
  <c r="BW74" i="4" s="1"/>
  <c r="BV35" i="4"/>
  <c r="BT35" i="130"/>
  <c r="BT52" i="130" s="1"/>
  <c r="BT55" i="130" s="1"/>
  <c r="BU52" i="130"/>
  <c r="BU55" i="130" s="1"/>
  <c r="H91" i="72" l="1"/>
  <c r="I91" i="72" s="1"/>
  <c r="BV52" i="4"/>
  <c r="BV55" i="4" s="1"/>
  <c r="BV74" i="4" s="1"/>
  <c r="AF35" i="4" l="1"/>
  <c r="AD35" i="130"/>
  <c r="AC35" i="130" l="1"/>
  <c r="AC52" i="130" s="1"/>
  <c r="AC55" i="130" s="1"/>
  <c r="AC74" i="130" s="1"/>
  <c r="AD52" i="130"/>
  <c r="AD55" i="130" s="1"/>
  <c r="AD74" i="130" s="1"/>
  <c r="AE35" i="4"/>
  <c r="AF52" i="4"/>
  <c r="AF55" i="4" s="1"/>
  <c r="AF74" i="4" s="1"/>
  <c r="AC35" i="4"/>
  <c r="AI35" i="4"/>
  <c r="CB35" i="130" l="1"/>
  <c r="CA35" i="130" s="1"/>
  <c r="CD35" i="4"/>
  <c r="CC35" i="4" s="1"/>
  <c r="H117" i="72" s="1"/>
  <c r="I117" i="72" s="1"/>
  <c r="BN35" i="130"/>
  <c r="BP35" i="4"/>
  <c r="H30" i="72"/>
  <c r="I30" i="72" s="1"/>
  <c r="AE52" i="4"/>
  <c r="AE55" i="4" s="1"/>
  <c r="AE74" i="4" s="1"/>
  <c r="AI52" i="4"/>
  <c r="AI55" i="4" s="1"/>
  <c r="AH35" i="4"/>
  <c r="AC52" i="4"/>
  <c r="AC55" i="4" s="1"/>
  <c r="AC74" i="4" s="1"/>
  <c r="AB35" i="4"/>
  <c r="AG35" i="130"/>
  <c r="BO35" i="4" l="1"/>
  <c r="BP52" i="4"/>
  <c r="BP55" i="4" s="1"/>
  <c r="BP74" i="4" s="1"/>
  <c r="BN52" i="130"/>
  <c r="BN55" i="130" s="1"/>
  <c r="BN74" i="130" s="1"/>
  <c r="BM35" i="130"/>
  <c r="BM52" i="130" s="1"/>
  <c r="BM55" i="130" s="1"/>
  <c r="BM74" i="130" s="1"/>
  <c r="AF35" i="130"/>
  <c r="AG52" i="130"/>
  <c r="AG55" i="130" s="1"/>
  <c r="AH52" i="4"/>
  <c r="AH55" i="4" s="1"/>
  <c r="H41" i="72"/>
  <c r="I41" i="72" s="1"/>
  <c r="H25" i="72"/>
  <c r="I25" i="72" s="1"/>
  <c r="AB52" i="4"/>
  <c r="AB55" i="4" s="1"/>
  <c r="AB74" i="4" s="1"/>
  <c r="DX35" i="4"/>
  <c r="F35" i="4"/>
  <c r="H82" i="72" l="1"/>
  <c r="I82" i="72" s="1"/>
  <c r="BO52" i="4"/>
  <c r="BO55" i="4" s="1"/>
  <c r="BO74" i="4" s="1"/>
  <c r="DY35" i="4"/>
  <c r="AF52" i="130"/>
  <c r="AF55" i="130" s="1"/>
  <c r="E35" i="130"/>
  <c r="DX35" i="130" s="1"/>
  <c r="DV35" i="130"/>
  <c r="D135" i="131"/>
  <c r="E135" i="131" s="1"/>
  <c r="F135" i="131" s="1"/>
  <c r="G135" i="131" s="1"/>
  <c r="H135" i="131" s="1"/>
  <c r="I135" i="131" s="1"/>
  <c r="F148" i="72"/>
  <c r="F149" i="72" s="1"/>
  <c r="H151" i="73"/>
  <c r="DW35" i="130" l="1"/>
  <c r="I151" i="73"/>
  <c r="R23" i="85"/>
  <c r="S23" i="85" s="1"/>
  <c r="J222" i="94" l="1"/>
  <c r="K222" i="94" s="1"/>
  <c r="AP58" i="130" l="1"/>
  <c r="AR58" i="4"/>
  <c r="J86" i="94"/>
  <c r="K86" i="94" l="1"/>
  <c r="J89" i="94"/>
  <c r="K89" i="94" s="1"/>
  <c r="AQ58" i="4"/>
  <c r="AQ69" i="4" s="1"/>
  <c r="AR69" i="4"/>
  <c r="AR74" i="4" s="1"/>
  <c r="AP69" i="130"/>
  <c r="AP74" i="130" s="1"/>
  <c r="AO58" i="130"/>
  <c r="AO69" i="130" s="1"/>
  <c r="AO74" i="130" s="1"/>
  <c r="J141" i="94"/>
  <c r="K141" i="94" l="1"/>
  <c r="J143" i="94"/>
  <c r="K143" i="94" s="1"/>
  <c r="R42" i="85"/>
  <c r="S42" i="85" s="1"/>
  <c r="Q89" i="94"/>
  <c r="R89" i="94" s="1"/>
  <c r="AQ74" i="4"/>
  <c r="J219" i="94" l="1"/>
  <c r="K219" i="94" l="1"/>
  <c r="J45" i="94" l="1"/>
  <c r="K45" i="94" l="1"/>
  <c r="J53" i="94"/>
  <c r="K53" i="94" l="1"/>
  <c r="J105" i="94" l="1"/>
  <c r="K105" i="94" l="1"/>
  <c r="J114" i="94"/>
  <c r="K114" i="94" s="1"/>
  <c r="J184" i="94" l="1"/>
  <c r="K184" i="94" l="1"/>
  <c r="J205" i="94"/>
  <c r="K205" i="94" l="1"/>
  <c r="J217" i="94" l="1"/>
  <c r="J225" i="94" s="1"/>
  <c r="K217" i="94" l="1"/>
  <c r="K225" i="94"/>
  <c r="BQ58" i="130" l="1"/>
  <c r="BS58" i="4"/>
  <c r="BU59" i="130"/>
  <c r="AY59" i="130"/>
  <c r="BA59" i="4"/>
  <c r="BR58" i="4" l="1"/>
  <c r="BR69" i="4" s="1"/>
  <c r="BS69" i="4"/>
  <c r="BS74" i="4" s="1"/>
  <c r="BQ69" i="130"/>
  <c r="BQ74" i="130" s="1"/>
  <c r="BP58" i="130"/>
  <c r="BP69" i="130" s="1"/>
  <c r="BP74" i="130" s="1"/>
  <c r="AX59" i="130"/>
  <c r="AY69" i="130"/>
  <c r="AZ59" i="4"/>
  <c r="BA69" i="4"/>
  <c r="BT59" i="130"/>
  <c r="BT69" i="130" s="1"/>
  <c r="BT74" i="130" s="1"/>
  <c r="BU69" i="130"/>
  <c r="BU74" i="130" s="1"/>
  <c r="Q143" i="94" l="1"/>
  <c r="R143" i="94" s="1"/>
  <c r="BR74" i="4"/>
  <c r="AZ69" i="4"/>
  <c r="AX69" i="130"/>
  <c r="R44" i="85" l="1"/>
  <c r="S44" i="85" s="1"/>
  <c r="Q114" i="94"/>
  <c r="R114" i="94" s="1"/>
  <c r="CL59" i="130" l="1"/>
  <c r="CK59" i="130" s="1"/>
  <c r="CM59" i="4"/>
  <c r="CF58" i="130"/>
  <c r="CH58" i="4"/>
  <c r="J226" i="94"/>
  <c r="CM69" i="4" l="1"/>
  <c r="F59" i="4"/>
  <c r="DX59" i="4"/>
  <c r="CK69" i="130"/>
  <c r="CK74" i="130" s="1"/>
  <c r="E59" i="130"/>
  <c r="DV59" i="130"/>
  <c r="DW59" i="130" s="1"/>
  <c r="CG58" i="4"/>
  <c r="CG69" i="4" s="1"/>
  <c r="CH69" i="4"/>
  <c r="CH74" i="4" s="1"/>
  <c r="K226" i="94"/>
  <c r="J229" i="94"/>
  <c r="CE58" i="130"/>
  <c r="CE69" i="130" s="1"/>
  <c r="CE74" i="130" s="1"/>
  <c r="CF69" i="130"/>
  <c r="CF74" i="130" s="1"/>
  <c r="CB58" i="130"/>
  <c r="CD58" i="4"/>
  <c r="DX59" i="130" l="1"/>
  <c r="DY59" i="4"/>
  <c r="D157" i="131"/>
  <c r="H173" i="73"/>
  <c r="I173" i="73" s="1"/>
  <c r="R48" i="85"/>
  <c r="S48" i="85" s="1"/>
  <c r="Q225" i="94"/>
  <c r="R225" i="94" s="1"/>
  <c r="CM74" i="4"/>
  <c r="K229" i="94"/>
  <c r="J273" i="94"/>
  <c r="K273" i="94" s="1"/>
  <c r="R49" i="85"/>
  <c r="S49" i="85" s="1"/>
  <c r="Q229" i="94"/>
  <c r="R229" i="94" s="1"/>
  <c r="CG74" i="4"/>
  <c r="CC58" i="4"/>
  <c r="CC69" i="4" s="1"/>
  <c r="CD69" i="4"/>
  <c r="CB69" i="130"/>
  <c r="CA58" i="130"/>
  <c r="CA69" i="130" s="1"/>
  <c r="AG58" i="130"/>
  <c r="AI58" i="4"/>
  <c r="CD22" i="4"/>
  <c r="R46" i="85" l="1"/>
  <c r="S46" i="85" s="1"/>
  <c r="Q205" i="94"/>
  <c r="R205" i="94" s="1"/>
  <c r="CC22" i="4"/>
  <c r="CD52" i="4"/>
  <c r="CD55" i="4" s="1"/>
  <c r="CD74" i="4" s="1"/>
  <c r="AH58" i="4"/>
  <c r="AI69" i="4"/>
  <c r="AI74" i="4" s="1"/>
  <c r="AF58" i="130"/>
  <c r="AG69" i="130"/>
  <c r="AG74" i="130" s="1"/>
  <c r="CB22" i="130"/>
  <c r="CA22" i="130" l="1"/>
  <c r="CB52" i="130"/>
  <c r="CB55" i="130" s="1"/>
  <c r="CB74" i="130" s="1"/>
  <c r="H106" i="105"/>
  <c r="I106" i="105" s="1"/>
  <c r="DX22" i="4"/>
  <c r="F22" i="4"/>
  <c r="CC52" i="4"/>
  <c r="CC55" i="4" s="1"/>
  <c r="CC74" i="4" s="1"/>
  <c r="AF69" i="130"/>
  <c r="AF74" i="130" s="1"/>
  <c r="E58" i="130"/>
  <c r="DV58" i="130"/>
  <c r="AH69" i="4"/>
  <c r="DX58" i="4"/>
  <c r="F58" i="4"/>
  <c r="DY58" i="4" l="1"/>
  <c r="D122" i="131"/>
  <c r="F157" i="105"/>
  <c r="H138" i="73"/>
  <c r="DY22" i="4"/>
  <c r="CA52" i="130"/>
  <c r="CA55" i="130" s="1"/>
  <c r="CA74" i="130" s="1"/>
  <c r="DV22" i="130"/>
  <c r="E22" i="130"/>
  <c r="Q53" i="94"/>
  <c r="R53" i="94" s="1"/>
  <c r="R36" i="85"/>
  <c r="S36" i="85" s="1"/>
  <c r="AH74" i="4"/>
  <c r="DX58" i="130"/>
  <c r="D156" i="131"/>
  <c r="D154" i="131" s="1"/>
  <c r="D185" i="131" s="1"/>
  <c r="Q33" i="85"/>
  <c r="J274" i="94"/>
  <c r="J275" i="94" s="1"/>
  <c r="H172" i="73"/>
  <c r="DW58" i="130"/>
  <c r="DW22" i="130" l="1"/>
  <c r="I138" i="73"/>
  <c r="R21" i="85"/>
  <c r="DX22" i="130"/>
  <c r="E122" i="131"/>
  <c r="I172" i="73"/>
  <c r="H170" i="73"/>
  <c r="S21" i="85" l="1"/>
  <c r="F122" i="131"/>
  <c r="I170" i="73"/>
  <c r="H202" i="73"/>
  <c r="C37" i="114"/>
  <c r="G122" i="131" l="1"/>
  <c r="H204" i="73"/>
  <c r="H122" i="131" l="1"/>
  <c r="I122" i="131" l="1"/>
  <c r="F5" i="107" l="1"/>
  <c r="G5" i="107" l="1"/>
  <c r="F12" i="107"/>
  <c r="G12" i="107" s="1"/>
  <c r="AY44" i="130" l="1"/>
  <c r="BA44" i="4"/>
  <c r="AX44" i="130" l="1"/>
  <c r="AY52" i="130"/>
  <c r="AY55" i="130" s="1"/>
  <c r="AY74" i="130" s="1"/>
  <c r="AZ44" i="4"/>
  <c r="BA52" i="4"/>
  <c r="BA55" i="4" s="1"/>
  <c r="BA74" i="4" s="1"/>
  <c r="H5" i="107" l="1"/>
  <c r="I5" i="107" s="1"/>
  <c r="AZ52" i="4"/>
  <c r="AZ55" i="4" s="1"/>
  <c r="AZ74" i="4" s="1"/>
  <c r="DX44" i="4"/>
  <c r="F44" i="4"/>
  <c r="AX52" i="130"/>
  <c r="AX55" i="130" s="1"/>
  <c r="AX74" i="130" s="1"/>
  <c r="E44" i="130"/>
  <c r="DV44" i="130"/>
  <c r="DW44" i="130" s="1"/>
  <c r="D144" i="131" l="1"/>
  <c r="F13" i="107"/>
  <c r="H160" i="73"/>
  <c r="F52" i="4"/>
  <c r="F55" i="4" s="1"/>
  <c r="K75" i="4" s="1"/>
  <c r="K67" i="4" s="1"/>
  <c r="DX44" i="130"/>
  <c r="E52" i="130"/>
  <c r="E55" i="130" s="1"/>
  <c r="J75" i="130" s="1"/>
  <c r="J67" i="130" s="1"/>
  <c r="DY44" i="4"/>
  <c r="DV67" i="130" l="1"/>
  <c r="J69" i="130"/>
  <c r="J74" i="130" s="1"/>
  <c r="E67" i="130"/>
  <c r="DX67" i="4"/>
  <c r="F67" i="4"/>
  <c r="K69" i="4"/>
  <c r="K74" i="4" s="1"/>
  <c r="I160" i="73"/>
  <c r="R24" i="85"/>
  <c r="H132" i="73"/>
  <c r="E144" i="131"/>
  <c r="D116" i="131"/>
  <c r="DY67" i="4" l="1"/>
  <c r="DW67" i="130"/>
  <c r="DX67" i="130"/>
  <c r="E69" i="130"/>
  <c r="E74" i="130" s="1"/>
  <c r="E75" i="130" s="1"/>
  <c r="D168" i="131"/>
  <c r="D167" i="131" s="1"/>
  <c r="H184" i="73"/>
  <c r="F69" i="4"/>
  <c r="F74" i="4" s="1"/>
  <c r="F75" i="4" s="1"/>
  <c r="D105" i="131"/>
  <c r="D204" i="131" s="1"/>
  <c r="D205" i="131" s="1"/>
  <c r="D178" i="131"/>
  <c r="D179" i="131" s="1"/>
  <c r="D182" i="131" s="1"/>
  <c r="D186" i="131" s="1"/>
  <c r="F144" i="131"/>
  <c r="E116" i="131"/>
  <c r="S24" i="85"/>
  <c r="R19" i="85"/>
  <c r="S19" i="85" s="1"/>
  <c r="I132" i="73"/>
  <c r="H194" i="73"/>
  <c r="H121" i="73"/>
  <c r="D172" i="131" l="1"/>
  <c r="H222" i="73"/>
  <c r="H223" i="73" s="1"/>
  <c r="I121" i="73"/>
  <c r="C36" i="114"/>
  <c r="H183" i="73"/>
  <c r="I184" i="73"/>
  <c r="D174" i="131"/>
  <c r="D173" i="131"/>
  <c r="H195" i="73"/>
  <c r="H199" i="73" s="1"/>
  <c r="H203" i="73" s="1"/>
  <c r="H196" i="73"/>
  <c r="E105" i="131"/>
  <c r="E178" i="131"/>
  <c r="E179" i="131" s="1"/>
  <c r="E182" i="131" s="1"/>
  <c r="E186" i="131" s="1"/>
  <c r="G144" i="131"/>
  <c r="F116" i="131"/>
  <c r="C38" i="114" l="1"/>
  <c r="I183" i="73"/>
  <c r="H188" i="73"/>
  <c r="F178" i="131"/>
  <c r="F179" i="131" s="1"/>
  <c r="F182" i="131" s="1"/>
  <c r="F186" i="131" s="1"/>
  <c r="F105" i="131"/>
  <c r="E204" i="131"/>
  <c r="E205" i="131" s="1"/>
  <c r="E172" i="131"/>
  <c r="E174" i="131" s="1"/>
  <c r="H144" i="131"/>
  <c r="G116" i="131"/>
  <c r="F172" i="131" l="1"/>
  <c r="F174" i="131" s="1"/>
  <c r="F204" i="131"/>
  <c r="F205" i="131" s="1"/>
  <c r="H190" i="73"/>
  <c r="H189" i="73"/>
  <c r="I189" i="73" s="1"/>
  <c r="I188" i="73"/>
  <c r="I144" i="131"/>
  <c r="I116" i="131" s="1"/>
  <c r="H116" i="131"/>
  <c r="G105" i="131"/>
  <c r="G178" i="131"/>
  <c r="G179" i="131" s="1"/>
  <c r="G182" i="131" s="1"/>
  <c r="G186" i="131" s="1"/>
  <c r="H105" i="131" l="1"/>
  <c r="H178" i="131"/>
  <c r="H179" i="131" s="1"/>
  <c r="H182" i="131" s="1"/>
  <c r="H186" i="131" s="1"/>
  <c r="I178" i="131"/>
  <c r="I179" i="131" s="1"/>
  <c r="I182" i="131" s="1"/>
  <c r="I186" i="131" s="1"/>
  <c r="I105" i="131"/>
  <c r="G172" i="131"/>
  <c r="G174" i="131" s="1"/>
  <c r="G204" i="131"/>
  <c r="G205" i="131" s="1"/>
  <c r="I204" i="131" l="1"/>
  <c r="I205" i="131" s="1"/>
  <c r="I172" i="131"/>
  <c r="I174" i="131" s="1"/>
  <c r="H172" i="131"/>
  <c r="H174" i="131" s="1"/>
  <c r="H204" i="131"/>
  <c r="H205" i="131" s="1"/>
</calcChain>
</file>

<file path=xl/comments1.xml><?xml version="1.0" encoding="utf-8"?>
<comments xmlns="http://schemas.openxmlformats.org/spreadsheetml/2006/main">
  <authors>
    <author>Alexis Kimbembe</author>
    <author>Jitka Hájková</author>
  </authors>
  <commentList>
    <comment ref="G22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5mil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CHYBÍ ZDE CELÝ PŘÍSPĚVEK  na provoz SD ROK 2022 = 120TIS/MĚSÍC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P7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Auto pro techniky; počítáme s úvěrem na 60M zde i akontace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Jaroslav Špaček</author>
  </authors>
  <commentList>
    <comment ref="J1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 tento příspěvek 420tis budeme žádat v 06-23
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změněno dne 26-3
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stočné VHS Benešov - ČOV</t>
        </r>
      </text>
    </comment>
  </commentList>
</comments>
</file>

<file path=xl/comments4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5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<sst xmlns="http://schemas.openxmlformats.org/spreadsheetml/2006/main" count="6929" uniqueCount="2273">
  <si>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</si>
  <si>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</si>
  <si>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</si>
  <si>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</si>
  <si>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</si>
  <si>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</si>
  <si>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</si>
  <si>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</si>
  <si>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</si>
  <si>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</si>
  <si>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</si>
  <si>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</si>
  <si>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</si>
  <si>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</si>
  <si>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</si>
  <si>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</si>
  <si>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</si>
  <si>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</si>
  <si>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</si>
  <si>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</si>
  <si>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</si>
  <si>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</si>
  <si>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</si>
  <si>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</si>
  <si>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</si>
  <si>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</si>
  <si>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</si>
  <si>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</si>
  <si>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</si>
  <si>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</si>
  <si>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</si>
  <si>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</si>
  <si>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</si>
  <si>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</si>
  <si>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</si>
  <si>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</si>
  <si>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</si>
  <si>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</si>
  <si>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</si>
  <si>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</si>
  <si>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</si>
  <si>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</si>
  <si>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</si>
  <si>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</si>
  <si>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</si>
  <si>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</si>
  <si>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</si>
  <si>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</si>
  <si>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</si>
  <si>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</si>
  <si>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</si>
  <si>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</si>
  <si>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</si>
  <si>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</si>
  <si>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</si>
  <si>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</si>
  <si>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</si>
  <si>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</si>
  <si>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</si>
  <si>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</si>
  <si>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</si>
  <si>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</si>
  <si>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</si>
  <si>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</si>
  <si>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</si>
  <si>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</si>
  <si>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</si>
  <si>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</si>
  <si>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</si>
  <si>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</si>
  <si>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</si>
  <si>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</si>
  <si>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</si>
  <si>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</si>
  <si>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</si>
  <si>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</si>
  <si>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</si>
  <si>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</si>
  <si>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</si>
  <si>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</si>
  <si>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</si>
  <si>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</si>
  <si>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</si>
  <si>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</si>
  <si>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</si>
  <si>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</si>
  <si>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</si>
  <si>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</si>
  <si>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</si>
  <si>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</si>
  <si>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</si>
  <si>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</si>
  <si>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</si>
  <si>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</si>
  <si>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</si>
  <si>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</si>
  <si>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</si>
  <si>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</si>
  <si>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</si>
  <si>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</si>
  <si>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</si>
  <si>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</si>
  <si>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</si>
  <si>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</si>
  <si>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</si>
  <si>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</si>
  <si>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</si>
  <si>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</si>
  <si>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</si>
  <si>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</si>
  <si>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</si>
  <si>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</si>
  <si>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</si>
  <si>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</si>
  <si>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</si>
  <si>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</si>
  <si>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</si>
  <si>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</si>
  <si>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</si>
  <si>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</si>
  <si>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</si>
  <si>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</si>
  <si>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</si>
  <si>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</si>
  <si>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</si>
  <si>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</si>
  <si>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</si>
  <si>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</si>
  <si>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</si>
  <si>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</si>
  <si>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</si>
  <si>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</si>
  <si>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</si>
  <si>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</si>
  <si>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</si>
  <si>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</si>
  <si>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</si>
  <si>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</si>
  <si>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</si>
  <si>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</si>
  <si>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</si>
  <si>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</si>
  <si>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</si>
  <si>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</si>
  <si>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</si>
  <si>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</si>
  <si>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</si>
  <si>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</si>
  <si>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</si>
  <si>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</si>
  <si>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</si>
  <si>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</si>
  <si>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</si>
  <si>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</si>
  <si>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</si>
  <si>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</si>
  <si>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</si>
  <si>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</si>
  <si>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</si>
  <si>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</si>
  <si>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</si>
  <si>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</si>
  <si>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</si>
  <si>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</si>
  <si>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</si>
  <si>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</si>
  <si>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</si>
  <si>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</si>
  <si>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</si>
  <si>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</si>
  <si>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</si>
  <si>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</si>
  <si>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</si>
  <si>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</si>
  <si>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</si>
  <si>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</si>
  <si>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</si>
  <si>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</si>
  <si>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</si>
  <si>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</si>
  <si>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</si>
  <si>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</si>
  <si>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</si>
  <si>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</si>
  <si>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</si>
  <si>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</si>
  <si>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</si>
  <si>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</si>
  <si>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</si>
  <si>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</si>
  <si>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</si>
  <si>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</si>
  <si>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</si>
  <si>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</si>
  <si>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</si>
  <si>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</si>
  <si>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</si>
  <si>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</si>
  <si>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</si>
  <si>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</si>
  <si>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</si>
  <si>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</si>
  <si>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</si>
  <si>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</si>
  <si>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</si>
  <si>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</si>
  <si>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</si>
  <si>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</si>
  <si>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</si>
  <si>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</si>
  <si>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</si>
  <si>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</si>
  <si>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</si>
  <si>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</si>
  <si>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</si>
  <si>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</si>
  <si>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</si>
  <si>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</si>
  <si>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</si>
  <si>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</si>
  <si>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</si>
  <si>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</si>
  <si>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</si>
  <si>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</si>
  <si>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</si>
  <si>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</si>
  <si>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</si>
  <si>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</si>
  <si>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</si>
  <si>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</si>
  <si>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</si>
  <si>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</si>
  <si>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</si>
  <si>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</si>
  <si>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</si>
  <si>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</si>
  <si>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</si>
  <si>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</si>
  <si>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</si>
  <si>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</si>
  <si>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</si>
  <si>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</si>
  <si>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</si>
  <si>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</si>
  <si>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</si>
  <si>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</si>
  <si>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</si>
  <si>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</si>
  <si>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</si>
  <si>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</si>
  <si>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</si>
  <si>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</si>
  <si>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</si>
  <si>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</si>
  <si>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</si>
  <si>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</si>
  <si>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</si>
  <si>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</si>
  <si>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</si>
  <si>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</si>
  <si>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</si>
  <si>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</si>
  <si>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</si>
  <si>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</si>
  <si>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</si>
  <si>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</si>
  <si>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</si>
  <si>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</si>
  <si>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</si>
  <si>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</si>
  <si>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</si>
  <si>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</si>
  <si>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</si>
  <si>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</si>
  <si>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</si>
  <si>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</si>
  <si>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</si>
  <si>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</si>
  <si>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</si>
  <si>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</si>
  <si>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</si>
  <si>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</si>
  <si>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</si>
  <si>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</si>
  <si>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</si>
  <si>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</si>
  <si>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</si>
  <si>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</si>
  <si>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</si>
  <si>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</si>
  <si>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</si>
  <si>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</si>
  <si>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</si>
  <si>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</si>
  <si>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</si>
  <si>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</si>
  <si>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</si>
  <si>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</si>
  <si>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</si>
  <si>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</si>
  <si>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</si>
  <si>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</si>
  <si>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</si>
  <si>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</si>
  <si>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</si>
  <si>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</si>
  <si>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</si>
  <si>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</si>
  <si>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</si>
  <si>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</si>
  <si>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</si>
  <si>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</si>
  <si>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</si>
  <si>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</si>
  <si>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</si>
  <si>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</si>
  <si>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</si>
  <si>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</si>
  <si>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</si>
  <si>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</si>
  <si>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</si>
  <si>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</si>
  <si>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</si>
  <si>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</si>
  <si>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</si>
  <si>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</si>
  <si>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</si>
  <si>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</si>
  <si>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</si>
  <si>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</si>
  <si>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</si>
  <si>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</si>
  <si>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</si>
  <si>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</si>
  <si>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</si>
  <si>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</si>
  <si>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</si>
  <si>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</si>
  <si>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</si>
  <si>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</si>
  <si>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</si>
  <si>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</si>
  <si>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</si>
  <si>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</si>
  <si>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</si>
  <si>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</si>
  <si>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</si>
  <si>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</si>
  <si>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</si>
  <si>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</si>
  <si>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</si>
  <si>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</si>
  <si>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</si>
  <si>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</si>
  <si>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</si>
  <si>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</si>
  <si>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</si>
  <si>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</si>
  <si>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</si>
  <si>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</si>
  <si>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</si>
  <si>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</si>
  <si>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</si>
  <si>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</si>
  <si>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</si>
  <si>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</si>
  <si>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</si>
  <si>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</si>
  <si>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</si>
  <si>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</si>
  <si>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</si>
  <si>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</si>
  <si>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</si>
  <si>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</si>
  <si>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</si>
  <si>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</si>
  <si>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</si>
  <si>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</si>
  <si>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</si>
  <si>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</si>
  <si>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</si>
  <si>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</si>
  <si>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</si>
  <si>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</si>
  <si>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</si>
  <si>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</si>
  <si>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</si>
  <si>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</si>
  <si>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</si>
  <si>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</si>
  <si>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</si>
  <si>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</si>
  <si>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</si>
  <si>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</si>
  <si>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</si>
  <si>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</si>
  <si>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</si>
  <si>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</si>
  <si>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</si>
  <si>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</si>
  <si>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</si>
  <si>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</si>
  <si>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</si>
  <si>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</si>
  <si>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</si>
  <si>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</si>
  <si>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</si>
  <si>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</si>
  <si>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</si>
  <si>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</si>
  <si>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</si>
  <si>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</si>
  <si>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</si>
  <si>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</si>
  <si>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</si>
  <si>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</si>
  <si>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</si>
  <si>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</si>
  <si>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</si>
  <si>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</si>
  <si>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</si>
  <si>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</si>
  <si>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</si>
  <si>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</si>
  <si>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</si>
  <si>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</si>
  <si>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</si>
  <si>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</si>
  <si>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</si>
  <si>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</si>
  <si>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</si>
  <si>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</si>
  <si>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</si>
  <si>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</si>
  <si>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</si>
  <si>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</si>
  <si>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</si>
  <si>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</si>
  <si>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</si>
  <si>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</si>
  <si>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</si>
  <si>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</si>
  <si>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</si>
  <si>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</si>
  <si>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</si>
  <si>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</si>
  <si>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</si>
  <si>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</si>
  <si>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</si>
  <si>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</si>
  <si>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</si>
  <si>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</si>
  <si>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</si>
  <si>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</si>
  <si>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</si>
  <si>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</si>
  <si>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</si>
  <si>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</si>
  <si>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</si>
  <si>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</si>
  <si>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</si>
  <si>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</si>
  <si>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</si>
  <si>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</si>
  <si>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</si>
  <si>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</si>
  <si>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</si>
  <si>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</si>
  <si>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</si>
  <si>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</si>
  <si>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</si>
  <si>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</si>
  <si>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</si>
  <si>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</si>
  <si>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</si>
  <si>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</si>
  <si>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</si>
  <si>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</si>
  <si>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</si>
  <si>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</si>
  <si>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</si>
  <si>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</si>
  <si>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</si>
  <si>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</si>
  <si>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</si>
  <si>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</si>
  <si>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</si>
  <si>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</si>
  <si>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</si>
  <si>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</si>
  <si>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</si>
  <si>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</si>
  <si>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</si>
  <si>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</si>
  <si>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</si>
  <si>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</si>
  <si>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</si>
  <si>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</si>
  <si>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</si>
  <si>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</si>
  <si>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</si>
  <si>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</si>
  <si>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</si>
  <si>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</si>
  <si>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</si>
  <si>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</si>
  <si>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</si>
  <si>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</si>
  <si>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</si>
  <si>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</si>
  <si>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</si>
  <si>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</si>
  <si>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</si>
  <si>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</si>
  <si>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</si>
  <si>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</si>
  <si>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</si>
  <si>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</si>
  <si>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</si>
  <si>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</si>
  <si>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</si>
  <si>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</si>
  <si>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</si>
  <si>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</si>
  <si>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</si>
  <si>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</si>
  <si>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</si>
  <si>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</si>
  <si>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</si>
  <si>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</si>
  <si>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</si>
  <si>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</si>
  <si>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</si>
  <si>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</si>
  <si>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</si>
  <si>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</si>
  <si>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</si>
  <si>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</si>
  <si>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</si>
  <si>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</si>
  <si>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</si>
  <si>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</si>
  <si>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</si>
  <si>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</si>
  <si>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</si>
  <si>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</si>
  <si>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</si>
  <si>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</si>
  <si>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</si>
  <si>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</si>
  <si>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</si>
  <si>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</si>
  <si>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</si>
  <si>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</si>
  <si>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</si>
  <si>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</si>
  <si>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</si>
  <si>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</si>
  <si>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</si>
  <si>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</si>
  <si>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</si>
  <si>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</si>
  <si>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</si>
  <si>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</si>
  <si>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</si>
  <si>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</si>
  <si>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</si>
  <si>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</si>
  <si>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</si>
  <si>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</si>
  <si>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</si>
  <si>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</si>
  <si>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</si>
  <si>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</si>
  <si>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</si>
  <si>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</si>
  <si>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</si>
  <si>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</si>
  <si>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</si>
  <si>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</si>
  <si>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</si>
  <si>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</si>
  <si>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</si>
  <si>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</si>
  <si>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</si>
  <si>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</si>
  <si>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</si>
  <si>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</si>
  <si>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</si>
  <si>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</si>
  <si>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</si>
  <si>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</si>
  <si>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</si>
  <si>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</si>
  <si>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</si>
  <si>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</si>
  <si>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</si>
  <si>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</si>
  <si>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</si>
  <si>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</si>
  <si>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</si>
  <si>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</si>
  <si>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</si>
  <si>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</si>
  <si>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</si>
  <si>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</si>
  <si>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</si>
  <si>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</si>
  <si>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</si>
  <si>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</si>
  <si>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</si>
  <si>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</si>
  <si>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</si>
  <si>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</si>
  <si>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</si>
  <si>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</si>
  <si>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</si>
  <si>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</si>
  <si>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</si>
  <si>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</si>
  <si>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</si>
  <si>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</si>
  <si>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</si>
  <si>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</si>
  <si>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</si>
  <si>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</si>
  <si>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</si>
  <si>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</si>
  <si>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</si>
  <si>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</si>
  <si>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</si>
  <si>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</si>
  <si>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</si>
  <si>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</si>
  <si>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</si>
  <si>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</si>
  <si>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</si>
  <si>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</si>
  <si>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</si>
  <si>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</si>
  <si>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</si>
  <si>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</si>
  <si>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</si>
  <si>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</si>
  <si>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</si>
  <si>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</si>
  <si>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</si>
  <si>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</si>
  <si>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</si>
  <si>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</si>
  <si>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</si>
  <si>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</si>
  <si>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</si>
  <si>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</si>
  <si>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</si>
  <si>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</si>
  <si>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</si>
  <si>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</si>
  <si>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</si>
  <si>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</si>
  <si>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</si>
  <si>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</si>
  <si>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</si>
  <si>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</si>
  <si>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</si>
  <si>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</si>
  <si>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</si>
  <si>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</si>
  <si>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</si>
  <si>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</si>
  <si>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</si>
  <si>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</si>
  <si>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</si>
  <si>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</si>
  <si>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</si>
  <si>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</si>
  <si>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</si>
  <si>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</si>
  <si>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</si>
  <si>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</si>
  <si>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</si>
  <si>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</si>
  <si>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</si>
  <si>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</si>
  <si>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</si>
  <si>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</si>
  <si>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</si>
  <si>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</si>
  <si>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</si>
  <si>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</si>
  <si>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</si>
  <si>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</si>
  <si>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</si>
  <si>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</si>
  <si>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</si>
  <si>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</si>
  <si>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</si>
  <si>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</si>
  <si>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</si>
  <si>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</si>
  <si>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</si>
  <si>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</si>
  <si>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</si>
  <si>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</si>
  <si>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</si>
  <si>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</si>
  <si>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</si>
  <si>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</si>
  <si>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</si>
  <si>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</si>
  <si>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</si>
  <si>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</si>
  <si>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</si>
  <si>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</si>
  <si>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</si>
  <si>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</si>
  <si>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</si>
  <si>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</si>
  <si>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</si>
  <si>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</si>
  <si>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</si>
  <si>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</si>
  <si>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</si>
  <si>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</si>
  <si>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</si>
  <si>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</si>
  <si>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</si>
  <si>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</si>
  <si>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</si>
  <si>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</si>
  <si>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</si>
  <si>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</si>
  <si>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</si>
  <si>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</si>
  <si>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</si>
  <si>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</si>
  <si>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</si>
  <si>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</si>
  <si>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</si>
  <si>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</si>
  <si>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</si>
  <si>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</si>
  <si>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</si>
  <si>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</si>
  <si>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</si>
  <si>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</si>
  <si>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</si>
  <si>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</si>
  <si>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</si>
  <si>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</si>
  <si>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</si>
  <si>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</si>
  <si>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</si>
  <si>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</si>
  <si>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</si>
  <si>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</si>
  <si>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</si>
  <si>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</si>
  <si>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</si>
  <si>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</si>
  <si>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</si>
  <si>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</si>
  <si>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</si>
  <si>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</si>
  <si>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</si>
  <si>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</si>
  <si>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</si>
  <si>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</si>
  <si>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</si>
  <si>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</si>
  <si>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</si>
  <si>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</si>
  <si>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</si>
  <si>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</si>
  <si>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</si>
  <si>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</si>
  <si>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</si>
  <si>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</si>
  <si>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</si>
  <si>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</si>
  <si>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</si>
  <si>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</si>
  <si>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</si>
  <si>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</si>
  <si>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</si>
  <si>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</si>
  <si>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</si>
  <si>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</si>
  <si>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</si>
  <si>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</si>
  <si>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</si>
  <si>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</si>
  <si>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</si>
  <si>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</si>
  <si>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</si>
  <si>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</si>
  <si>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</si>
  <si>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</si>
  <si>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</si>
  <si>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</si>
  <si>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</si>
  <si>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</si>
  <si>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</si>
  <si>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</si>
  <si>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</si>
  <si>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</si>
  <si>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</si>
  <si>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</si>
  <si>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</si>
  <si>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</si>
  <si>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</si>
  <si>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</si>
  <si>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</si>
  <si>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</si>
  <si>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</si>
  <si>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</si>
  <si>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</si>
  <si>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</si>
  <si>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</si>
  <si>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</si>
  <si>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</si>
  <si>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</si>
  <si>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</si>
  <si>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</si>
  <si>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</si>
  <si>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</si>
  <si>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</si>
  <si>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</si>
  <si>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</si>
  <si>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</si>
  <si>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</si>
  <si>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</si>
  <si>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</si>
  <si>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</si>
  <si>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</si>
  <si>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</si>
  <si>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</si>
  <si>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</si>
  <si>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</si>
  <si>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</si>
  <si>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</si>
  <si>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</si>
  <si>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</si>
  <si>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</si>
  <si>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</si>
  <si>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</si>
  <si>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</si>
  <si>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</si>
  <si>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</si>
  <si>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</si>
  <si>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</si>
  <si>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</si>
  <si>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</si>
  <si>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</si>
  <si>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</si>
  <si>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</si>
  <si>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</si>
  <si>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</si>
  <si>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</si>
  <si>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</si>
  <si>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</si>
  <si>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</si>
  <si>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</si>
  <si>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</si>
  <si>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</si>
  <si>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</si>
  <si>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</si>
  <si>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</si>
  <si>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</si>
  <si>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</si>
  <si>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</si>
  <si>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</si>
  <si>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</si>
  <si>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</si>
  <si>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</si>
  <si>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</si>
  <si>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</si>
  <si>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</si>
  <si>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</si>
  <si>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</si>
  <si>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</si>
  <si>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</si>
  <si>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</si>
  <si>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</si>
  <si>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</si>
  <si>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</si>
  <si>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</si>
  <si>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</si>
  <si>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</si>
  <si>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</si>
  <si>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</si>
  <si>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</si>
  <si>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</si>
  <si>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</si>
  <si>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</si>
  <si>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</si>
  <si>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</si>
  <si>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</si>
  <si>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</si>
  <si>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</si>
  <si>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</si>
  <si>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</si>
  <si>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</si>
  <si>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</si>
  <si>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</si>
  <si>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</si>
  <si>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</si>
  <si>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</si>
  <si>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</si>
  <si>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</si>
  <si>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</si>
  <si>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</si>
  <si>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</si>
  <si>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</si>
  <si>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</si>
  <si>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</si>
  <si>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</si>
  <si>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</si>
  <si>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</si>
  <si>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</si>
  <si>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</si>
  <si>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</si>
  <si>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</si>
  <si>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</si>
  <si>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</si>
  <si>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</si>
  <si>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</si>
  <si>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</si>
  <si>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</si>
  <si>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</si>
  <si>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</si>
  <si>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</si>
  <si>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</si>
  <si>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</si>
  <si>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</si>
  <si>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</si>
  <si>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</si>
  <si>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</si>
  <si>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</si>
  <si>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</si>
  <si>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</si>
  <si>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</si>
  <si>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</si>
  <si>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</si>
  <si>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</si>
  <si>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</si>
  <si>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</si>
  <si>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</si>
  <si>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</si>
  <si>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</si>
  <si>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</si>
  <si>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</si>
  <si>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</si>
  <si>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</si>
  <si>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</si>
  <si>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</si>
  <si>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</si>
  <si>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</si>
  <si>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</si>
  <si>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</si>
  <si>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</si>
  <si>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</si>
  <si>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</si>
  <si>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</si>
  <si>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</si>
  <si>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</si>
  <si>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</si>
  <si>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</si>
  <si>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</si>
  <si>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</si>
  <si>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</si>
  <si>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</si>
  <si>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</si>
  <si>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</si>
  <si>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</si>
  <si>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</si>
  <si>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</si>
  <si>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</si>
  <si>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</si>
  <si>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</si>
  <si>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</si>
  <si>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</si>
  <si>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</si>
  <si>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</si>
  <si>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</si>
  <si>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</si>
  <si>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</si>
  <si>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</si>
  <si>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</si>
  <si>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</si>
  <si>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</si>
  <si>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</si>
  <si>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</si>
  <si>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</si>
  <si>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</si>
  <si>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</si>
  <si>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</si>
  <si>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</si>
  <si>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</si>
  <si>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</si>
  <si>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</si>
  <si>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</si>
  <si>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</si>
  <si>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</si>
  <si>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</si>
  <si>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</si>
  <si>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</si>
  <si>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</si>
  <si>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</si>
  <si>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</si>
  <si>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</si>
  <si>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</si>
  <si>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</si>
  <si>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</si>
  <si>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</si>
  <si>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</si>
  <si>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</si>
  <si>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</si>
  <si>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</si>
  <si>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</si>
  <si>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</si>
  <si>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</si>
  <si>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</si>
  <si>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</si>
  <si>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</si>
  <si>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</si>
  <si>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</si>
  <si>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</si>
  <si>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</si>
  <si>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</si>
  <si>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</si>
  <si>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</si>
  <si>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</si>
  <si>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</si>
  <si>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</si>
  <si>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</si>
  <si>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</si>
  <si>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</si>
  <si>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</si>
  <si>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</si>
  <si>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</si>
  <si>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</si>
  <si>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</si>
  <si>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</si>
  <si>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</si>
  <si>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</si>
  <si>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</si>
  <si>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</si>
  <si>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</si>
  <si>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</si>
  <si>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</si>
  <si>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</si>
  <si>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</si>
  <si>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</si>
  <si>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</si>
  <si>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</si>
  <si>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</si>
  <si>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</si>
  <si>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</si>
  <si>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</si>
  <si>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</si>
  <si>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</si>
  <si>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</si>
  <si>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</si>
  <si>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</si>
  <si>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</si>
  <si>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</si>
  <si>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</si>
  <si>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</si>
  <si>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</si>
  <si>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</si>
  <si>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</si>
  <si>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</si>
  <si>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</si>
  <si>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</si>
  <si>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</si>
  <si>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</si>
  <si>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</si>
  <si>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</si>
  <si>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</si>
  <si>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</si>
  <si>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</si>
  <si>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</si>
  <si>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</si>
  <si>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</si>
  <si>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</si>
  <si>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</si>
  <si>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</si>
  <si>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</si>
  <si>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</si>
  <si>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</si>
  <si>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</si>
  <si>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</si>
  <si>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</si>
  <si>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</si>
  <si>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</si>
  <si>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</si>
  <si>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</si>
  <si>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</si>
  <si>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</si>
  <si>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</si>
  <si>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</si>
  <si>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</si>
  <si>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</si>
  <si>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</si>
  <si>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</si>
  <si>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</si>
  <si>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</si>
  <si>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</si>
  <si>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</si>
  <si>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</si>
  <si>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</si>
  <si>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</si>
  <si>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</si>
  <si>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</si>
  <si>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</si>
  <si>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</si>
  <si>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</si>
  <si>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</si>
  <si>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</si>
  <si>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</si>
  <si>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</si>
  <si>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</si>
  <si>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</si>
  <si>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</si>
  <si>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</si>
  <si>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</si>
  <si>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</si>
  <si>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</si>
  <si>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</si>
  <si>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</si>
  <si>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</si>
  <si>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</si>
  <si>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</si>
  <si>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</si>
  <si>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</si>
  <si>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</si>
  <si>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</si>
  <si>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</si>
  <si>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</si>
  <si>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</si>
  <si>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</si>
  <si>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</si>
  <si>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</si>
  <si>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</si>
  <si>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</si>
  <si>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</si>
  <si>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</si>
  <si>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</si>
  <si>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</si>
  <si>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</si>
  <si>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</si>
  <si>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</si>
  <si>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</si>
  <si>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</si>
  <si>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</si>
  <si>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</si>
  <si>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</si>
  <si>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</si>
  <si>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</si>
  <si>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</si>
  <si>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</si>
  <si>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</si>
  <si>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</si>
  <si>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</si>
  <si>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</si>
  <si>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</si>
  <si>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</si>
  <si>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</si>
  <si>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</si>
  <si>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</si>
  <si>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</si>
  <si>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</si>
  <si>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</si>
  <si>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</si>
  <si>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</si>
  <si>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</si>
  <si>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</si>
  <si>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</si>
  <si>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</si>
  <si>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</si>
  <si>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</si>
  <si>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</si>
  <si>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</si>
  <si>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</si>
  <si>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</si>
  <si>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</si>
  <si>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</si>
  <si>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</si>
  <si>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</si>
  <si>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</si>
  <si>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</si>
  <si>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</si>
  <si>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</si>
  <si>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</si>
  <si>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</si>
  <si>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</si>
  <si>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</si>
  <si>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</si>
  <si>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</si>
  <si>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</si>
  <si>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</si>
  <si>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</si>
  <si>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</si>
  <si>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</si>
  <si>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</si>
  <si>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</si>
  <si>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</si>
  <si>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</si>
  <si>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</si>
  <si>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</si>
  <si>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</si>
  <si>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</si>
  <si>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</si>
  <si>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</si>
  <si>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</si>
  <si>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</si>
  <si>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</si>
  <si>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</si>
  <si>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</si>
  <si>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</si>
  <si>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</si>
  <si>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</si>
  <si>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</si>
  <si>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</si>
  <si>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</si>
  <si>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</si>
  <si>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</si>
  <si>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</si>
  <si>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</si>
  <si>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</si>
  <si>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</si>
  <si>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</si>
  <si>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</si>
  <si>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</si>
  <si>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</si>
  <si>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</si>
  <si>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</si>
  <si>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</si>
  <si>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</si>
  <si>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</si>
  <si>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</si>
  <si>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</si>
  <si>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</si>
  <si>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</si>
  <si>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</si>
  <si>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</si>
  <si>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</si>
  <si>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</si>
  <si>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</si>
  <si>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</si>
  <si>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</si>
  <si>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</si>
  <si>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</si>
  <si>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</si>
  <si>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</si>
  <si>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</si>
  <si>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</si>
  <si>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</si>
  <si>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</si>
  <si>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</si>
  <si>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</si>
  <si>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</si>
  <si>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</si>
  <si>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</si>
  <si>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</si>
  <si>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</si>
  <si>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</si>
  <si>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</si>
  <si>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</si>
  <si>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</si>
  <si>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</si>
  <si>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</si>
  <si>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</si>
  <si>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</si>
  <si>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</si>
  <si>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</si>
  <si>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</si>
  <si>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</si>
  <si>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</si>
  <si>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</si>
  <si>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</si>
  <si>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</si>
  <si>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</si>
  <si>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</si>
  <si>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</si>
  <si>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</si>
  <si>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</si>
  <si>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</si>
  <si>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</si>
  <si>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</si>
  <si>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</si>
  <si>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</si>
  <si>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</si>
  <si>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</si>
  <si>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</si>
  <si>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</si>
  <si>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</si>
  <si>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</si>
  <si>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</si>
  <si>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</si>
  <si>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</si>
  <si>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</si>
  <si>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</si>
  <si>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</si>
  <si>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</si>
  <si>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</si>
  <si>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</si>
  <si>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</si>
  <si>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</si>
  <si>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</si>
  <si>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</si>
  <si>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</si>
  <si>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</si>
  <si>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</si>
  <si>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</si>
  <si>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</si>
  <si>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</si>
  <si>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</si>
  <si>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</si>
  <si>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</si>
  <si>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</si>
  <si>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</si>
  <si>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</si>
  <si>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</si>
  <si>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</si>
  <si>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</si>
  <si>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</si>
  <si>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</si>
  <si>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</si>
  <si>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</si>
  <si>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</si>
  <si>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</si>
  <si>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</si>
  <si>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</si>
  <si>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</si>
  <si>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</si>
  <si>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</si>
  <si>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</si>
  <si>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</si>
  <si>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</si>
  <si>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</si>
  <si>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</si>
  <si>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</si>
  <si>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</si>
  <si>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</si>
  <si>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</si>
  <si>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</si>
  <si>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</si>
  <si>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</si>
  <si>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</si>
  <si>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</si>
  <si>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</si>
  <si>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</si>
  <si>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</si>
  <si>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</si>
  <si>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</si>
  <si>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</si>
  <si>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</si>
  <si>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</si>
  <si>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</si>
  <si>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</si>
  <si>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</si>
  <si>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</si>
  <si>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</si>
  <si>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</si>
  <si>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</si>
  <si>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</si>
  <si>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</si>
  <si>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</si>
  <si>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</si>
  <si>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</si>
  <si>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</si>
  <si>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</si>
  <si>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</si>
  <si>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</si>
  <si>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</si>
  <si>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</si>
  <si>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</si>
  <si>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</si>
  <si>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</si>
  <si>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</si>
  <si>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</si>
  <si>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</si>
  <si>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</si>
  <si>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</si>
  <si>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</si>
  <si>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</si>
  <si>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</si>
  <si>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</si>
  <si>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</si>
  <si>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</si>
  <si>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</si>
  <si>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</si>
  <si>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</si>
  <si>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</si>
  <si>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</si>
  <si>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</si>
  <si>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</si>
  <si>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</si>
  <si>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</si>
  <si>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</si>
  <si>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</si>
  <si>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</si>
  <si>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</si>
  <si>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</si>
  <si>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</si>
  <si>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</si>
  <si>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</si>
  <si>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</si>
  <si>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</si>
  <si>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</si>
  <si>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</si>
  <si>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</si>
  <si>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</si>
  <si>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</si>
  <si>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</si>
  <si>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</si>
  <si>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</si>
  <si>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</si>
  <si>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</si>
  <si>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</si>
  <si>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</si>
  <si>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</si>
  <si>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</si>
  <si>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</si>
  <si>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</si>
  <si>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</si>
  <si>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</si>
  <si>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</si>
  <si>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</si>
  <si>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</si>
  <si>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</si>
  <si>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</si>
  <si>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</si>
  <si>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</si>
  <si>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</si>
  <si>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</si>
  <si>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</si>
  <si>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</si>
  <si>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</si>
  <si>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</si>
  <si>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</si>
  <si>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</si>
  <si>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</si>
  <si>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</si>
  <si>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</si>
  <si>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</si>
  <si>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</si>
  <si>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</si>
  <si>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</si>
  <si>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</si>
  <si>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</si>
  <si>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</si>
  <si>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</si>
  <si>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</si>
  <si>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</si>
  <si>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</si>
  <si>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</si>
  <si>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</si>
  <si>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</si>
  <si>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</si>
  <si>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</si>
  <si>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</si>
  <si>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</si>
  <si>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</si>
  <si>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</si>
  <si>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</si>
  <si>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</si>
  <si>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</si>
  <si>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</si>
  <si>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</si>
  <si>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</si>
  <si>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</si>
  <si>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</si>
  <si>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</si>
  <si>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</si>
  <si>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</si>
  <si>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</si>
  <si>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</si>
  <si>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</si>
  <si>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</si>
  <si>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</si>
  <si>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</si>
  <si>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</si>
  <si>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</si>
  <si>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</si>
  <si>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</si>
  <si>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</si>
  <si>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</si>
  <si>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</si>
  <si>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</si>
  <si>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</si>
  <si>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</si>
  <si>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</si>
  <si>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</si>
  <si>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</si>
  <si>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</si>
  <si>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</si>
  <si>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</si>
  <si>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</si>
  <si>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</si>
  <si>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</si>
  <si>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</si>
  <si>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</si>
  <si>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</si>
  <si>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</si>
  <si>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</si>
  <si>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</si>
  <si>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</si>
  <si>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</si>
  <si>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</si>
  <si>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</si>
  <si>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</si>
  <si>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</si>
  <si>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</si>
  <si>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</si>
  <si>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</si>
  <si>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</si>
  <si>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</si>
  <si>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</si>
  <si>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</si>
  <si>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</si>
  <si>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</si>
  <si>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</si>
  <si>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</si>
  <si>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</si>
  <si>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</si>
  <si>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</si>
  <si>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</si>
  <si>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</si>
  <si>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</si>
  <si>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</si>
  <si>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</si>
  <si>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</si>
  <si>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</si>
  <si>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</si>
  <si>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</si>
  <si>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</si>
  <si>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</si>
  <si>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</si>
  <si>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</si>
  <si>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</si>
  <si>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</si>
  <si>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</si>
  <si>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</si>
  <si>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</si>
  <si>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</si>
  <si>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</si>
  <si>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</si>
  <si>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</si>
  <si>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</si>
  <si>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</si>
  <si>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</si>
  <si>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</si>
  <si>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</si>
  <si>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</si>
  <si>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</si>
  <si>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</si>
  <si>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</si>
  <si>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</si>
  <si>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</si>
  <si>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</si>
  <si>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</si>
  <si>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</si>
  <si>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</si>
  <si>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</si>
  <si>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</si>
  <si>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</si>
  <si>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</si>
  <si>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</si>
  <si>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</si>
  <si>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</si>
  <si>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</si>
  <si>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</si>
  <si>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</si>
  <si>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</si>
  <si>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</si>
  <si>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</si>
  <si>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</si>
  <si>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</si>
  <si>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</si>
  <si>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</si>
  <si>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</si>
  <si>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</si>
  <si>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</si>
  <si>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</si>
  <si>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</si>
  <si>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</si>
  <si>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</si>
  <si>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</si>
  <si>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</si>
  <si>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</si>
  <si>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</si>
  <si>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</si>
  <si>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</si>
  <si>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</si>
  <si>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</si>
  <si>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</si>
  <si>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</si>
  <si>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</si>
  <si>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</si>
  <si>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</si>
  <si>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</si>
  <si>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</si>
  <si>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</si>
  <si>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</si>
  <si>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</si>
  <si>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</si>
  <si>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</si>
  <si>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</si>
  <si>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</si>
  <si>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</si>
  <si>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</si>
  <si>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</si>
  <si>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</si>
  <si>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</si>
  <si>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</si>
  <si>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</si>
  <si>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</si>
  <si>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</si>
  <si>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</si>
  <si>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</si>
  <si>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</si>
  <si>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</si>
  <si>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</si>
  <si>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</si>
  <si>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</si>
  <si>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</si>
  <si>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</si>
  <si>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</si>
  <si>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</si>
  <si>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</si>
  <si>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</si>
  <si>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</si>
  <si>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</si>
  <si>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</si>
  <si>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</si>
  <si>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</si>
  <si>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</si>
  <si>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</si>
  <si>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</si>
  <si>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</si>
  <si>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</si>
  <si>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</si>
  <si>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</si>
  <si>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</si>
  <si>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</si>
  <si>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</si>
  <si>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</si>
  <si>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</si>
  <si>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</si>
  <si>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</si>
  <si>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</si>
  <si>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</si>
  <si>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</si>
  <si>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</si>
  <si>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</si>
  <si>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</si>
  <si>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</si>
  <si>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</si>
  <si>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</si>
  <si>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</si>
  <si>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</si>
  <si>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</si>
  <si>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</si>
  <si>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</si>
  <si>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</si>
  <si>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</si>
  <si>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</si>
  <si>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</si>
  <si>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</si>
  <si>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</si>
  <si>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</si>
  <si>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</si>
  <si>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</si>
  <si>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</si>
  <si>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</si>
  <si>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</si>
  <si>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</si>
  <si>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</si>
  <si>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</si>
  <si>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</si>
  <si>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</si>
  <si>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</si>
  <si>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</si>
  <si>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</si>
  <si>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</si>
  <si>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</si>
  <si>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</si>
  <si>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</si>
  <si>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</si>
  <si>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</si>
  <si>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</si>
  <si>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</si>
  <si>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</si>
  <si>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</si>
  <si>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</si>
  <si>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</si>
  <si>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</si>
  <si>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</si>
  <si>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</si>
  <si>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</si>
  <si>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</si>
  <si>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</si>
  <si>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</si>
  <si>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</si>
  <si>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</si>
  <si>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</si>
  <si>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</si>
  <si>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</si>
  <si>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</si>
  <si>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</si>
  <si>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</si>
  <si>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</si>
  <si>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</si>
  <si>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</si>
  <si>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</si>
  <si>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</si>
  <si>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</si>
  <si>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</si>
  <si>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</si>
  <si>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</si>
  <si>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</si>
  <si>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</si>
  <si>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</si>
  <si>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</si>
  <si>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</si>
  <si>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</si>
  <si>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</si>
  <si>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</si>
  <si>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</si>
  <si>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</si>
  <si>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</si>
  <si>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</si>
  <si>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</si>
  <si>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</si>
  <si>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</si>
  <si>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</si>
  <si>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</si>
  <si>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</si>
  <si>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</si>
  <si>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</si>
  <si>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</si>
  <si>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</si>
  <si>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</si>
  <si>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</si>
  <si>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</si>
  <si>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</si>
  <si>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</si>
  <si>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</si>
  <si>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</si>
  <si>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</si>
  <si>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</si>
  <si>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</si>
  <si>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</si>
  <si>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</si>
  <si>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</si>
  <si>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</si>
  <si>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</si>
  <si>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</si>
  <si>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</si>
  <si>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</si>
  <si>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</si>
  <si>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</si>
  <si>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</si>
  <si>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</si>
  <si>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</si>
  <si>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</si>
  <si>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</si>
  <si>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</si>
  <si>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</si>
  <si>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</si>
  <si>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</si>
  <si>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</si>
  <si>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</si>
  <si>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</si>
  <si>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</si>
  <si>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</si>
  <si>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</si>
  <si>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</si>
  <si>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</si>
  <si>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</si>
  <si>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</si>
  <si>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</si>
  <si>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</si>
  <si>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</si>
  <si>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</si>
  <si>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</si>
  <si>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</si>
  <si>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</si>
  <si>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</si>
  <si>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</si>
  <si>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</si>
  <si>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</si>
  <si>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</si>
  <si>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</si>
  <si>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</si>
  <si>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</si>
  <si>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</si>
  <si>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</si>
  <si>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</si>
  <si>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</si>
  <si>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</si>
  <si>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</si>
  <si>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</si>
  <si>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</si>
  <si>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</si>
  <si>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</si>
  <si>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</si>
  <si>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</si>
  <si>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</si>
  <si>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</si>
  <si>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</si>
  <si>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</si>
  <si>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</si>
  <si>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</si>
  <si>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</si>
  <si>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</si>
  <si>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</si>
  <si>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</si>
  <si>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</si>
  <si>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</si>
  <si>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</si>
  <si>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</si>
  <si>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</si>
  <si>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</si>
  <si>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</si>
  <si>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</si>
  <si>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</si>
  <si>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</si>
  <si>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</si>
  <si>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</si>
  <si>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</si>
  <si>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</si>
  <si>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</si>
  <si>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</si>
  <si>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</si>
  <si>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</si>
  <si>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</si>
  <si>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</si>
  <si>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</si>
  <si>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</si>
  <si>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</si>
  <si>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</si>
  <si>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</si>
  <si>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</si>
  <si>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</si>
  <si>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</si>
  <si>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</si>
  <si>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</si>
  <si>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</si>
  <si>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</si>
  <si>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</si>
  <si>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</si>
  <si>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</si>
  <si>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</si>
  <si>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</si>
  <si>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</si>
  <si>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</si>
  <si>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</si>
  <si>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</si>
  <si>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</si>
  <si>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</si>
  <si>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</si>
  <si>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</si>
  <si>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</si>
  <si>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</si>
  <si>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</si>
  <si>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</si>
  <si>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</si>
  <si>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</si>
  <si>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</si>
  <si>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</si>
  <si>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</si>
  <si>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</si>
  <si>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</si>
  <si>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</si>
  <si>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</si>
  <si>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</si>
  <si>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tiskařské služby, mytí aut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</si>
  <si>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</si>
  <si>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</si>
  <si>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</si>
  <si>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</si>
  <si>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</si>
  <si>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</si>
  <si>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</si>
  <si>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</si>
  <si>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</si>
  <si>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</si>
  <si>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</si>
  <si>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</si>
  <si>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</si>
  <si>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</si>
  <si>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</si>
  <si>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</si>
  <si>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</si>
  <si>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</si>
  <si>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</si>
  <si>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</si>
  <si>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</si>
  <si>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</si>
  <si>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</si>
  <si>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</si>
  <si>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</si>
  <si>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</si>
  <si>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</si>
  <si>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</si>
  <si>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</si>
  <si>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</si>
  <si>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</si>
  <si>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</si>
  <si>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</si>
  <si>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</si>
  <si>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</si>
  <si>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</si>
  <si>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</si>
  <si>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</si>
  <si>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</si>
  <si>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</si>
  <si>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</si>
  <si>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</si>
  <si>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</si>
  <si>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</si>
  <si>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</si>
  <si>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</si>
  <si>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</si>
  <si>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</si>
  <si>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</si>
  <si>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</si>
  <si>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</si>
  <si>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</si>
  <si>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</si>
  <si>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</si>
  <si>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</si>
  <si>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</si>
  <si>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</si>
  <si>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</si>
  <si>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</si>
  <si>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</si>
  <si>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</si>
  <si>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</si>
  <si>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</si>
  <si>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</si>
  <si>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</si>
  <si>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</si>
  <si>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</si>
  <si>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</si>
  <si>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</si>
  <si>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</si>
  <si>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</si>
  <si>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</si>
  <si>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</si>
  <si>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</si>
  <si>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</si>
  <si>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</si>
  <si>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</si>
  <si>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</si>
  <si>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</si>
  <si>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</si>
  <si>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</si>
  <si>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</si>
  <si>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</si>
  <si>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</si>
  <si>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</si>
  <si>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</si>
  <si>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</si>
  <si>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</si>
  <si>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</si>
  <si>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</si>
  <si>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</si>
  <si>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</si>
  <si>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</si>
  <si>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</si>
  <si>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</si>
  <si>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</si>
  <si>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</si>
  <si>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</si>
  <si>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</si>
  <si>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</si>
  <si>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</si>
  <si>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</si>
  <si>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</si>
  <si>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</si>
  <si>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</si>
  <si>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</si>
  <si>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</si>
  <si>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</si>
  <si>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</si>
  <si>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</si>
  <si>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</si>
  <si>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</si>
  <si>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</si>
  <si>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</si>
  <si>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</si>
  <si>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</si>
  <si>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</si>
  <si>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</si>
  <si>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</si>
  <si>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</si>
  <si>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</si>
  <si>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</si>
  <si>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</si>
  <si>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</si>
  <si>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</si>
  <si>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</si>
  <si>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</si>
  <si>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</si>
  <si>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</si>
  <si>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</si>
  <si>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</si>
  <si>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</si>
  <si>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</si>
  <si>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</si>
  <si>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</si>
  <si>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</si>
  <si>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</si>
  <si>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</si>
  <si>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</si>
  <si>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</si>
  <si>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</si>
  <si>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</si>
  <si>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</si>
  <si>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</si>
  <si>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</si>
  <si>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</si>
  <si>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</si>
  <si>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</si>
  <si>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</si>
  <si>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</si>
  <si>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</si>
  <si>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</si>
  <si>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VIZ LIST INVESTICE</t>
  </si>
  <si>
    <t>VIZ 5171-Opravy a udrzování celkem</t>
  </si>
  <si>
    <t>VIZ 5169-nákup služeb celkem</t>
  </si>
  <si>
    <t>VIZ 5139-materiál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</si>
  <si>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</si>
  <si>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</si>
  <si>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</si>
  <si>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</si>
  <si>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</si>
  <si>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</si>
  <si>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</si>
  <si>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</si>
  <si>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</si>
  <si>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</si>
  <si>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</si>
  <si>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</si>
  <si>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</si>
  <si>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</si>
  <si>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</si>
  <si>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</si>
  <si>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</si>
  <si>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</si>
  <si>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</si>
  <si>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</si>
  <si>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</si>
  <si>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</si>
  <si>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</si>
  <si>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</si>
  <si>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</si>
  <si>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</si>
  <si>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</si>
  <si>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</si>
  <si>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</si>
  <si>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</si>
  <si>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</si>
  <si>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</si>
  <si>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</si>
  <si>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</si>
  <si>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</si>
  <si>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</si>
  <si>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</si>
  <si>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</si>
  <si>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</si>
  <si>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</si>
  <si>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</si>
  <si>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</si>
  <si>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</si>
  <si>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</si>
  <si>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</si>
  <si>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</si>
  <si>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</si>
  <si>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</si>
  <si>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</si>
  <si>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</si>
  <si>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</si>
  <si>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</si>
  <si>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</si>
  <si>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</si>
  <si>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</si>
  <si>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</si>
  <si>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</si>
  <si>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</si>
  <si>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</si>
  <si>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</si>
  <si>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</si>
  <si>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</si>
  <si>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</si>
  <si>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</si>
  <si>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</si>
  <si>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</si>
  <si>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</si>
  <si>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</si>
  <si>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</si>
  <si>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</si>
  <si>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</si>
  <si>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</si>
  <si>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</si>
  <si>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</si>
  <si>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</si>
  <si>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</si>
  <si>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</si>
  <si>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</si>
  <si>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</si>
  <si>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</si>
  <si>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</si>
  <si>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</si>
  <si>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</si>
  <si>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</si>
  <si>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</si>
  <si>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</si>
  <si>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</si>
  <si>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</si>
  <si>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</si>
  <si>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</si>
  <si>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</si>
  <si>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</si>
  <si>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</si>
  <si>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</si>
  <si>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</si>
  <si>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</si>
  <si>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</si>
  <si>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</si>
  <si>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</si>
  <si>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</si>
  <si>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</si>
  <si>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</si>
  <si>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</si>
  <si>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</si>
  <si>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</si>
  <si>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</si>
  <si>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</si>
  <si>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</si>
  <si>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</si>
  <si>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</si>
  <si>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</si>
  <si>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</si>
  <si>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</si>
  <si>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</si>
  <si>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</si>
  <si>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</si>
  <si>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</si>
  <si>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</si>
  <si>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</si>
  <si>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</si>
  <si>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</si>
  <si>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</si>
  <si>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</si>
  <si>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</si>
  <si>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</si>
  <si>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</si>
  <si>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</si>
  <si>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</si>
  <si>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</si>
  <si>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</si>
  <si>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</si>
  <si>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</si>
  <si>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</si>
  <si>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</si>
  <si>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</si>
  <si>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</si>
  <si>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</si>
  <si>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 xml:space="preserve"> OC pražská, 13 080 000 Zálesi</t>
  </si>
  <si>
    <t>RO Č.5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</si>
  <si>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</si>
  <si>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</si>
  <si>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</si>
  <si>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</si>
  <si>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</si>
  <si>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</si>
  <si>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</si>
  <si>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</si>
  <si>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</si>
  <si>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</si>
  <si>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spider svahová sekačka , MONTÁŽNÍ VOZIDLO vAk</t>
  </si>
  <si>
    <t>%  správa</t>
  </si>
  <si>
    <t>% správa</t>
  </si>
  <si>
    <t>mzdy</t>
  </si>
  <si>
    <t>flokulant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</si>
  <si>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</si>
  <si>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% Správa</t>
  </si>
  <si>
    <t>Nákup - voda</t>
  </si>
  <si>
    <t>Energie(plyn, elektřina)</t>
  </si>
  <si>
    <t>Pohonné hmoty a maziva</t>
  </si>
  <si>
    <t>Neinvest. výdaje (bez osobních nákladů)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</si>
  <si>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</si>
  <si>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</si>
  <si>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</si>
  <si>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</si>
  <si>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</si>
  <si>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</si>
  <si>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</si>
  <si>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</si>
  <si>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</si>
  <si>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</si>
  <si>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</si>
  <si>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</si>
  <si>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</si>
  <si>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</si>
  <si>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</si>
  <si>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</si>
  <si>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</si>
  <si>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VIZ LIST 5331-Neinvest.přísp.org. ZŠ</t>
  </si>
  <si>
    <t>participativní rozpočet - pojekty</t>
  </si>
  <si>
    <t>pozemek pro svazkovou školu</t>
  </si>
  <si>
    <t>RO č.2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</si>
  <si>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</si>
  <si>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</si>
  <si>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</si>
  <si>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</si>
  <si>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</si>
  <si>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</si>
  <si>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</si>
  <si>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</si>
  <si>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</si>
  <si>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</si>
  <si>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</si>
  <si>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</si>
  <si>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</si>
  <si>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</si>
  <si>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Pečovatelská sl. - příspěvek KÚ</t>
  </si>
  <si>
    <t>Neinvestiční přijaté dotace od obcí  PS</t>
  </si>
  <si>
    <t>Kapitálové výdaje  2023_ projekty</t>
  </si>
  <si>
    <t>Z rozpočtu na investice</t>
  </si>
  <si>
    <t>Příjem</t>
  </si>
  <si>
    <t>přesun do pol. 6122</t>
  </si>
  <si>
    <t>Př. Z DPPO, kdy popl. je obec</t>
  </si>
  <si>
    <t>dotace KÚ ZŠ J.A. Komenský</t>
  </si>
  <si>
    <t>přijaté sankce od jiných osob</t>
  </si>
  <si>
    <t>jistina</t>
  </si>
  <si>
    <t>Integrace CRŘ</t>
  </si>
  <si>
    <t>dotace KÚ ZŠ J.A. Komenský ZŠ</t>
  </si>
  <si>
    <t>přesun do pol. 5222</t>
  </si>
  <si>
    <t>přesun z pol. 5492</t>
  </si>
  <si>
    <t>jistina Exafin - výpustek</t>
  </si>
  <si>
    <t>neiveestiční příspěvky KÚ UA</t>
  </si>
  <si>
    <t>neinvestiční příspěvky KÚ - UA</t>
  </si>
  <si>
    <t>Exafin Výpustek+ostatní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</si>
  <si>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</si>
  <si>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</si>
  <si>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</si>
  <si>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</si>
  <si>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</si>
  <si>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</si>
  <si>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</si>
  <si>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</si>
  <si>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</si>
  <si>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</si>
  <si>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</si>
  <si>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</si>
  <si>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</si>
  <si>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</si>
  <si>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</si>
  <si>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</si>
  <si>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</si>
  <si>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</si>
  <si>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</si>
  <si>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</si>
  <si>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</si>
  <si>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</si>
  <si>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nerezových profilů tvaru L 60/40/2mm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</si>
</sst>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D828B2"/>
      <name val="Courier New"/>
      <family val="3"/>
      <charset val="238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59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43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7" fontId="58" fillId="31" borderId="38" xfId="0" applyNumberFormat="1" applyFont="1" applyFill="1" applyBorder="1"/>
    <xf numFmtId="167" fontId="58" fillId="31" borderId="0" xfId="0" applyNumberFormat="1" applyFont="1" applyFill="1"/>
    <xf numFmtId="0" fontId="58" fillId="31" borderId="25" xfId="0" applyFont="1" applyFill="1" applyBorder="1"/>
    <xf numFmtId="167" fontId="58" fillId="31" borderId="25" xfId="0" applyNumberFormat="1" applyFont="1" applyFill="1" applyBorder="1"/>
    <xf numFmtId="167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7" fontId="62" fillId="29" borderId="38" xfId="0" applyNumberFormat="1" applyFont="1" applyFill="1" applyBorder="1"/>
    <xf numFmtId="167" fontId="62" fillId="29" borderId="0" xfId="0" applyNumberFormat="1" applyFont="1" applyFill="1"/>
    <xf numFmtId="167" fontId="62" fillId="29" borderId="69" xfId="0" applyNumberFormat="1" applyFont="1" applyFill="1" applyBorder="1"/>
    <xf numFmtId="167" fontId="58" fillId="0" borderId="0" xfId="0" applyNumberFormat="1" applyFont="1"/>
    <xf numFmtId="167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7" fontId="62" fillId="28" borderId="38" xfId="0" applyNumberFormat="1" applyFont="1" applyFill="1" applyBorder="1"/>
    <xf numFmtId="167" fontId="62" fillId="28" borderId="39" xfId="0" applyNumberFormat="1" applyFont="1" applyFill="1" applyBorder="1"/>
    <xf numFmtId="0" fontId="62" fillId="28" borderId="25" xfId="0" applyFont="1" applyFill="1" applyBorder="1"/>
    <xf numFmtId="167" fontId="62" fillId="28" borderId="25" xfId="0" applyNumberFormat="1" applyFont="1" applyFill="1" applyBorder="1"/>
    <xf numFmtId="167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7" fontId="62" fillId="28" borderId="51" xfId="0" applyNumberFormat="1" applyFont="1" applyFill="1" applyBorder="1"/>
    <xf numFmtId="167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7" fontId="58" fillId="28" borderId="38" xfId="0" applyNumberFormat="1" applyFont="1" applyFill="1" applyBorder="1"/>
    <xf numFmtId="167" fontId="58" fillId="28" borderId="39" xfId="0" applyNumberFormat="1" applyFont="1" applyFill="1" applyBorder="1"/>
    <xf numFmtId="167" fontId="58" fillId="28" borderId="51" xfId="0" applyNumberFormat="1" applyFont="1" applyFill="1" applyBorder="1"/>
    <xf numFmtId="167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7" fontId="58" fillId="31" borderId="61" xfId="0" applyNumberFormat="1" applyFont="1" applyFill="1" applyBorder="1"/>
    <xf numFmtId="0" fontId="62" fillId="31" borderId="51" xfId="0" applyFont="1" applyFill="1" applyBorder="1"/>
    <xf numFmtId="167" fontId="58" fillId="31" borderId="51" xfId="0" applyNumberFormat="1" applyFont="1" applyFill="1" applyBorder="1"/>
    <xf numFmtId="167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4" fontId="39" fillId="0" borderId="0" xfId="0" applyNumberFormat="1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4" fillId="29" borderId="53" xfId="7" applyNumberFormat="1" applyFont="1" applyFill="1" applyBorder="1" applyAlignment="1">
      <alignment horizontal="right"/>
    </xf>
    <xf numFmtId="3" fontId="72" fillId="29" borderId="53" xfId="7" applyNumberFormat="1" applyFont="1" applyFill="1" applyBorder="1" applyAlignment="1">
      <alignment horizontal="right"/>
    </xf>
    <xf numFmtId="3" fontId="73" fillId="29" borderId="53" xfId="7" applyNumberFormat="1" applyFont="1" applyFill="1" applyBorder="1" applyAlignment="1">
      <alignment horizontal="right"/>
    </xf>
    <xf numFmtId="3" fontId="64" fillId="29" borderId="53" xfId="7" applyNumberFormat="1" applyFont="1" applyFill="1" applyBorder="1" applyAlignment="1">
      <alignment horizontal="center"/>
    </xf>
    <xf numFmtId="3" fontId="38" fillId="29" borderId="53" xfId="7" applyNumberFormat="1" applyFont="1" applyFill="1" applyBorder="1" applyAlignment="1">
      <alignment horizontal="right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64" fillId="29" borderId="3" xfId="7" applyNumberFormat="1" applyFont="1" applyFill="1" applyBorder="1" applyAlignment="1">
      <alignment horizontal="right"/>
    </xf>
    <xf numFmtId="3" fontId="72" fillId="29" borderId="3" xfId="7" applyNumberFormat="1" applyFont="1" applyFill="1" applyBorder="1" applyAlignment="1">
      <alignment horizontal="right"/>
    </xf>
    <xf numFmtId="3" fontId="73" fillId="29" borderId="3" xfId="7" applyNumberFormat="1" applyFont="1" applyFill="1" applyBorder="1" applyAlignment="1">
      <alignment horizontal="right"/>
    </xf>
    <xf numFmtId="3" fontId="64" fillId="29" borderId="3" xfId="7" applyNumberFormat="1" applyFont="1" applyFill="1" applyBorder="1" applyAlignment="1">
      <alignment horizontal="center"/>
    </xf>
    <xf numFmtId="3" fontId="38" fillId="29" borderId="3" xfId="7" applyNumberFormat="1" applyFont="1" applyFill="1" applyBorder="1" applyAlignment="1">
      <alignment horizontal="right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20" xfId="0" applyFont="1" applyBorder="1" applyAlignment="1">
      <alignment horizontal="center"/>
    </xf>
    <xf numFmtId="0" fontId="65" fillId="0" borderId="13" xfId="0" applyFont="1" applyBorder="1"/>
    <xf numFmtId="0" fontId="95" fillId="4" borderId="60" xfId="0" applyFont="1" applyFill="1" applyBorder="1"/>
    <xf numFmtId="0" fontId="95" fillId="4" borderId="20" xfId="0" applyFont="1" applyFill="1" applyBorder="1"/>
    <xf numFmtId="0" fontId="95" fillId="4" borderId="13" xfId="0" applyFont="1" applyFill="1" applyBorder="1"/>
    <xf numFmtId="0" fontId="96" fillId="11" borderId="20" xfId="0" applyFont="1" applyFill="1" applyBorder="1"/>
    <xf numFmtId="0" fontId="96" fillId="11" borderId="13" xfId="0" applyFont="1" applyFill="1" applyBorder="1"/>
    <xf numFmtId="0" fontId="75" fillId="0" borderId="13" xfId="0" applyFont="1" applyBorder="1"/>
    <xf numFmtId="0" fontId="65" fillId="0" borderId="60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38" xfId="0" applyNumberFormat="1" applyFont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3" fontId="33" fillId="4" borderId="27" xfId="0" applyNumberFormat="1" applyFont="1" applyFill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14" fontId="11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3" fontId="103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0" borderId="71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3" fontId="39" fillId="0" borderId="26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49" fontId="38" fillId="0" borderId="12" xfId="7" applyNumberFormat="1" applyFont="1" applyBorder="1" applyAlignment="1">
      <alignment horizontal="left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43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3" fontId="87" fillId="5" borderId="12" xfId="0" applyNumberFormat="1" applyFont="1" applyFill="1" applyBorder="1" applyAlignment="1">
      <alignment vertical="center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36" xfId="0" applyNumberFormat="1" applyFont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3" fontId="64" fillId="0" borderId="1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56" xfId="0" applyNumberFormat="1" applyFont="1" applyBorder="1" applyAlignment="1">
      <alignment horizontal="center" vertical="center" wrapText="1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8" fontId="11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3" fontId="38" fillId="9" borderId="11" xfId="0" applyNumberFormat="1" applyFont="1" applyFill="1" applyBorder="1"/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5" fillId="4" borderId="0" xfId="0" applyNumberFormat="1" applyFont="1" applyFill="1"/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36" xfId="0" applyNumberFormat="1" applyFont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59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110" fillId="0" borderId="0" xfId="15" applyFont="1"/>
    <xf numFmtId="0" fontId="127" fillId="2" borderId="2" xfId="5" applyFont="1" applyFill="1" applyBorder="1" applyAlignment="1">
      <alignment horizontal="center" vertical="center"/>
    </xf>
    <xf numFmtId="0" fontId="127" fillId="2" borderId="56" xfId="5" applyFont="1" applyFill="1" applyBorder="1" applyAlignment="1">
      <alignment vertical="center"/>
    </xf>
    <xf numFmtId="0" fontId="127" fillId="4" borderId="3" xfId="5" applyFont="1" applyFill="1" applyBorder="1" applyAlignment="1">
      <alignment horizontal="center" vertical="center" wrapText="1"/>
    </xf>
    <xf numFmtId="3" fontId="127" fillId="7" borderId="16" xfId="5" applyNumberFormat="1" applyFont="1" applyFill="1" applyBorder="1" applyAlignment="1">
      <alignment horizontal="center" vertical="center" wrapText="1"/>
    </xf>
    <xf numFmtId="3" fontId="127" fillId="2" borderId="20" xfId="5" applyNumberFormat="1" applyFont="1" applyFill="1" applyBorder="1" applyAlignment="1">
      <alignment horizontal="center" vertical="center" wrapText="1"/>
    </xf>
    <xf numFmtId="3" fontId="127" fillId="2" borderId="13" xfId="5" applyNumberFormat="1" applyFont="1" applyFill="1" applyBorder="1" applyAlignment="1">
      <alignment horizontal="center" vertical="center" wrapText="1"/>
    </xf>
    <xf numFmtId="3" fontId="127" fillId="2" borderId="46" xfId="5" applyNumberFormat="1" applyFont="1" applyFill="1" applyBorder="1" applyAlignment="1">
      <alignment horizontal="center" vertical="center" wrapText="1"/>
    </xf>
    <xf numFmtId="3" fontId="127" fillId="2" borderId="60" xfId="5" applyNumberFormat="1" applyFont="1" applyFill="1" applyBorder="1" applyAlignment="1">
      <alignment horizontal="center" vertical="center" wrapText="1"/>
    </xf>
    <xf numFmtId="3" fontId="127" fillId="2" borderId="71" xfId="5" applyNumberFormat="1" applyFont="1" applyFill="1" applyBorder="1" applyAlignment="1">
      <alignment horizontal="center" vertical="center" wrapText="1"/>
    </xf>
    <xf numFmtId="0" fontId="2" fillId="0" borderId="0" xfId="15"/>
    <xf numFmtId="0" fontId="127" fillId="3" borderId="18" xfId="15" applyFont="1" applyFill="1" applyBorder="1" applyAlignment="1">
      <alignment horizontal="center"/>
    </xf>
    <xf numFmtId="0" fontId="127" fillId="3" borderId="31" xfId="15" applyFont="1" applyFill="1" applyBorder="1"/>
    <xf numFmtId="3" fontId="127" fillId="4" borderId="16" xfId="15" applyNumberFormat="1" applyFont="1" applyFill="1" applyBorder="1" applyAlignment="1">
      <alignment wrapText="1"/>
    </xf>
    <xf numFmtId="3" fontId="127" fillId="7" borderId="16" xfId="15" applyNumberFormat="1" applyFont="1" applyFill="1" applyBorder="1" applyAlignment="1">
      <alignment wrapText="1"/>
    </xf>
    <xf numFmtId="3" fontId="127" fillId="3" borderId="20" xfId="15" applyNumberFormat="1" applyFont="1" applyFill="1" applyBorder="1" applyAlignment="1">
      <alignment wrapText="1"/>
    </xf>
    <xf numFmtId="3" fontId="127" fillId="3" borderId="31" xfId="15" applyNumberFormat="1" applyFont="1" applyFill="1" applyBorder="1" applyAlignment="1">
      <alignment wrapText="1"/>
    </xf>
    <xf numFmtId="0" fontId="129" fillId="3" borderId="43" xfId="15" applyFont="1" applyFill="1" applyBorder="1" applyAlignment="1">
      <alignment horizontal="left"/>
    </xf>
    <xf numFmtId="3" fontId="127" fillId="4" borderId="10" xfId="15" applyNumberFormat="1" applyFont="1" applyFill="1" applyBorder="1" applyAlignment="1">
      <alignment wrapText="1"/>
    </xf>
    <xf numFmtId="3" fontId="127" fillId="7" borderId="10" xfId="15" applyNumberFormat="1" applyFont="1" applyFill="1" applyBorder="1" applyAlignment="1">
      <alignment wrapText="1"/>
    </xf>
    <xf numFmtId="3" fontId="127" fillId="3" borderId="42" xfId="15" applyNumberFormat="1" applyFont="1" applyFill="1" applyBorder="1" applyAlignment="1">
      <alignment wrapText="1"/>
    </xf>
    <xf numFmtId="3" fontId="127" fillId="3" borderId="25" xfId="15" applyNumberFormat="1" applyFont="1" applyFill="1" applyBorder="1" applyAlignment="1">
      <alignment wrapText="1"/>
    </xf>
    <xf numFmtId="3" fontId="127" fillId="3" borderId="27" xfId="15" applyNumberFormat="1" applyFont="1" applyFill="1" applyBorder="1" applyAlignment="1">
      <alignment wrapText="1"/>
    </xf>
    <xf numFmtId="0" fontId="129" fillId="3" borderId="27" xfId="15" applyFont="1" applyFill="1" applyBorder="1" applyAlignment="1">
      <alignment horizontal="left"/>
    </xf>
    <xf numFmtId="3" fontId="127" fillId="7" borderId="17" xfId="15" applyNumberFormat="1" applyFont="1" applyFill="1" applyBorder="1" applyAlignment="1">
      <alignment wrapText="1"/>
    </xf>
    <xf numFmtId="3" fontId="127" fillId="3" borderId="14" xfId="15" applyNumberFormat="1" applyFont="1" applyFill="1" applyBorder="1" applyAlignment="1">
      <alignment wrapText="1"/>
    </xf>
    <xf numFmtId="3" fontId="127" fillId="3" borderId="43" xfId="15" applyNumberFormat="1" applyFont="1" applyFill="1" applyBorder="1" applyAlignment="1">
      <alignment wrapText="1"/>
    </xf>
    <xf numFmtId="0" fontId="129" fillId="5" borderId="27" xfId="15" applyFont="1" applyFill="1" applyBorder="1" applyAlignment="1">
      <alignment horizontal="left"/>
    </xf>
    <xf numFmtId="3" fontId="127" fillId="4" borderId="10" xfId="15" applyNumberFormat="1" applyFont="1" applyFill="1" applyBorder="1"/>
    <xf numFmtId="3" fontId="127" fillId="7" borderId="10" xfId="15" applyNumberFormat="1" applyFont="1" applyFill="1" applyBorder="1"/>
    <xf numFmtId="3" fontId="127" fillId="5" borderId="42" xfId="15" applyNumberFormat="1" applyFont="1" applyFill="1" applyBorder="1"/>
    <xf numFmtId="3" fontId="127" fillId="5" borderId="25" xfId="15" applyNumberFormat="1" applyFont="1" applyFill="1" applyBorder="1"/>
    <xf numFmtId="3" fontId="127" fillId="5" borderId="47" xfId="15" applyNumberFormat="1" applyFont="1" applyFill="1" applyBorder="1"/>
    <xf numFmtId="3" fontId="127" fillId="5" borderId="27" xfId="15" applyNumberFormat="1" applyFont="1" applyFill="1" applyBorder="1"/>
    <xf numFmtId="0" fontId="129" fillId="5" borderId="27" xfId="15" applyFont="1" applyFill="1" applyBorder="1" applyAlignment="1">
      <alignment horizontal="left" vertical="top"/>
    </xf>
    <xf numFmtId="3" fontId="128" fillId="4" borderId="10" xfId="15" applyNumberFormat="1" applyFont="1" applyFill="1" applyBorder="1"/>
    <xf numFmtId="3" fontId="127" fillId="7" borderId="11" xfId="15" applyNumberFormat="1" applyFont="1" applyFill="1" applyBorder="1"/>
    <xf numFmtId="3" fontId="127" fillId="0" borderId="14" xfId="15" applyNumberFormat="1" applyFont="1" applyBorder="1"/>
    <xf numFmtId="3" fontId="127" fillId="0" borderId="47" xfId="15" applyNumberFormat="1" applyFont="1" applyBorder="1"/>
    <xf numFmtId="0" fontId="127" fillId="3" borderId="27" xfId="15" applyFont="1" applyFill="1" applyBorder="1"/>
    <xf numFmtId="3" fontId="130" fillId="11" borderId="10" xfId="15" applyNumberFormat="1" applyFont="1" applyFill="1" applyBorder="1"/>
    <xf numFmtId="3" fontId="127" fillId="11" borderId="10" xfId="15" applyNumberFormat="1" applyFont="1" applyFill="1" applyBorder="1"/>
    <xf numFmtId="3" fontId="130" fillId="11" borderId="42" xfId="15" applyNumberFormat="1" applyFont="1" applyFill="1" applyBorder="1"/>
    <xf numFmtId="3" fontId="130" fillId="5" borderId="42" xfId="15" applyNumberFormat="1" applyFont="1" applyFill="1" applyBorder="1"/>
    <xf numFmtId="3" fontId="128" fillId="7" borderId="10" xfId="15" applyNumberFormat="1" applyFont="1" applyFill="1" applyBorder="1"/>
    <xf numFmtId="3" fontId="128" fillId="5" borderId="14" xfId="15" applyNumberFormat="1" applyFont="1" applyFill="1" applyBorder="1"/>
    <xf numFmtId="3" fontId="128" fillId="5" borderId="42" xfId="15" applyNumberFormat="1" applyFont="1" applyFill="1" applyBorder="1"/>
    <xf numFmtId="3" fontId="128" fillId="5" borderId="43" xfId="15" applyNumberFormat="1" applyFont="1" applyFill="1" applyBorder="1"/>
    <xf numFmtId="0" fontId="49" fillId="5" borderId="27" xfId="15" applyFont="1" applyFill="1" applyBorder="1" applyAlignment="1">
      <alignment horizontal="left"/>
    </xf>
    <xf numFmtId="0" fontId="127" fillId="3" borderId="23" xfId="15" applyFont="1" applyFill="1" applyBorder="1" applyAlignment="1">
      <alignment horizontal="center"/>
    </xf>
    <xf numFmtId="0" fontId="127" fillId="3" borderId="7" xfId="15" applyFont="1" applyFill="1" applyBorder="1" applyAlignment="1">
      <alignment horizontal="left"/>
    </xf>
    <xf numFmtId="0" fontId="127" fillId="5" borderId="23" xfId="15" applyFont="1" applyFill="1" applyBorder="1" applyAlignment="1">
      <alignment horizontal="center"/>
    </xf>
    <xf numFmtId="0" fontId="129" fillId="5" borderId="7" xfId="15" applyFont="1" applyFill="1" applyBorder="1" applyAlignment="1">
      <alignment horizontal="left"/>
    </xf>
    <xf numFmtId="3" fontId="127" fillId="5" borderId="21" xfId="15" applyNumberFormat="1" applyFont="1" applyFill="1" applyBorder="1"/>
    <xf numFmtId="3" fontId="127" fillId="5" borderId="14" xfId="15" applyNumberFormat="1" applyFont="1" applyFill="1" applyBorder="1"/>
    <xf numFmtId="3" fontId="127" fillId="5" borderId="62" xfId="15" applyNumberFormat="1" applyFont="1" applyFill="1" applyBorder="1"/>
    <xf numFmtId="3" fontId="127" fillId="5" borderId="43" xfId="15" applyNumberFormat="1" applyFont="1" applyFill="1" applyBorder="1"/>
    <xf numFmtId="0" fontId="128" fillId="5" borderId="23" xfId="15" applyFont="1" applyFill="1" applyBorder="1" applyAlignment="1">
      <alignment horizontal="center"/>
    </xf>
    <xf numFmtId="0" fontId="49" fillId="5" borderId="7" xfId="15" applyFont="1" applyFill="1" applyBorder="1" applyAlignment="1">
      <alignment horizontal="left"/>
    </xf>
    <xf numFmtId="3" fontId="128" fillId="7" borderId="11" xfId="15" applyNumberFormat="1" applyFont="1" applyFill="1" applyBorder="1"/>
    <xf numFmtId="3" fontId="128" fillId="5" borderId="21" xfId="15" applyNumberFormat="1" applyFont="1" applyFill="1" applyBorder="1"/>
    <xf numFmtId="3" fontId="128" fillId="5" borderId="62" xfId="15" applyNumberFormat="1" applyFont="1" applyFill="1" applyBorder="1"/>
    <xf numFmtId="0" fontId="127" fillId="3" borderId="7" xfId="15" applyFont="1" applyFill="1" applyBorder="1"/>
    <xf numFmtId="3" fontId="127" fillId="3" borderId="47" xfId="15" applyNumberFormat="1" applyFont="1" applyFill="1" applyBorder="1" applyAlignment="1">
      <alignment wrapText="1"/>
    </xf>
    <xf numFmtId="0" fontId="127" fillId="3" borderId="32" xfId="15" applyFont="1" applyFill="1" applyBorder="1" applyAlignment="1">
      <alignment horizontal="left" wrapText="1"/>
    </xf>
    <xf numFmtId="0" fontId="127" fillId="3" borderId="35" xfId="15" applyFont="1" applyFill="1" applyBorder="1" applyAlignment="1">
      <alignment horizontal="left" wrapText="1"/>
    </xf>
    <xf numFmtId="3" fontId="127" fillId="7" borderId="32" xfId="15" applyNumberFormat="1" applyFont="1" applyFill="1" applyBorder="1"/>
    <xf numFmtId="3" fontId="127" fillId="7" borderId="34" xfId="15" applyNumberFormat="1" applyFont="1" applyFill="1" applyBorder="1"/>
    <xf numFmtId="3" fontId="127" fillId="7" borderId="44" xfId="15" applyNumberFormat="1" applyFont="1" applyFill="1" applyBorder="1"/>
    <xf numFmtId="3" fontId="127" fillId="7" borderId="33" xfId="15" applyNumberFormat="1" applyFont="1" applyFill="1" applyBorder="1"/>
    <xf numFmtId="0" fontId="127" fillId="0" borderId="59" xfId="15" applyFont="1" applyBorder="1"/>
    <xf numFmtId="0" fontId="129" fillId="0" borderId="0" xfId="15" applyFont="1"/>
    <xf numFmtId="3" fontId="127" fillId="0" borderId="0" xfId="15" applyNumberFormat="1" applyFont="1"/>
    <xf numFmtId="9" fontId="127" fillId="0" borderId="38" xfId="16" applyFont="1" applyBorder="1"/>
    <xf numFmtId="0" fontId="129" fillId="3" borderId="31" xfId="15" applyFont="1" applyFill="1" applyBorder="1"/>
    <xf numFmtId="3" fontId="127" fillId="4" borderId="16" xfId="15" applyNumberFormat="1" applyFont="1" applyFill="1" applyBorder="1"/>
    <xf numFmtId="3" fontId="127" fillId="7" borderId="16" xfId="15" applyNumberFormat="1" applyFont="1" applyFill="1" applyBorder="1"/>
    <xf numFmtId="3" fontId="127" fillId="5" borderId="18" xfId="15" applyNumberFormat="1" applyFont="1" applyFill="1" applyBorder="1"/>
    <xf numFmtId="3" fontId="127" fillId="5" borderId="13" xfId="15" applyNumberFormat="1" applyFont="1" applyFill="1" applyBorder="1"/>
    <xf numFmtId="3" fontId="127" fillId="5" borderId="60" xfId="15" applyNumberFormat="1" applyFont="1" applyFill="1" applyBorder="1"/>
    <xf numFmtId="0" fontId="129" fillId="3" borderId="7" xfId="15" applyFont="1" applyFill="1" applyBorder="1"/>
    <xf numFmtId="0" fontId="128" fillId="3" borderId="23" xfId="15" applyFont="1" applyFill="1" applyBorder="1" applyAlignment="1">
      <alignment horizontal="center"/>
    </xf>
    <xf numFmtId="0" fontId="49" fillId="3" borderId="7" xfId="15" applyFont="1" applyFill="1" applyBorder="1"/>
    <xf numFmtId="0" fontId="127" fillId="3" borderId="32" xfId="15" applyFont="1" applyFill="1" applyBorder="1" applyAlignment="1">
      <alignment horizontal="center" wrapText="1"/>
    </xf>
    <xf numFmtId="0" fontId="127" fillId="3" borderId="33" xfId="15" applyFont="1" applyFill="1" applyBorder="1"/>
    <xf numFmtId="3" fontId="127" fillId="3" borderId="48" xfId="15" applyNumberFormat="1" applyFont="1" applyFill="1" applyBorder="1"/>
    <xf numFmtId="3" fontId="127" fillId="3" borderId="40" xfId="15" applyNumberFormat="1" applyFont="1" applyFill="1" applyBorder="1"/>
    <xf numFmtId="3" fontId="127" fillId="3" borderId="37" xfId="15" applyNumberFormat="1" applyFont="1" applyFill="1" applyBorder="1"/>
    <xf numFmtId="3" fontId="127" fillId="3" borderId="33" xfId="15" applyNumberFormat="1" applyFont="1" applyFill="1" applyBorder="1"/>
    <xf numFmtId="0" fontId="129" fillId="3" borderId="23" xfId="15" applyFont="1" applyFill="1" applyBorder="1" applyAlignment="1">
      <alignment horizontal="center"/>
    </xf>
    <xf numFmtId="3" fontId="127" fillId="3" borderId="18" xfId="15" applyNumberFormat="1" applyFont="1" applyFill="1" applyBorder="1" applyAlignment="1">
      <alignment wrapText="1"/>
    </xf>
    <xf numFmtId="3" fontId="127" fillId="3" borderId="13" xfId="15" applyNumberFormat="1" applyFont="1" applyFill="1" applyBorder="1" applyAlignment="1">
      <alignment wrapText="1"/>
    </xf>
    <xf numFmtId="3" fontId="127" fillId="3" borderId="60" xfId="15" applyNumberFormat="1" applyFont="1" applyFill="1" applyBorder="1" applyAlignment="1">
      <alignment wrapText="1"/>
    </xf>
    <xf numFmtId="0" fontId="129" fillId="5" borderId="23" xfId="15" applyFont="1" applyFill="1" applyBorder="1" applyAlignment="1">
      <alignment horizontal="center"/>
    </xf>
    <xf numFmtId="0" fontId="129" fillId="5" borderId="7" xfId="15" applyFont="1" applyFill="1" applyBorder="1"/>
    <xf numFmtId="3" fontId="127" fillId="0" borderId="21" xfId="15" applyNumberFormat="1" applyFont="1" applyBorder="1"/>
    <xf numFmtId="3" fontId="127" fillId="0" borderId="62" xfId="15" applyNumberFormat="1" applyFont="1" applyBorder="1"/>
    <xf numFmtId="3" fontId="127" fillId="0" borderId="70" xfId="15" applyNumberFormat="1" applyFont="1" applyBorder="1"/>
    <xf numFmtId="3" fontId="127" fillId="0" borderId="43" xfId="15" applyNumberFormat="1" applyFont="1" applyBorder="1"/>
    <xf numFmtId="3" fontId="127" fillId="3" borderId="19" xfId="15" applyNumberFormat="1" applyFont="1" applyFill="1" applyBorder="1" applyAlignment="1">
      <alignment wrapText="1"/>
    </xf>
    <xf numFmtId="3" fontId="127" fillId="5" borderId="7" xfId="15" applyNumberFormat="1" applyFont="1" applyFill="1" applyBorder="1"/>
    <xf numFmtId="3" fontId="127" fillId="3" borderId="26" xfId="15" applyNumberFormat="1" applyFont="1" applyFill="1" applyBorder="1" applyAlignment="1">
      <alignment wrapText="1"/>
    </xf>
    <xf numFmtId="3" fontId="127" fillId="11" borderId="11" xfId="15" applyNumberFormat="1" applyFont="1" applyFill="1" applyBorder="1"/>
    <xf numFmtId="3" fontId="127" fillId="11" borderId="14" xfId="15" applyNumberFormat="1" applyFont="1" applyFill="1" applyBorder="1" applyAlignment="1">
      <alignment wrapText="1"/>
    </xf>
    <xf numFmtId="3" fontId="127" fillId="11" borderId="43" xfId="15" applyNumberFormat="1" applyFont="1" applyFill="1" applyBorder="1" applyAlignment="1">
      <alignment wrapText="1"/>
    </xf>
    <xf numFmtId="3" fontId="128" fillId="3" borderId="14" xfId="15" applyNumberFormat="1" applyFont="1" applyFill="1" applyBorder="1" applyAlignment="1">
      <alignment wrapText="1"/>
    </xf>
    <xf numFmtId="3" fontId="128" fillId="3" borderId="47" xfId="15" applyNumberFormat="1" applyFont="1" applyFill="1" applyBorder="1" applyAlignment="1">
      <alignment wrapText="1"/>
    </xf>
    <xf numFmtId="3" fontId="128" fillId="3" borderId="27" xfId="15" applyNumberFormat="1" applyFont="1" applyFill="1" applyBorder="1" applyAlignment="1">
      <alignment wrapText="1"/>
    </xf>
    <xf numFmtId="3" fontId="127" fillId="11" borderId="42" xfId="15" applyNumberFormat="1" applyFont="1" applyFill="1" applyBorder="1"/>
    <xf numFmtId="3" fontId="127" fillId="11" borderId="7" xfId="15" applyNumberFormat="1" applyFont="1" applyFill="1" applyBorder="1"/>
    <xf numFmtId="3" fontId="127" fillId="11" borderId="42" xfId="15" applyNumberFormat="1" applyFont="1" applyFill="1" applyBorder="1" applyAlignment="1">
      <alignment wrapText="1"/>
    </xf>
    <xf numFmtId="3" fontId="127" fillId="11" borderId="7" xfId="15" applyNumberFormat="1" applyFont="1" applyFill="1" applyBorder="1" applyAlignment="1">
      <alignment wrapText="1"/>
    </xf>
    <xf numFmtId="3" fontId="127" fillId="3" borderId="35" xfId="15" applyNumberFormat="1" applyFont="1" applyFill="1" applyBorder="1"/>
    <xf numFmtId="3" fontId="127" fillId="4" borderId="57" xfId="15" applyNumberFormat="1" applyFont="1" applyFill="1" applyBorder="1"/>
    <xf numFmtId="3" fontId="127" fillId="4" borderId="0" xfId="15" applyNumberFormat="1" applyFont="1" applyFill="1"/>
    <xf numFmtId="3" fontId="127" fillId="4" borderId="13" xfId="15" applyNumberFormat="1" applyFont="1" applyFill="1" applyBorder="1"/>
    <xf numFmtId="3" fontId="127" fillId="7" borderId="36" xfId="15" applyNumberFormat="1" applyFont="1" applyFill="1" applyBorder="1"/>
    <xf numFmtId="3" fontId="127" fillId="4" borderId="69" xfId="15" applyNumberFormat="1" applyFont="1" applyFill="1" applyBorder="1"/>
    <xf numFmtId="3" fontId="127" fillId="4" borderId="61" xfId="15" applyNumberFormat="1" applyFont="1" applyFill="1" applyBorder="1"/>
    <xf numFmtId="0" fontId="129" fillId="0" borderId="23" xfId="15" applyFont="1" applyBorder="1" applyAlignment="1">
      <alignment horizontal="center"/>
    </xf>
    <xf numFmtId="0" fontId="129" fillId="0" borderId="7" xfId="15" applyFont="1" applyBorder="1"/>
    <xf numFmtId="0" fontId="127" fillId="3" borderId="2" xfId="15" applyFont="1" applyFill="1" applyBorder="1" applyAlignment="1">
      <alignment horizontal="left" wrapText="1"/>
    </xf>
    <xf numFmtId="3" fontId="127" fillId="7" borderId="3" xfId="15" applyNumberFormat="1" applyFont="1" applyFill="1" applyBorder="1"/>
    <xf numFmtId="3" fontId="127" fillId="3" borderId="22" xfId="15" applyNumberFormat="1" applyFont="1" applyFill="1" applyBorder="1"/>
    <xf numFmtId="3" fontId="127" fillId="3" borderId="6" xfId="15" applyNumberFormat="1" applyFont="1" applyFill="1" applyBorder="1"/>
    <xf numFmtId="0" fontId="127" fillId="4" borderId="2" xfId="5" applyFont="1" applyFill="1" applyBorder="1" applyAlignment="1">
      <alignment horizontal="center" vertical="center" wrapText="1"/>
    </xf>
    <xf numFmtId="3" fontId="127" fillId="7" borderId="96" xfId="5" applyNumberFormat="1" applyFont="1" applyFill="1" applyBorder="1" applyAlignment="1">
      <alignment horizontal="center" vertical="center" wrapText="1"/>
    </xf>
    <xf numFmtId="0" fontId="127" fillId="3" borderId="6" xfId="15" applyFont="1" applyFill="1" applyBorder="1"/>
    <xf numFmtId="3" fontId="127" fillId="4" borderId="2" xfId="15" applyNumberFormat="1" applyFont="1" applyFill="1" applyBorder="1" applyAlignment="1">
      <alignment wrapText="1"/>
    </xf>
    <xf numFmtId="3" fontId="127" fillId="4" borderId="97" xfId="15" applyNumberFormat="1" applyFont="1" applyFill="1" applyBorder="1" applyAlignment="1">
      <alignment wrapText="1"/>
    </xf>
    <xf numFmtId="3" fontId="127" fillId="3" borderId="22" xfId="15" applyNumberFormat="1" applyFont="1" applyFill="1" applyBorder="1" applyAlignment="1">
      <alignment wrapText="1"/>
    </xf>
    <xf numFmtId="3" fontId="127" fillId="4" borderId="3" xfId="15" applyNumberFormat="1" applyFont="1" applyFill="1" applyBorder="1" applyAlignment="1">
      <alignment wrapText="1"/>
    </xf>
    <xf numFmtId="3" fontId="127" fillId="3" borderId="6" xfId="15" applyNumberFormat="1" applyFont="1" applyFill="1" applyBorder="1" applyAlignment="1">
      <alignment wrapText="1"/>
    </xf>
    <xf numFmtId="3" fontId="127" fillId="4" borderId="17" xfId="15" applyNumberFormat="1" applyFont="1" applyFill="1" applyBorder="1" applyAlignment="1">
      <alignment wrapText="1"/>
    </xf>
    <xf numFmtId="3" fontId="127" fillId="4" borderId="98" xfId="15" applyNumberFormat="1" applyFont="1" applyFill="1" applyBorder="1" applyAlignment="1">
      <alignment wrapText="1"/>
    </xf>
    <xf numFmtId="3" fontId="127" fillId="4" borderId="11" xfId="15" applyNumberFormat="1" applyFont="1" applyFill="1" applyBorder="1"/>
    <xf numFmtId="0" fontId="127" fillId="3" borderId="40" xfId="15" applyFont="1" applyFill="1" applyBorder="1" applyAlignment="1">
      <alignment horizontal="center"/>
    </xf>
    <xf numFmtId="0" fontId="127" fillId="3" borderId="39" xfId="15" applyFont="1" applyFill="1" applyBorder="1" applyAlignment="1">
      <alignment horizontal="left"/>
    </xf>
    <xf numFmtId="3" fontId="127" fillId="4" borderId="59" xfId="15" applyNumberFormat="1" applyFont="1" applyFill="1" applyBorder="1" applyAlignment="1">
      <alignment wrapText="1"/>
    </xf>
    <xf numFmtId="3" fontId="127" fillId="4" borderId="99" xfId="15" applyNumberFormat="1" applyFont="1" applyFill="1" applyBorder="1" applyAlignment="1">
      <alignment wrapText="1"/>
    </xf>
    <xf numFmtId="3" fontId="127" fillId="3" borderId="57" xfId="15" applyNumberFormat="1" applyFont="1" applyFill="1" applyBorder="1" applyAlignment="1">
      <alignment wrapText="1"/>
    </xf>
    <xf numFmtId="3" fontId="127" fillId="4" borderId="36" xfId="15" applyNumberFormat="1" applyFont="1" applyFill="1" applyBorder="1" applyAlignment="1">
      <alignment wrapText="1"/>
    </xf>
    <xf numFmtId="0" fontId="127" fillId="3" borderId="6" xfId="15" applyFont="1" applyFill="1" applyBorder="1" applyAlignment="1">
      <alignment horizontal="left" wrapText="1"/>
    </xf>
    <xf numFmtId="3" fontId="127" fillId="4" borderId="30" xfId="15" applyNumberFormat="1" applyFont="1" applyFill="1" applyBorder="1"/>
    <xf numFmtId="3" fontId="127" fillId="4" borderId="3" xfId="15" applyNumberFormat="1" applyFont="1" applyFill="1" applyBorder="1"/>
    <xf numFmtId="3" fontId="127" fillId="4" borderId="6" xfId="15" applyNumberFormat="1" applyFont="1" applyFill="1" applyBorder="1"/>
    <xf numFmtId="3" fontId="127" fillId="0" borderId="38" xfId="15" applyNumberFormat="1" applyFont="1" applyBorder="1"/>
    <xf numFmtId="3" fontId="127" fillId="0" borderId="57" xfId="15" applyNumberFormat="1" applyFont="1" applyBorder="1"/>
    <xf numFmtId="3" fontId="127" fillId="0" borderId="69" xfId="15" applyNumberFormat="1" applyFont="1" applyBorder="1"/>
    <xf numFmtId="3" fontId="127" fillId="0" borderId="61" xfId="15" applyNumberFormat="1" applyFont="1" applyBorder="1"/>
    <xf numFmtId="0" fontId="127" fillId="3" borderId="2" xfId="15" applyFont="1" applyFill="1" applyBorder="1" applyAlignment="1">
      <alignment horizontal="center" wrapText="1"/>
    </xf>
    <xf numFmtId="0" fontId="127" fillId="3" borderId="56" xfId="15" applyFont="1" applyFill="1" applyBorder="1"/>
    <xf numFmtId="3" fontId="127" fillId="6" borderId="2" xfId="15" applyNumberFormat="1" applyFont="1" applyFill="1" applyBorder="1"/>
    <xf numFmtId="3" fontId="127" fillId="7" borderId="97" xfId="15" applyNumberFormat="1" applyFont="1" applyFill="1" applyBorder="1"/>
    <xf numFmtId="3" fontId="127" fillId="6" borderId="17" xfId="15" applyNumberFormat="1" applyFont="1" applyFill="1" applyBorder="1" applyAlignment="1">
      <alignment wrapText="1"/>
    </xf>
    <xf numFmtId="3" fontId="127" fillId="7" borderId="98" xfId="15" applyNumberFormat="1" applyFont="1" applyFill="1" applyBorder="1" applyAlignment="1">
      <alignment wrapText="1"/>
    </xf>
    <xf numFmtId="3" fontId="127" fillId="7" borderId="98" xfId="15" applyNumberFormat="1" applyFont="1" applyFill="1" applyBorder="1"/>
    <xf numFmtId="3" fontId="127" fillId="6" borderId="17" xfId="15" applyNumberFormat="1" applyFont="1" applyFill="1" applyBorder="1"/>
    <xf numFmtId="3" fontId="127" fillId="6" borderId="65" xfId="15" applyNumberFormat="1" applyFont="1" applyFill="1" applyBorder="1"/>
    <xf numFmtId="3" fontId="127" fillId="7" borderId="100" xfId="15" applyNumberFormat="1" applyFont="1" applyFill="1" applyBorder="1"/>
    <xf numFmtId="3" fontId="127" fillId="0" borderId="2" xfId="15" applyNumberFormat="1" applyFont="1" applyBorder="1"/>
    <xf numFmtId="3" fontId="127" fillId="0" borderId="30" xfId="15" applyNumberFormat="1" applyFont="1" applyBorder="1"/>
    <xf numFmtId="3" fontId="127" fillId="0" borderId="6" xfId="15" applyNumberFormat="1" applyFont="1" applyBorder="1"/>
    <xf numFmtId="3" fontId="127" fillId="3" borderId="56" xfId="15" applyNumberFormat="1" applyFont="1" applyFill="1" applyBorder="1"/>
    <xf numFmtId="3" fontId="2" fillId="0" borderId="0" xfId="15" applyNumberFormat="1"/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38" fillId="9" borderId="14" xfId="0" applyFont="1" applyFill="1" applyBorder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7" fontId="30" fillId="5" borderId="0" xfId="0" applyNumberFormat="1" applyFont="1" applyFill="1"/>
    <xf numFmtId="0" fontId="131" fillId="11" borderId="14" xfId="0" applyFont="1" applyFill="1" applyBorder="1" applyAlignment="1">
      <alignment horizontal="center"/>
    </xf>
    <xf numFmtId="0" fontId="13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49" fontId="45" fillId="0" borderId="0" xfId="0" applyNumberFormat="1" applyFont="1"/>
    <xf numFmtId="3" fontId="38" fillId="36" borderId="11" xfId="0" applyNumberFormat="1" applyFont="1" applyFill="1" applyBorder="1"/>
    <xf numFmtId="3" fontId="33" fillId="36" borderId="11" xfId="0" applyNumberFormat="1" applyFont="1" applyFill="1" applyBorder="1"/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127" fillId="5" borderId="73" xfId="15" applyFont="1" applyFill="1" applyBorder="1" applyAlignment="1">
      <alignment horizontal="center" vertical="center" textRotation="180"/>
    </xf>
    <xf numFmtId="0" fontId="127" fillId="5" borderId="59" xfId="15" applyFont="1" applyFill="1" applyBorder="1" applyAlignment="1">
      <alignment horizontal="center" vertical="center" textRotation="180"/>
    </xf>
    <xf numFmtId="0" fontId="127" fillId="5" borderId="77" xfId="15" applyFont="1" applyFill="1" applyBorder="1" applyAlignment="1">
      <alignment horizontal="center" vertical="center" textRotation="180"/>
    </xf>
    <xf numFmtId="0" fontId="127" fillId="5" borderId="41" xfId="15" applyFont="1" applyFill="1" applyBorder="1" applyAlignment="1">
      <alignment horizontal="center" vertical="center" textRotation="180"/>
    </xf>
    <xf numFmtId="0" fontId="127" fillId="3" borderId="2" xfId="15" applyFont="1" applyFill="1" applyBorder="1" applyAlignment="1">
      <alignment horizontal="center"/>
    </xf>
    <xf numFmtId="0" fontId="127" fillId="3" borderId="6" xfId="15" applyFont="1" applyFill="1" applyBorder="1" applyAlignment="1">
      <alignment horizontal="center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3" fontId="106" fillId="8" borderId="6" xfId="10" applyNumberFormat="1" applyFont="1" applyFill="1" applyBorder="1" applyAlignment="1">
      <alignment horizontal="left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84760"/>
        <c:axId val="430485544"/>
      </c:barChart>
      <c:catAx>
        <c:axId val="43048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0485544"/>
        <c:crosses val="autoZero"/>
        <c:auto val="1"/>
        <c:lblAlgn val="ctr"/>
        <c:lblOffset val="100"/>
        <c:noMultiLvlLbl val="0"/>
      </c:catAx>
      <c:valAx>
        <c:axId val="43048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0484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728072"/>
        <c:axId val="434727288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28072"/>
        <c:axId val="434727288"/>
      </c:lineChart>
      <c:catAx>
        <c:axId val="434728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27288"/>
        <c:crosses val="autoZero"/>
        <c:auto val="1"/>
        <c:lblAlgn val="ctr"/>
        <c:lblOffset val="100"/>
        <c:noMultiLvlLbl val="0"/>
      </c:catAx>
      <c:valAx>
        <c:axId val="434727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2807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730032"/>
        <c:axId val="434729248"/>
      </c:barChart>
      <c:catAx>
        <c:axId val="43473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29248"/>
        <c:crosses val="autoZero"/>
        <c:auto val="1"/>
        <c:lblAlgn val="ctr"/>
        <c:lblOffset val="100"/>
        <c:noMultiLvlLbl val="0"/>
      </c:catAx>
      <c:valAx>
        <c:axId val="43472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3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728856"/>
        <c:axId val="434729640"/>
      </c:scatterChart>
      <c:valAx>
        <c:axId val="434728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29640"/>
        <c:crosses val="autoZero"/>
        <c:crossBetween val="midCat"/>
      </c:valAx>
      <c:valAx>
        <c:axId val="43472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347288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726896"/>
        <c:axId val="434731600"/>
      </c:scatterChart>
      <c:valAx>
        <c:axId val="43472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4731600"/>
        <c:crosses val="autoZero"/>
        <c:crossBetween val="midCat"/>
      </c:valAx>
      <c:valAx>
        <c:axId val="43473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4726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179464571</c:v>
                </c:pt>
                <c:pt idx="1">
                  <c:v>31014467</c:v>
                </c:pt>
                <c:pt idx="2">
                  <c:v>65000</c:v>
                </c:pt>
                <c:pt idx="3">
                  <c:v>36715368</c:v>
                </c:pt>
                <c:pt idx="4">
                  <c:v>14800000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172545141.61176002</c:v>
                </c:pt>
                <c:pt idx="1">
                  <c:v>70231778.480000004</c:v>
                </c:pt>
                <c:pt idx="2">
                  <c:v>19282485.908239976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O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2%20Nesahat!!!\Rozpo&#269;et%202023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Nesahat!!!\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 1.23"/>
    </sheetNames>
    <sheetDataSet>
      <sheetData sheetId="0">
        <row r="3">
          <cell r="B3">
            <v>5620000</v>
          </cell>
          <cell r="C3">
            <v>60000</v>
          </cell>
          <cell r="D3">
            <v>475000</v>
          </cell>
          <cell r="E3"/>
          <cell r="F3"/>
          <cell r="G3"/>
          <cell r="H3">
            <v>1523750</v>
          </cell>
          <cell r="I3">
            <v>548550</v>
          </cell>
          <cell r="J3">
            <v>25599</v>
          </cell>
        </row>
        <row r="4">
          <cell r="B4">
            <v>5325000</v>
          </cell>
          <cell r="C4"/>
          <cell r="D4">
            <v>72000</v>
          </cell>
          <cell r="E4"/>
          <cell r="F4"/>
          <cell r="G4"/>
          <cell r="H4">
            <v>1349250</v>
          </cell>
          <cell r="I4">
            <v>485730</v>
          </cell>
          <cell r="J4">
            <v>22667.4</v>
          </cell>
        </row>
        <row r="5">
          <cell r="B5">
            <v>0</v>
          </cell>
          <cell r="C5"/>
          <cell r="D5">
            <v>105000</v>
          </cell>
          <cell r="E5"/>
          <cell r="F5"/>
          <cell r="G5">
            <v>30000</v>
          </cell>
          <cell r="H5">
            <v>26250</v>
          </cell>
          <cell r="I5">
            <v>9450</v>
          </cell>
          <cell r="J5">
            <v>441</v>
          </cell>
        </row>
        <row r="6">
          <cell r="B6">
            <v>1670000</v>
          </cell>
          <cell r="C6"/>
          <cell r="D6"/>
          <cell r="E6"/>
          <cell r="F6"/>
          <cell r="G6"/>
          <cell r="H6">
            <v>417500</v>
          </cell>
          <cell r="I6">
            <v>150300</v>
          </cell>
          <cell r="J6">
            <v>7014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1506000</v>
          </cell>
          <cell r="C8">
            <v>35000</v>
          </cell>
          <cell r="D8">
            <v>0</v>
          </cell>
          <cell r="E8"/>
          <cell r="F8"/>
          <cell r="G8"/>
          <cell r="H8">
            <v>376500</v>
          </cell>
          <cell r="I8">
            <v>135540</v>
          </cell>
          <cell r="J8">
            <v>6325.2</v>
          </cell>
        </row>
        <row r="9">
          <cell r="B9">
            <v>0</v>
          </cell>
          <cell r="C9">
            <v>180000</v>
          </cell>
          <cell r="D9">
            <v>8000</v>
          </cell>
          <cell r="E9"/>
          <cell r="F9"/>
          <cell r="G9"/>
          <cell r="H9">
            <v>2000</v>
          </cell>
          <cell r="I9">
            <v>720</v>
          </cell>
          <cell r="J9">
            <v>33.6</v>
          </cell>
        </row>
        <row r="10">
          <cell r="B10">
            <v>0</v>
          </cell>
          <cell r="C10">
            <v>50000</v>
          </cell>
          <cell r="D10"/>
          <cell r="E10"/>
          <cell r="F10"/>
          <cell r="G10"/>
          <cell r="H10">
            <v>0</v>
          </cell>
          <cell r="I10">
            <v>0</v>
          </cell>
          <cell r="J10">
            <v>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2768000</v>
          </cell>
          <cell r="C13"/>
          <cell r="D13">
            <v>53000</v>
          </cell>
          <cell r="E13"/>
          <cell r="F13"/>
          <cell r="G13"/>
          <cell r="H13">
            <v>705250</v>
          </cell>
          <cell r="I13">
            <v>253890</v>
          </cell>
          <cell r="J13">
            <v>11848.199999999999</v>
          </cell>
        </row>
        <row r="14">
          <cell r="B14">
            <v>3950000</v>
          </cell>
          <cell r="C14"/>
          <cell r="D14">
            <v>330000</v>
          </cell>
          <cell r="E14"/>
          <cell r="F14"/>
          <cell r="G14"/>
          <cell r="H14">
            <v>1070000</v>
          </cell>
          <cell r="I14">
            <v>385200</v>
          </cell>
          <cell r="J14">
            <v>17976</v>
          </cell>
        </row>
        <row r="15">
          <cell r="B15">
            <v>1889000</v>
          </cell>
          <cell r="C15"/>
          <cell r="D15"/>
          <cell r="E15"/>
          <cell r="F15"/>
          <cell r="G15"/>
          <cell r="H15">
            <v>472250</v>
          </cell>
          <cell r="I15">
            <v>170010</v>
          </cell>
          <cell r="J15">
            <v>7933.7999999999993</v>
          </cell>
        </row>
        <row r="16">
          <cell r="B16">
            <v>1502000</v>
          </cell>
          <cell r="C16"/>
          <cell r="D16"/>
          <cell r="E16"/>
          <cell r="F16"/>
          <cell r="G16"/>
          <cell r="H16">
            <v>375500</v>
          </cell>
          <cell r="I16">
            <v>135180</v>
          </cell>
          <cell r="J16">
            <v>6308.4</v>
          </cell>
        </row>
        <row r="17">
          <cell r="B17">
            <v>3695000</v>
          </cell>
          <cell r="C17">
            <v>35000</v>
          </cell>
          <cell r="D17">
            <v>450000</v>
          </cell>
          <cell r="E17"/>
          <cell r="F17"/>
          <cell r="G17"/>
          <cell r="H17">
            <v>1036250</v>
          </cell>
          <cell r="I17">
            <v>373050</v>
          </cell>
          <cell r="J17">
            <v>17408.999999999996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3020000</v>
          </cell>
          <cell r="F19"/>
          <cell r="G19"/>
          <cell r="H19">
            <v>755000</v>
          </cell>
          <cell r="I19">
            <v>271800</v>
          </cell>
          <cell r="J19">
            <v>12684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910000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</sheetData>
      <sheetData sheetId="2">
        <row r="4">
          <cell r="B4">
            <v>45000</v>
          </cell>
          <cell r="D4">
            <v>45000</v>
          </cell>
          <cell r="E4">
            <v>0</v>
          </cell>
        </row>
        <row r="11">
          <cell r="B11">
            <v>850000</v>
          </cell>
          <cell r="D11">
            <v>850000</v>
          </cell>
          <cell r="E11">
            <v>0</v>
          </cell>
        </row>
        <row r="12">
          <cell r="B12">
            <v>500000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B39">
            <v>300000</v>
          </cell>
          <cell r="D39">
            <v>300000</v>
          </cell>
          <cell r="E39">
            <v>0</v>
          </cell>
        </row>
        <row r="46">
          <cell r="B46">
            <v>700000</v>
          </cell>
          <cell r="D46">
            <v>700000</v>
          </cell>
          <cell r="E46">
            <v>0</v>
          </cell>
        </row>
        <row r="53">
          <cell r="B53">
            <v>200000</v>
          </cell>
          <cell r="D53">
            <v>200000</v>
          </cell>
          <cell r="E53">
            <v>0</v>
          </cell>
        </row>
        <row r="60">
          <cell r="B60">
            <v>1200000</v>
          </cell>
        </row>
        <row r="61">
          <cell r="B61">
            <v>440000</v>
          </cell>
        </row>
        <row r="62">
          <cell r="B62">
            <v>200000</v>
          </cell>
        </row>
        <row r="63">
          <cell r="B63">
            <v>560000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B75">
            <v>3050000</v>
          </cell>
          <cell r="D75">
            <v>3050000</v>
          </cell>
          <cell r="E75">
            <v>0</v>
          </cell>
        </row>
        <row r="76">
          <cell r="B76">
            <v>2450000</v>
          </cell>
        </row>
        <row r="77">
          <cell r="B77">
            <v>600000</v>
          </cell>
        </row>
        <row r="82">
          <cell r="B82">
            <v>30000</v>
          </cell>
          <cell r="D82">
            <v>30000</v>
          </cell>
          <cell r="E82">
            <v>0</v>
          </cell>
        </row>
        <row r="89">
          <cell r="B89">
            <v>150000</v>
          </cell>
          <cell r="D89">
            <v>150000</v>
          </cell>
          <cell r="E89">
            <v>0</v>
          </cell>
        </row>
        <row r="96">
          <cell r="D96">
            <v>0</v>
          </cell>
          <cell r="E96">
            <v>0</v>
          </cell>
        </row>
        <row r="103">
          <cell r="D103">
            <v>90000</v>
          </cell>
          <cell r="E103">
            <v>0</v>
          </cell>
        </row>
        <row r="110">
          <cell r="B110">
            <v>30000</v>
          </cell>
          <cell r="D110">
            <v>30000</v>
          </cell>
          <cell r="E110">
            <v>0</v>
          </cell>
        </row>
        <row r="117">
          <cell r="B117">
            <v>50000</v>
          </cell>
          <cell r="D117">
            <v>50000</v>
          </cell>
          <cell r="E117">
            <v>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  <cell r="D59">
            <v>60000</v>
          </cell>
        </row>
        <row r="60">
          <cell r="B60">
            <v>40000</v>
          </cell>
        </row>
        <row r="61">
          <cell r="B61">
            <v>20000</v>
          </cell>
        </row>
        <row r="66">
          <cell r="B66">
            <v>10000</v>
          </cell>
        </row>
        <row r="67">
          <cell r="B67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</sheetData>
      <sheetData sheetId="4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30000</v>
          </cell>
        </row>
        <row r="29">
          <cell r="B29">
            <v>30000</v>
          </cell>
        </row>
        <row r="35">
          <cell r="B35">
            <v>240000</v>
          </cell>
        </row>
        <row r="49">
          <cell r="B49">
            <v>80000</v>
          </cell>
        </row>
        <row r="70">
          <cell r="B70">
            <v>80000</v>
          </cell>
        </row>
        <row r="77">
          <cell r="B77">
            <v>136300</v>
          </cell>
        </row>
        <row r="78">
          <cell r="B78">
            <v>30000</v>
          </cell>
        </row>
        <row r="79">
          <cell r="B79">
            <v>36300</v>
          </cell>
        </row>
        <row r="84">
          <cell r="B84" t="str">
            <v>celkem</v>
          </cell>
        </row>
        <row r="85">
          <cell r="B85">
            <v>100000</v>
          </cell>
        </row>
        <row r="91">
          <cell r="B91" t="str">
            <v>celkem</v>
          </cell>
        </row>
        <row r="92">
          <cell r="B92">
            <v>243300</v>
          </cell>
        </row>
        <row r="93">
          <cell r="B93">
            <v>43300</v>
          </cell>
        </row>
        <row r="94">
          <cell r="B94">
            <v>200000</v>
          </cell>
        </row>
        <row r="98">
          <cell r="B98" t="str">
            <v>celkem</v>
          </cell>
        </row>
        <row r="99">
          <cell r="B99">
            <v>10000</v>
          </cell>
        </row>
        <row r="105">
          <cell r="B105" t="str">
            <v>celkem</v>
          </cell>
        </row>
        <row r="106">
          <cell r="B106">
            <v>8000</v>
          </cell>
        </row>
        <row r="119">
          <cell r="B119" t="str">
            <v>celkem</v>
          </cell>
        </row>
        <row r="120">
          <cell r="B120">
            <v>10000</v>
          </cell>
        </row>
        <row r="126">
          <cell r="B126" t="str">
            <v>celkem</v>
          </cell>
        </row>
        <row r="127">
          <cell r="B127">
            <v>10000</v>
          </cell>
        </row>
        <row r="133">
          <cell r="B133" t="str">
            <v>celkem</v>
          </cell>
        </row>
        <row r="134">
          <cell r="B134">
            <v>5000</v>
          </cell>
        </row>
        <row r="154">
          <cell r="B154" t="str">
            <v>celkem</v>
          </cell>
        </row>
        <row r="155">
          <cell r="B155">
            <v>0</v>
          </cell>
        </row>
        <row r="161">
          <cell r="B161" t="str">
            <v>celkem</v>
          </cell>
        </row>
        <row r="162">
          <cell r="B162">
            <v>0</v>
          </cell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6000</v>
          </cell>
        </row>
        <row r="26">
          <cell r="B26">
            <v>6000</v>
          </cell>
        </row>
      </sheetData>
      <sheetData sheetId="7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40000</v>
          </cell>
        </row>
        <row r="20">
          <cell r="B20">
            <v>40000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7">
          <cell r="B47">
            <v>5000</v>
          </cell>
        </row>
        <row r="54">
          <cell r="B54">
            <v>15000</v>
          </cell>
        </row>
        <row r="55">
          <cell r="B55">
            <v>15000</v>
          </cell>
        </row>
        <row r="56">
          <cell r="B56">
            <v>0</v>
          </cell>
        </row>
        <row r="61">
          <cell r="B61">
            <v>30000</v>
          </cell>
        </row>
        <row r="68">
          <cell r="B68">
            <v>25000</v>
          </cell>
        </row>
        <row r="69">
          <cell r="B69">
            <v>25000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8">
        <row r="4">
          <cell r="B4">
            <v>40000</v>
          </cell>
        </row>
        <row r="11">
          <cell r="B11">
            <v>500000</v>
          </cell>
        </row>
        <row r="12">
          <cell r="B12">
            <v>450000</v>
          </cell>
        </row>
        <row r="13">
          <cell r="B13">
            <v>50000</v>
          </cell>
        </row>
      </sheetData>
      <sheetData sheetId="9">
        <row r="4">
          <cell r="B4">
            <v>120000</v>
          </cell>
        </row>
        <row r="5">
          <cell r="B5">
            <v>120000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970000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250000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0">
        <row r="4">
          <cell r="B4">
            <v>80000</v>
          </cell>
        </row>
        <row r="11">
          <cell r="B11">
            <v>500000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300000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5">
          <cell r="B75">
            <v>10000</v>
          </cell>
        </row>
        <row r="82">
          <cell r="B82">
            <v>200000</v>
          </cell>
        </row>
        <row r="83">
          <cell r="B83">
            <v>200000</v>
          </cell>
        </row>
      </sheetData>
      <sheetData sheetId="11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B11">
            <v>30000</v>
          </cell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B18">
            <v>10000</v>
          </cell>
          <cell r="D18">
            <v>10000</v>
          </cell>
          <cell r="E18">
            <v>0</v>
          </cell>
        </row>
        <row r="26">
          <cell r="B26">
            <v>20000</v>
          </cell>
        </row>
        <row r="33">
          <cell r="B33">
            <v>0</v>
          </cell>
        </row>
        <row r="34">
          <cell r="B34">
            <v>0</v>
          </cell>
        </row>
        <row r="39">
          <cell r="B39">
            <v>0</v>
          </cell>
          <cell r="D39">
            <v>0</v>
          </cell>
          <cell r="E39">
            <v>0</v>
          </cell>
        </row>
        <row r="46">
          <cell r="B46">
            <v>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986680</v>
          </cell>
        </row>
        <row r="11">
          <cell r="B11">
            <v>12</v>
          </cell>
        </row>
        <row r="12">
          <cell r="B12">
            <v>12</v>
          </cell>
        </row>
        <row r="18">
          <cell r="B18">
            <v>250000</v>
          </cell>
        </row>
        <row r="19">
          <cell r="B19">
            <v>50000</v>
          </cell>
        </row>
        <row r="20">
          <cell r="B20">
            <v>200000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</sheetData>
      <sheetData sheetId="2">
        <row r="4">
          <cell r="B4">
            <v>70000</v>
          </cell>
          <cell r="D4">
            <v>70000</v>
          </cell>
          <cell r="E4">
            <v>0</v>
          </cell>
        </row>
        <row r="5">
          <cell r="B5">
            <v>70000</v>
          </cell>
        </row>
        <row r="11">
          <cell r="B11">
            <v>20000</v>
          </cell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3"/>
      <sheetData sheetId="4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50000</v>
          </cell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35240</v>
          </cell>
          <cell r="D18">
            <v>35240</v>
          </cell>
          <cell r="E18">
            <v>0</v>
          </cell>
        </row>
        <row r="19">
          <cell r="B19">
            <v>35240</v>
          </cell>
        </row>
        <row r="25">
          <cell r="B25">
            <v>1420000</v>
          </cell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B32">
            <v>1110000</v>
          </cell>
          <cell r="D32">
            <v>1110000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0</v>
          </cell>
        </row>
        <row r="38">
          <cell r="B38">
            <v>400000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500000</v>
          </cell>
        </row>
        <row r="26">
          <cell r="B26">
            <v>500000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B4">
            <v>570000</v>
          </cell>
          <cell r="D4">
            <v>570000</v>
          </cell>
          <cell r="E4">
            <v>0</v>
          </cell>
        </row>
        <row r="5">
          <cell r="B5">
            <v>270000</v>
          </cell>
        </row>
        <row r="6">
          <cell r="B6">
            <v>300000</v>
          </cell>
        </row>
        <row r="11">
          <cell r="B11">
            <v>4290000</v>
          </cell>
          <cell r="D11">
            <v>4290000</v>
          </cell>
          <cell r="E11">
            <v>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550000</v>
          </cell>
        </row>
        <row r="15">
          <cell r="B15">
            <v>2500000</v>
          </cell>
        </row>
        <row r="16">
          <cell r="B16">
            <v>850000</v>
          </cell>
        </row>
        <row r="17">
          <cell r="B17">
            <v>190000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20000</v>
          </cell>
          <cell r="D4">
            <v>20000</v>
          </cell>
          <cell r="E4">
            <v>0</v>
          </cell>
        </row>
        <row r="12">
          <cell r="B12">
            <v>100000</v>
          </cell>
          <cell r="D12">
            <v>100000</v>
          </cell>
          <cell r="E12">
            <v>0</v>
          </cell>
        </row>
        <row r="13">
          <cell r="B13">
            <v>80000</v>
          </cell>
        </row>
        <row r="14">
          <cell r="B14">
            <v>20000</v>
          </cell>
        </row>
        <row r="19">
          <cell r="B19">
            <v>60000</v>
          </cell>
          <cell r="D19">
            <v>60000</v>
          </cell>
          <cell r="E19">
            <v>0</v>
          </cell>
        </row>
        <row r="26">
          <cell r="B26">
            <v>170000</v>
          </cell>
          <cell r="D26">
            <v>170000</v>
          </cell>
          <cell r="E26">
            <v>0</v>
          </cell>
        </row>
        <row r="27">
          <cell r="B27">
            <v>120000</v>
          </cell>
        </row>
        <row r="28">
          <cell r="B28">
            <v>50000</v>
          </cell>
        </row>
        <row r="33">
          <cell r="B33">
            <v>1240000</v>
          </cell>
          <cell r="D33">
            <v>1140000</v>
          </cell>
          <cell r="E33">
            <v>100000</v>
          </cell>
        </row>
        <row r="34">
          <cell r="B34">
            <v>600000</v>
          </cell>
        </row>
        <row r="35">
          <cell r="B35">
            <v>40000</v>
          </cell>
        </row>
        <row r="36">
          <cell r="B36">
            <v>600000</v>
          </cell>
        </row>
        <row r="37">
          <cell r="B37">
            <v>0</v>
          </cell>
        </row>
        <row r="49">
          <cell r="B49">
            <v>0</v>
          </cell>
        </row>
      </sheetData>
      <sheetData sheetId="8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14700000</v>
          </cell>
        </row>
        <row r="41">
          <cell r="B41">
            <v>14700000</v>
          </cell>
        </row>
      </sheetData>
      <sheetData sheetId="9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400000</v>
          </cell>
        </row>
        <row r="12">
          <cell r="B12">
            <v>150000</v>
          </cell>
        </row>
        <row r="13">
          <cell r="B13">
            <v>250000</v>
          </cell>
        </row>
        <row r="19">
          <cell r="B19">
            <v>0</v>
          </cell>
        </row>
        <row r="20">
          <cell r="B20">
            <v>150000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1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B18">
            <v>50000</v>
          </cell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100000</v>
          </cell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2">
        <row r="4">
          <cell r="B4">
            <v>10000</v>
          </cell>
          <cell r="D4">
            <v>10000</v>
          </cell>
          <cell r="E4">
            <v>0</v>
          </cell>
        </row>
        <row r="5">
          <cell r="B5">
            <v>10000</v>
          </cell>
        </row>
        <row r="14">
          <cell r="B14">
            <v>30000</v>
          </cell>
          <cell r="D14">
            <v>30000</v>
          </cell>
          <cell r="E14">
            <v>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B21">
            <v>200000</v>
          </cell>
          <cell r="D21">
            <v>200000</v>
          </cell>
          <cell r="E21">
            <v>0</v>
          </cell>
        </row>
        <row r="22">
          <cell r="B22">
            <v>200000</v>
          </cell>
        </row>
        <row r="23">
          <cell r="B23">
            <v>0</v>
          </cell>
        </row>
      </sheetData>
      <sheetData sheetId="13">
        <row r="4">
          <cell r="B4">
            <v>0</v>
          </cell>
          <cell r="D4">
            <v>0</v>
          </cell>
          <cell r="E4">
            <v>0</v>
          </cell>
        </row>
        <row r="14">
          <cell r="D14">
            <v>290000</v>
          </cell>
          <cell r="E14">
            <v>30000</v>
          </cell>
        </row>
        <row r="15">
          <cell r="B15">
            <v>250000</v>
          </cell>
        </row>
        <row r="16">
          <cell r="B16">
            <v>70000</v>
          </cell>
        </row>
        <row r="21">
          <cell r="D21">
            <v>80000</v>
          </cell>
          <cell r="E21">
            <v>200000</v>
          </cell>
        </row>
        <row r="22">
          <cell r="B22">
            <v>200000</v>
          </cell>
        </row>
        <row r="23">
          <cell r="B23">
            <v>80000</v>
          </cell>
        </row>
      </sheetData>
      <sheetData sheetId="14">
        <row r="4">
          <cell r="B4">
            <v>12156</v>
          </cell>
          <cell r="D4">
            <v>12156</v>
          </cell>
          <cell r="E4">
            <v>0</v>
          </cell>
        </row>
        <row r="5">
          <cell r="B5">
            <v>12156</v>
          </cell>
        </row>
        <row r="14">
          <cell r="B14">
            <v>550000</v>
          </cell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B23">
            <v>0</v>
          </cell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5">
        <row r="4">
          <cell r="B4">
            <v>0</v>
          </cell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/>
        </row>
        <row r="13">
          <cell r="B13"/>
        </row>
      </sheetData>
      <sheetData sheetId="16">
        <row r="4">
          <cell r="B4">
            <v>60000</v>
          </cell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B11">
            <v>280000</v>
          </cell>
          <cell r="D11">
            <v>280000</v>
          </cell>
          <cell r="E11">
            <v>0</v>
          </cell>
        </row>
        <row r="12">
          <cell r="B12">
            <v>80000</v>
          </cell>
        </row>
        <row r="13">
          <cell r="B13">
            <v>200000</v>
          </cell>
        </row>
      </sheetData>
      <sheetData sheetId="17">
        <row r="4">
          <cell r="B4">
            <v>30000</v>
          </cell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B11">
            <v>370000</v>
          </cell>
          <cell r="D11">
            <v>350000</v>
          </cell>
          <cell r="E11">
            <v>20000</v>
          </cell>
        </row>
        <row r="12">
          <cell r="B12">
            <v>320000</v>
          </cell>
        </row>
        <row r="13">
          <cell r="B13">
            <v>50000</v>
          </cell>
        </row>
      </sheetData>
      <sheetData sheetId="18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50000</v>
          </cell>
        </row>
        <row r="11">
          <cell r="D11">
            <v>240000</v>
          </cell>
          <cell r="E11">
            <v>30000</v>
          </cell>
        </row>
        <row r="12">
          <cell r="B12">
            <v>70000</v>
          </cell>
        </row>
        <row r="13">
          <cell r="B13">
            <v>200000</v>
          </cell>
        </row>
      </sheetData>
      <sheetData sheetId="19">
        <row r="4">
          <cell r="B4">
            <v>90000</v>
          </cell>
          <cell r="D4">
            <v>90000</v>
          </cell>
          <cell r="E4">
            <v>0</v>
          </cell>
        </row>
        <row r="5">
          <cell r="B5">
            <v>90000</v>
          </cell>
        </row>
        <row r="11">
          <cell r="D11">
            <v>215000</v>
          </cell>
          <cell r="E11">
            <v>30000</v>
          </cell>
        </row>
        <row r="12">
          <cell r="B12">
            <v>80000</v>
          </cell>
        </row>
        <row r="13">
          <cell r="B13">
            <v>0</v>
          </cell>
        </row>
        <row r="14">
          <cell r="B14">
            <v>150000</v>
          </cell>
        </row>
        <row r="15">
          <cell r="B15">
            <v>15000</v>
          </cell>
        </row>
      </sheetData>
      <sheetData sheetId="20">
        <row r="4">
          <cell r="B4">
            <v>0</v>
          </cell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/>
        </row>
        <row r="13">
          <cell r="B13"/>
        </row>
      </sheetData>
      <sheetData sheetId="21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2">
          <cell r="B12">
            <v>50000</v>
          </cell>
        </row>
      </sheetData>
      <sheetData sheetId="22">
        <row r="4">
          <cell r="B4">
            <v>80000</v>
          </cell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500000</v>
          </cell>
          <cell r="E12">
            <v>30000</v>
          </cell>
        </row>
        <row r="13">
          <cell r="B13">
            <v>80000</v>
          </cell>
        </row>
        <row r="14">
          <cell r="B14">
            <v>400000</v>
          </cell>
        </row>
        <row r="15">
          <cell r="B15">
            <v>50000</v>
          </cell>
        </row>
        <row r="16">
          <cell r="B16">
            <v>0</v>
          </cell>
        </row>
      </sheetData>
      <sheetData sheetId="23">
        <row r="4">
          <cell r="B4">
            <v>150000</v>
          </cell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3030000</v>
          </cell>
          <cell r="D12">
            <v>3030000</v>
          </cell>
          <cell r="E12">
            <v>0</v>
          </cell>
        </row>
        <row r="20">
          <cell r="B20">
            <v>262100</v>
          </cell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600000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500000</v>
          </cell>
        </row>
        <row r="37">
          <cell r="B37">
            <v>592000</v>
          </cell>
          <cell r="D37">
            <v>592000</v>
          </cell>
          <cell r="E37">
            <v>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4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200000</v>
          </cell>
          <cell r="D11">
            <v>200000</v>
          </cell>
          <cell r="E11">
            <v>0</v>
          </cell>
        </row>
        <row r="19">
          <cell r="B19">
            <v>400</v>
          </cell>
          <cell r="D19">
            <v>400</v>
          </cell>
          <cell r="E19">
            <v>0</v>
          </cell>
        </row>
        <row r="20">
          <cell r="B20">
            <v>400</v>
          </cell>
        </row>
        <row r="30">
          <cell r="B30">
            <v>100000</v>
          </cell>
          <cell r="D30">
            <v>100000</v>
          </cell>
          <cell r="E30">
            <v>0</v>
          </cell>
        </row>
        <row r="33">
          <cell r="B33">
            <v>0</v>
          </cell>
        </row>
        <row r="39">
          <cell r="D39">
            <v>5961480</v>
          </cell>
          <cell r="E39">
            <v>2250000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300000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1200000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3900000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>
            <v>711480</v>
          </cell>
        </row>
      </sheetData>
      <sheetData sheetId="25">
        <row r="4">
          <cell r="B4">
            <v>320000</v>
          </cell>
          <cell r="D4">
            <v>320000</v>
          </cell>
          <cell r="E4">
            <v>0</v>
          </cell>
        </row>
        <row r="11">
          <cell r="B11">
            <v>550000</v>
          </cell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B19">
            <v>600000</v>
          </cell>
          <cell r="D19">
            <v>600000</v>
          </cell>
          <cell r="E19">
            <v>0</v>
          </cell>
        </row>
        <row r="20">
          <cell r="B20">
            <v>500000</v>
          </cell>
        </row>
        <row r="21">
          <cell r="B21">
            <v>100000</v>
          </cell>
        </row>
        <row r="27">
          <cell r="B27">
            <v>0</v>
          </cell>
          <cell r="D27">
            <v>0</v>
          </cell>
          <cell r="E27">
            <v>0</v>
          </cell>
        </row>
      </sheetData>
      <sheetData sheetId="26">
        <row r="4">
          <cell r="B4">
            <v>80000</v>
          </cell>
          <cell r="D4">
            <v>80000</v>
          </cell>
          <cell r="E4">
            <v>0</v>
          </cell>
        </row>
        <row r="11">
          <cell r="B11">
            <v>150000</v>
          </cell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B20">
            <v>640000</v>
          </cell>
          <cell r="D20">
            <v>640000</v>
          </cell>
          <cell r="E20">
            <v>0</v>
          </cell>
        </row>
        <row r="21">
          <cell r="B21">
            <v>500000</v>
          </cell>
        </row>
        <row r="22">
          <cell r="B22">
            <v>140000</v>
          </cell>
        </row>
      </sheetData>
      <sheetData sheetId="27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11">
          <cell r="B11">
            <v>430000</v>
          </cell>
          <cell r="D11">
            <v>130000</v>
          </cell>
          <cell r="E11">
            <v>300000</v>
          </cell>
        </row>
        <row r="12">
          <cell r="B12">
            <v>80000</v>
          </cell>
        </row>
        <row r="13">
          <cell r="B13">
            <v>350000</v>
          </cell>
        </row>
      </sheetData>
      <sheetData sheetId="28"/>
      <sheetData sheetId="29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2952545.0202600001</v>
          </cell>
        </row>
        <row r="20">
          <cell r="B20">
            <v>80000</v>
          </cell>
        </row>
      </sheetData>
      <sheetData sheetId="1">
        <row r="4">
          <cell r="B4">
            <v>19114264</v>
          </cell>
        </row>
      </sheetData>
      <sheetData sheetId="2">
        <row r="49">
          <cell r="B49">
            <v>914380</v>
          </cell>
        </row>
        <row r="57">
          <cell r="B57">
            <v>1000000</v>
          </cell>
        </row>
        <row r="64">
          <cell r="B64">
            <v>1620000</v>
          </cell>
        </row>
        <row r="71">
          <cell r="B71">
            <v>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92">
          <cell r="B92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32">
          <cell r="B32">
            <v>0</v>
          </cell>
        </row>
      </sheetData>
      <sheetData sheetId="4">
        <row r="4">
          <cell r="B4">
            <v>69012.591499999995</v>
          </cell>
        </row>
      </sheetData>
      <sheetData sheetId="5">
        <row r="4">
          <cell r="B4">
            <v>35000</v>
          </cell>
        </row>
        <row r="11">
          <cell r="B11">
            <v>546000</v>
          </cell>
        </row>
        <row r="12">
          <cell r="B12">
            <v>0</v>
          </cell>
        </row>
        <row r="13">
          <cell r="B13">
            <v>546000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  <cell r="D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  <cell r="D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97500</v>
          </cell>
        </row>
        <row r="12">
          <cell r="B12">
            <v>97500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B4">
            <v>15000</v>
          </cell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11">
          <cell r="B11">
            <v>1225000</v>
          </cell>
        </row>
        <row r="12">
          <cell r="B12">
            <v>0</v>
          </cell>
        </row>
        <row r="13">
          <cell r="B13">
            <v>1225000</v>
          </cell>
        </row>
        <row r="18">
          <cell r="B18">
            <v>643500</v>
          </cell>
        </row>
        <row r="19">
          <cell r="B19">
            <v>0</v>
          </cell>
        </row>
        <row r="20">
          <cell r="B20">
            <v>643500</v>
          </cell>
        </row>
        <row r="25">
          <cell r="B25">
            <v>816000</v>
          </cell>
        </row>
        <row r="26">
          <cell r="B26">
            <v>816000</v>
          </cell>
        </row>
        <row r="32">
          <cell r="B32">
            <v>16429592</v>
          </cell>
        </row>
        <row r="35">
          <cell r="B35">
            <v>16429592</v>
          </cell>
        </row>
      </sheetData>
      <sheetData sheetId="18">
        <row r="4">
          <cell r="B4">
            <v>0</v>
          </cell>
        </row>
        <row r="11">
          <cell r="B11">
            <v>1195000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600000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  <row r="7">
          <cell r="B7">
            <v>0</v>
          </cell>
        </row>
      </sheetData>
      <sheetData sheetId="23">
        <row r="4">
          <cell r="B4">
            <v>3974000</v>
          </cell>
        </row>
        <row r="7">
          <cell r="B7">
            <v>3974000</v>
          </cell>
        </row>
      </sheetData>
      <sheetData sheetId="24">
        <row r="4">
          <cell r="B4">
            <v>200000</v>
          </cell>
        </row>
        <row r="7">
          <cell r="B7">
            <v>200000</v>
          </cell>
        </row>
      </sheetData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33">
          <cell r="B33">
            <v>2400000</v>
          </cell>
        </row>
      </sheetData>
      <sheetData sheetId="1">
        <row r="4">
          <cell r="B4">
            <v>0</v>
          </cell>
        </row>
        <row r="5">
          <cell r="B5">
            <v>500000</v>
          </cell>
        </row>
        <row r="11">
          <cell r="B11">
            <v>500000</v>
          </cell>
        </row>
        <row r="15">
          <cell r="B15">
            <v>0</v>
          </cell>
        </row>
      </sheetData>
      <sheetData sheetId="2">
        <row r="4">
          <cell r="B4">
            <v>60000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7">
          <cell r="B77">
            <v>0</v>
          </cell>
        </row>
        <row r="78">
          <cell r="B78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3"/>
      <sheetData sheetId="4">
        <row r="3">
          <cell r="D3">
            <v>260000</v>
          </cell>
          <cell r="E3">
            <v>0</v>
          </cell>
        </row>
        <row r="4">
          <cell r="B4">
            <v>210000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550000</v>
          </cell>
          <cell r="D3">
            <v>550000</v>
          </cell>
          <cell r="E3">
            <v>0</v>
          </cell>
        </row>
        <row r="4">
          <cell r="B4">
            <v>100000</v>
          </cell>
        </row>
        <row r="5">
          <cell r="B5">
            <v>450000</v>
          </cell>
        </row>
      </sheetData>
      <sheetData sheetId="6">
        <row r="4">
          <cell r="B4">
            <v>100000</v>
          </cell>
        </row>
        <row r="5">
          <cell r="B5">
            <v>2000000</v>
          </cell>
        </row>
        <row r="9">
          <cell r="B9">
            <v>750000</v>
          </cell>
        </row>
        <row r="33">
          <cell r="B33">
            <v>0</v>
          </cell>
        </row>
        <row r="34">
          <cell r="B34">
            <v>0</v>
          </cell>
        </row>
        <row r="48">
          <cell r="B48">
            <v>80000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4">
          <cell r="B74">
            <v>0</v>
          </cell>
        </row>
        <row r="75">
          <cell r="B75">
            <v>850000</v>
          </cell>
        </row>
        <row r="85">
          <cell r="B85">
            <v>0</v>
          </cell>
        </row>
        <row r="86">
          <cell r="B86">
            <v>0</v>
          </cell>
        </row>
        <row r="99">
          <cell r="B99">
            <v>0</v>
          </cell>
        </row>
        <row r="100">
          <cell r="B100">
            <v>0</v>
          </cell>
        </row>
        <row r="110">
          <cell r="B110">
            <v>0</v>
          </cell>
        </row>
        <row r="111">
          <cell r="B111">
            <v>0</v>
          </cell>
        </row>
        <row r="120">
          <cell r="B120">
            <v>0</v>
          </cell>
        </row>
        <row r="121">
          <cell r="B121">
            <v>100000</v>
          </cell>
        </row>
        <row r="133">
          <cell r="B133">
            <v>0</v>
          </cell>
        </row>
        <row r="134">
          <cell r="B134">
            <v>100000</v>
          </cell>
        </row>
        <row r="146">
          <cell r="B146">
            <v>0</v>
          </cell>
        </row>
        <row r="147">
          <cell r="B147">
            <v>50000</v>
          </cell>
        </row>
        <row r="159">
          <cell r="B159">
            <v>0</v>
          </cell>
        </row>
        <row r="160">
          <cell r="B160">
            <v>150000</v>
          </cell>
        </row>
        <row r="172">
          <cell r="B172">
            <v>20000</v>
          </cell>
        </row>
        <row r="173">
          <cell r="B173">
            <v>0</v>
          </cell>
        </row>
        <row r="187">
          <cell r="B187">
            <v>0</v>
          </cell>
        </row>
        <row r="188">
          <cell r="B188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5">
          <cell r="B225">
            <v>0</v>
          </cell>
        </row>
        <row r="226">
          <cell r="B226">
            <v>0</v>
          </cell>
        </row>
        <row r="235">
          <cell r="B235">
            <v>0</v>
          </cell>
        </row>
        <row r="236">
          <cell r="B236">
            <v>0</v>
          </cell>
        </row>
        <row r="249">
          <cell r="B249">
            <v>0</v>
          </cell>
        </row>
        <row r="250">
          <cell r="B250">
            <v>0</v>
          </cell>
        </row>
        <row r="260">
          <cell r="B260">
            <v>0</v>
          </cell>
        </row>
        <row r="261">
          <cell r="B261">
            <v>0</v>
          </cell>
        </row>
        <row r="271">
          <cell r="B271">
            <v>0</v>
          </cell>
        </row>
        <row r="272">
          <cell r="B272">
            <v>0</v>
          </cell>
        </row>
        <row r="281">
          <cell r="B281">
            <v>0</v>
          </cell>
        </row>
        <row r="282">
          <cell r="B282">
            <v>0</v>
          </cell>
        </row>
        <row r="291">
          <cell r="B291">
            <v>0</v>
          </cell>
        </row>
        <row r="292">
          <cell r="B292">
            <v>0</v>
          </cell>
        </row>
        <row r="301">
          <cell r="B301">
            <v>0</v>
          </cell>
        </row>
        <row r="302">
          <cell r="B302">
            <v>0</v>
          </cell>
        </row>
      </sheetData>
      <sheetData sheetId="7">
        <row r="4">
          <cell r="B4">
            <v>2770000</v>
          </cell>
        </row>
        <row r="11">
          <cell r="B11">
            <v>350000</v>
          </cell>
        </row>
        <row r="12">
          <cell r="B12">
            <v>450000</v>
          </cell>
        </row>
        <row r="13">
          <cell r="B13">
            <v>1300000</v>
          </cell>
        </row>
        <row r="14">
          <cell r="B14">
            <v>420000</v>
          </cell>
        </row>
        <row r="15">
          <cell r="B15">
            <v>250000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8">
        <row r="4">
          <cell r="B4">
            <v>50000</v>
          </cell>
        </row>
        <row r="11">
          <cell r="B11">
            <v>2978575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220000</v>
          </cell>
        </row>
        <row r="5">
          <cell r="B5">
            <v>60000</v>
          </cell>
        </row>
      </sheetData>
      <sheetData sheetId="11">
        <row r="4">
          <cell r="B4">
            <v>131000</v>
          </cell>
        </row>
        <row r="5">
          <cell r="B5">
            <v>0</v>
          </cell>
        </row>
      </sheetData>
      <sheetData sheetId="12">
        <row r="4">
          <cell r="B4">
            <v>31536654.48</v>
          </cell>
        </row>
        <row r="5">
          <cell r="B5">
            <v>200000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200000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31506654.48</v>
          </cell>
        </row>
        <row r="77">
          <cell r="B77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2500000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2500000</v>
          </cell>
        </row>
        <row r="26">
          <cell r="B26">
            <v>0</v>
          </cell>
        </row>
      </sheetData>
      <sheetData sheetId="17">
        <row r="4">
          <cell r="B4">
            <v>250000</v>
          </cell>
        </row>
        <row r="5">
          <cell r="B5">
            <v>300000</v>
          </cell>
        </row>
        <row r="18">
          <cell r="B18">
            <v>0</v>
          </cell>
        </row>
        <row r="21">
          <cell r="B21">
            <v>250000</v>
          </cell>
        </row>
      </sheetData>
      <sheetData sheetId="18">
        <row r="4">
          <cell r="B4">
            <v>100000</v>
          </cell>
        </row>
        <row r="6">
          <cell r="B6">
            <v>100000</v>
          </cell>
        </row>
      </sheetData>
      <sheetData sheetId="19">
        <row r="4">
          <cell r="B4">
            <v>23829</v>
          </cell>
          <cell r="D4">
            <v>23829</v>
          </cell>
          <cell r="E4">
            <v>0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100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21">
        <row r="4">
          <cell r="B4">
            <v>2500000</v>
          </cell>
        </row>
        <row r="5">
          <cell r="B5">
            <v>150000</v>
          </cell>
        </row>
      </sheetData>
      <sheetData sheetId="22">
        <row r="4">
          <cell r="B4">
            <v>2500000</v>
          </cell>
          <cell r="D4">
            <v>2500000</v>
          </cell>
          <cell r="E4">
            <v>0</v>
          </cell>
        </row>
        <row r="6">
          <cell r="B6">
            <v>2500000</v>
          </cell>
        </row>
      </sheetData>
      <sheetData sheetId="23">
        <row r="4">
          <cell r="B4">
            <v>50000</v>
          </cell>
        </row>
        <row r="5">
          <cell r="B5">
            <v>4600000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800000</v>
          </cell>
        </row>
        <row r="53">
          <cell r="B53">
            <v>0</v>
          </cell>
        </row>
        <row r="54">
          <cell r="B54">
            <v>2200000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1600000</v>
          </cell>
        </row>
      </sheetData>
      <sheetData sheetId="24">
        <row r="4">
          <cell r="B4">
            <v>2500000</v>
          </cell>
          <cell r="D4">
            <v>2500000</v>
          </cell>
          <cell r="E4">
            <v>0</v>
          </cell>
        </row>
        <row r="6">
          <cell r="B6">
            <v>2500000</v>
          </cell>
        </row>
      </sheetData>
      <sheetData sheetId="25">
        <row r="4">
          <cell r="B4">
            <v>0</v>
          </cell>
        </row>
        <row r="5">
          <cell r="B5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1500</v>
          </cell>
        </row>
        <row r="5">
          <cell r="B5">
            <v>1500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2372124</v>
          </cell>
        </row>
        <row r="31">
          <cell r="B31">
            <v>257124</v>
          </cell>
        </row>
        <row r="32">
          <cell r="B32">
            <v>125000</v>
          </cell>
        </row>
        <row r="33">
          <cell r="B33">
            <v>400000</v>
          </cell>
        </row>
        <row r="34">
          <cell r="B34">
            <v>1590000</v>
          </cell>
        </row>
      </sheetData>
      <sheetData sheetId="1">
        <row r="12">
          <cell r="B12">
            <v>450000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550000</v>
          </cell>
        </row>
        <row r="31">
          <cell r="B31">
            <v>250000</v>
          </cell>
        </row>
        <row r="32">
          <cell r="B32">
            <v>300000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5500000</v>
          </cell>
        </row>
        <row r="22">
          <cell r="B22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  <row r="6">
          <cell r="B6">
            <v>800000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B4">
            <v>250000</v>
          </cell>
          <cell r="D4">
            <v>250000</v>
          </cell>
          <cell r="E4">
            <v>0</v>
          </cell>
        </row>
        <row r="6">
          <cell r="B6">
            <v>250000</v>
          </cell>
        </row>
        <row r="7">
          <cell r="B7">
            <v>0</v>
          </cell>
        </row>
        <row r="12">
          <cell r="C12">
            <v>0</v>
          </cell>
          <cell r="D12">
            <v>1200000</v>
          </cell>
          <cell r="E12">
            <v>1550000</v>
          </cell>
        </row>
        <row r="14">
          <cell r="B14">
            <v>800000</v>
          </cell>
        </row>
        <row r="15">
          <cell r="B15">
            <v>0</v>
          </cell>
          <cell r="C15">
            <v>0</v>
          </cell>
        </row>
        <row r="16">
          <cell r="B16">
            <v>900000</v>
          </cell>
        </row>
        <row r="17">
          <cell r="B17">
            <v>350000</v>
          </cell>
        </row>
        <row r="18">
          <cell r="B18">
            <v>700000</v>
          </cell>
        </row>
        <row r="23">
          <cell r="B23">
            <v>150000</v>
          </cell>
        </row>
        <row r="25">
          <cell r="B25">
            <v>150000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  <cell r="D4">
            <v>0</v>
          </cell>
          <cell r="E4">
            <v>0</v>
          </cell>
        </row>
        <row r="6">
          <cell r="B6">
            <v>0</v>
          </cell>
        </row>
        <row r="13">
          <cell r="D13">
            <v>50000</v>
          </cell>
          <cell r="E13">
            <v>700000</v>
          </cell>
        </row>
        <row r="15">
          <cell r="B15">
            <v>600000</v>
          </cell>
        </row>
        <row r="16">
          <cell r="B16">
            <v>100000</v>
          </cell>
        </row>
        <row r="17">
          <cell r="B17">
            <v>50000</v>
          </cell>
        </row>
      </sheetData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/>
        </row>
        <row r="40">
          <cell r="C40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N235"/>
  <sheetViews>
    <sheetView topLeftCell="B4" zoomScale="78" zoomScaleNormal="78" workbookViewId="0">
      <selection activeCell="L16" sqref="L16"/>
    </sheetView>
  </sheetViews>
  <sheetFormatPr defaultColWidth="9.140625" defaultRowHeight="15.75" outlineLevelRow="1" outlineLevelCol="1" x14ac:dyDescent="0.25"/>
  <cols>
    <col min="1" max="1" width="10.5703125" style="324" customWidth="1"/>
    <col min="2" max="2" width="81.42578125" style="324" customWidth="1"/>
    <col min="3" max="3" width="8.5703125" style="325" bestFit="1" customWidth="1"/>
    <col min="4" max="4" width="14.140625" style="326" hidden="1" customWidth="1"/>
    <col min="5" max="5" width="14" style="326" hidden="1" customWidth="1"/>
    <col min="6" max="6" width="16.28515625" style="326" bestFit="1" customWidth="1"/>
    <col min="7" max="8" width="15.28515625" style="326" bestFit="1" customWidth="1"/>
    <col min="9" max="9" width="14" style="327" customWidth="1" outlineLevel="1"/>
    <col min="10" max="10" width="10.42578125" style="328" bestFit="1" customWidth="1" outlineLevel="1"/>
    <col min="11" max="11" width="9.140625" style="329" bestFit="1" customWidth="1" outlineLevel="1"/>
    <col min="12" max="12" width="37.7109375" style="1867" customWidth="1"/>
    <col min="13" max="13" width="12.42578125" style="274" bestFit="1" customWidth="1"/>
    <col min="14" max="16384" width="9.140625" style="274"/>
  </cols>
  <sheetData>
    <row r="1" spans="1:12" x14ac:dyDescent="0.25">
      <c r="A1" s="268"/>
      <c r="B1" s="268"/>
      <c r="C1" s="269"/>
      <c r="D1" s="270"/>
      <c r="E1" s="270"/>
      <c r="F1" s="270"/>
      <c r="G1" s="270"/>
      <c r="H1" s="270"/>
      <c r="I1" s="271"/>
      <c r="J1" s="272"/>
      <c r="K1" s="273"/>
      <c r="L1" s="1862"/>
    </row>
    <row r="2" spans="1:12" ht="16.5" x14ac:dyDescent="0.3">
      <c r="A2" s="2576" t="s">
        <v>1589</v>
      </c>
      <c r="B2" s="1969"/>
      <c r="C2" s="1970"/>
      <c r="D2" s="1971"/>
      <c r="E2" s="1971"/>
      <c r="F2" s="1971"/>
      <c r="G2" s="1971"/>
      <c r="H2" s="1971"/>
      <c r="I2" s="1972"/>
      <c r="J2" s="1973"/>
      <c r="K2" s="1974"/>
      <c r="L2" s="1975"/>
    </row>
    <row r="3" spans="1:12" x14ac:dyDescent="0.25">
      <c r="A3" s="1976"/>
      <c r="B3" s="1976"/>
      <c r="C3" s="1970"/>
      <c r="D3" s="1977"/>
      <c r="E3" s="1977"/>
      <c r="F3" s="1977"/>
      <c r="G3" s="1977"/>
      <c r="H3" s="1977"/>
      <c r="I3" s="1978"/>
      <c r="J3" s="1979"/>
      <c r="K3" s="1980"/>
      <c r="L3" s="1981"/>
    </row>
    <row r="4" spans="1:12" s="282" customFormat="1" ht="50.25" thickBot="1" x14ac:dyDescent="0.35">
      <c r="A4" s="2577" t="s">
        <v>221</v>
      </c>
      <c r="B4" s="2577"/>
      <c r="C4" s="2578" t="s">
        <v>64</v>
      </c>
      <c r="D4" s="2579" t="s">
        <v>1898</v>
      </c>
      <c r="E4" s="2579" t="s">
        <v>2175</v>
      </c>
      <c r="F4" s="2579" t="s">
        <v>1576</v>
      </c>
      <c r="G4" s="2579" t="s">
        <v>2048</v>
      </c>
      <c r="H4" s="2579" t="s">
        <v>2217</v>
      </c>
      <c r="I4" s="2580" t="s">
        <v>5</v>
      </c>
      <c r="J4" s="2581" t="s">
        <v>677</v>
      </c>
      <c r="K4" s="2582" t="s">
        <v>678</v>
      </c>
      <c r="L4" s="2583" t="s">
        <v>549</v>
      </c>
    </row>
    <row r="5" spans="1:12" ht="11.45" customHeight="1" thickBot="1" x14ac:dyDescent="0.3">
      <c r="A5" s="109"/>
      <c r="B5" s="109"/>
      <c r="C5" s="114"/>
      <c r="D5" s="113"/>
      <c r="E5" s="113"/>
      <c r="F5" s="113"/>
      <c r="G5" s="113"/>
      <c r="H5" s="113"/>
      <c r="I5" s="832"/>
      <c r="J5" s="279"/>
      <c r="K5" s="831"/>
      <c r="L5" s="1863"/>
    </row>
    <row r="6" spans="1:12" s="282" customFormat="1" ht="15" customHeight="1" thickBot="1" x14ac:dyDescent="0.35">
      <c r="A6" s="2584" t="s">
        <v>222</v>
      </c>
      <c r="B6" s="2585" t="s">
        <v>223</v>
      </c>
      <c r="C6" s="2586"/>
      <c r="D6" s="2587">
        <f>SUM(D7:D27)</f>
        <v>160696475.75999999</v>
      </c>
      <c r="E6" s="2587">
        <v>158036075.75999999</v>
      </c>
      <c r="F6" s="2587">
        <v>165407711</v>
      </c>
      <c r="G6" s="2587">
        <v>170345711</v>
      </c>
      <c r="H6" s="2588">
        <f>SUM(H7:H27)</f>
        <v>179464571</v>
      </c>
      <c r="I6" s="2589">
        <f>+H6-G6</f>
        <v>9118860</v>
      </c>
      <c r="J6" s="892"/>
      <c r="K6" s="2590"/>
      <c r="L6" s="893"/>
    </row>
    <row r="7" spans="1:12" s="288" customFormat="1" ht="18" customHeight="1" outlineLevel="1" thickTop="1" x14ac:dyDescent="0.25">
      <c r="A7" s="897"/>
      <c r="B7" s="1536" t="s">
        <v>1155</v>
      </c>
      <c r="C7" s="1527">
        <v>1111</v>
      </c>
      <c r="D7" s="369">
        <v>21990000</v>
      </c>
      <c r="E7" s="369">
        <v>21990000</v>
      </c>
      <c r="F7" s="369">
        <v>21855312</v>
      </c>
      <c r="G7" s="369">
        <v>22855312</v>
      </c>
      <c r="H7" s="842">
        <f>'Příjmy kapitol celkem'!G7</f>
        <v>24855312</v>
      </c>
      <c r="I7" s="1965">
        <f>+H7-G7</f>
        <v>2000000</v>
      </c>
      <c r="J7" s="286"/>
      <c r="K7" s="286"/>
      <c r="L7" s="1859"/>
    </row>
    <row r="8" spans="1:12" s="288" customFormat="1" ht="18" customHeight="1" outlineLevel="1" x14ac:dyDescent="0.25">
      <c r="A8" s="897"/>
      <c r="B8" s="1531" t="s">
        <v>1157</v>
      </c>
      <c r="C8" s="447">
        <v>1112</v>
      </c>
      <c r="D8" s="375">
        <v>743000</v>
      </c>
      <c r="E8" s="375">
        <v>743000</v>
      </c>
      <c r="F8" s="375">
        <v>1416548</v>
      </c>
      <c r="G8" s="375">
        <v>1716548</v>
      </c>
      <c r="H8" s="443">
        <f>'Příjmy kapitol celkem'!G8</f>
        <v>1716548</v>
      </c>
      <c r="I8" s="1965">
        <f t="shared" ref="I8:I71" si="0">+H8-G8</f>
        <v>0</v>
      </c>
      <c r="J8" s="286"/>
      <c r="K8" s="286"/>
      <c r="L8" s="1859"/>
    </row>
    <row r="9" spans="1:12" s="288" customFormat="1" ht="18" customHeight="1" outlineLevel="1" x14ac:dyDescent="0.25">
      <c r="A9" s="897"/>
      <c r="B9" s="1531" t="s">
        <v>1158</v>
      </c>
      <c r="C9" s="447">
        <v>1112</v>
      </c>
      <c r="D9" s="375">
        <v>600000</v>
      </c>
      <c r="E9" s="375">
        <v>1050000</v>
      </c>
      <c r="F9" s="375">
        <v>771800</v>
      </c>
      <c r="G9" s="375">
        <v>771800</v>
      </c>
      <c r="H9" s="443">
        <f>'Příjmy kapitol celkem'!G10</f>
        <v>771800</v>
      </c>
      <c r="I9" s="1965">
        <f t="shared" si="0"/>
        <v>0</v>
      </c>
      <c r="J9" s="286"/>
      <c r="K9" s="286"/>
      <c r="L9" s="1859"/>
    </row>
    <row r="10" spans="1:12" s="288" customFormat="1" ht="18" customHeight="1" outlineLevel="1" x14ac:dyDescent="0.25">
      <c r="A10" s="897"/>
      <c r="B10" s="1531" t="s">
        <v>2238</v>
      </c>
      <c r="C10" s="447">
        <v>1122</v>
      </c>
      <c r="D10" s="375"/>
      <c r="E10" s="375"/>
      <c r="F10" s="375">
        <v>0</v>
      </c>
      <c r="G10" s="375">
        <v>0</v>
      </c>
      <c r="H10" s="443">
        <f>'Příjmy kapitol celkem'!G11</f>
        <v>2118860</v>
      </c>
      <c r="I10" s="1965">
        <f t="shared" si="0"/>
        <v>2118860</v>
      </c>
      <c r="J10" s="286"/>
      <c r="K10" s="286"/>
      <c r="L10" s="1859"/>
    </row>
    <row r="11" spans="1:12" s="288" customFormat="1" ht="18" customHeight="1" outlineLevel="1" x14ac:dyDescent="0.25">
      <c r="A11" s="897"/>
      <c r="B11" s="1531" t="s">
        <v>1156</v>
      </c>
      <c r="C11" s="447">
        <v>1113</v>
      </c>
      <c r="D11" s="375">
        <v>3900000</v>
      </c>
      <c r="E11" s="375">
        <v>4035000</v>
      </c>
      <c r="F11" s="375">
        <v>4553190</v>
      </c>
      <c r="G11" s="375">
        <v>4953190</v>
      </c>
      <c r="H11" s="443">
        <f>'Příjmy kapitol celkem'!G9</f>
        <v>4953190</v>
      </c>
      <c r="I11" s="1965">
        <f t="shared" si="0"/>
        <v>0</v>
      </c>
      <c r="J11" s="286"/>
      <c r="K11" s="286"/>
      <c r="L11" s="1859"/>
    </row>
    <row r="12" spans="1:12" s="288" customFormat="1" ht="18" customHeight="1" outlineLevel="1" x14ac:dyDescent="0.25">
      <c r="A12" s="897"/>
      <c r="B12" s="1531" t="s">
        <v>15</v>
      </c>
      <c r="C12" s="447">
        <v>1121</v>
      </c>
      <c r="D12" s="375">
        <v>30999741.760000002</v>
      </c>
      <c r="E12" s="375">
        <v>30649741.760000002</v>
      </c>
      <c r="F12" s="375">
        <v>31922921</v>
      </c>
      <c r="G12" s="375">
        <v>32922921</v>
      </c>
      <c r="H12" s="443">
        <f>'Příjmy kapitol celkem'!G12</f>
        <v>35922921</v>
      </c>
      <c r="I12" s="1965">
        <f t="shared" si="0"/>
        <v>3000000</v>
      </c>
      <c r="J12" s="286"/>
      <c r="K12" s="286"/>
      <c r="L12" s="1859"/>
    </row>
    <row r="13" spans="1:12" s="288" customFormat="1" ht="18" hidden="1" customHeight="1" outlineLevel="1" x14ac:dyDescent="0.25">
      <c r="A13" s="897"/>
      <c r="B13" s="1531" t="s">
        <v>2176</v>
      </c>
      <c r="C13" s="447">
        <v>1122</v>
      </c>
      <c r="D13" s="375"/>
      <c r="E13" s="375">
        <v>2380000</v>
      </c>
      <c r="F13" s="375"/>
      <c r="G13" s="375"/>
      <c r="H13" s="443"/>
      <c r="I13" s="1965">
        <f t="shared" si="0"/>
        <v>0</v>
      </c>
      <c r="J13" s="286"/>
      <c r="K13" s="286"/>
      <c r="L13" s="1859"/>
    </row>
    <row r="14" spans="1:12" s="288" customFormat="1" ht="18" customHeight="1" outlineLevel="1" x14ac:dyDescent="0.25">
      <c r="A14" s="897"/>
      <c r="B14" s="1531" t="s">
        <v>16</v>
      </c>
      <c r="C14" s="447">
        <v>1211</v>
      </c>
      <c r="D14" s="375">
        <v>73600000</v>
      </c>
      <c r="E14" s="375">
        <v>72000000</v>
      </c>
      <c r="F14" s="375">
        <v>77505412</v>
      </c>
      <c r="G14" s="375">
        <v>78505412</v>
      </c>
      <c r="H14" s="443">
        <f>'Příjmy kapitol celkem'!G13</f>
        <v>80505412</v>
      </c>
      <c r="I14" s="1965">
        <f t="shared" si="0"/>
        <v>2000000</v>
      </c>
      <c r="J14" s="286"/>
      <c r="K14" s="286"/>
      <c r="L14" s="1859"/>
    </row>
    <row r="15" spans="1:12" ht="18" customHeight="1" outlineLevel="1" x14ac:dyDescent="0.25">
      <c r="A15" s="898"/>
      <c r="B15" s="1986" t="s">
        <v>2044</v>
      </c>
      <c r="C15" s="1987" t="s">
        <v>17</v>
      </c>
      <c r="D15" s="1988">
        <v>26000</v>
      </c>
      <c r="E15" s="1988">
        <v>91000</v>
      </c>
      <c r="F15" s="1988">
        <v>26000</v>
      </c>
      <c r="G15" s="1988">
        <v>26000</v>
      </c>
      <c r="H15" s="1989">
        <f>'Příjmy kapitol celkem'!G14</f>
        <v>26000</v>
      </c>
      <c r="I15" s="1965">
        <f t="shared" si="0"/>
        <v>0</v>
      </c>
      <c r="J15" s="286"/>
      <c r="K15" s="287"/>
      <c r="L15" s="291"/>
    </row>
    <row r="16" spans="1:12" s="292" customFormat="1" ht="18" customHeight="1" outlineLevel="1" x14ac:dyDescent="0.25">
      <c r="A16" s="899"/>
      <c r="B16" s="2116" t="s">
        <v>20</v>
      </c>
      <c r="C16" s="2117" t="s">
        <v>19</v>
      </c>
      <c r="D16" s="854">
        <v>7167734</v>
      </c>
      <c r="E16" s="854">
        <v>7167734</v>
      </c>
      <c r="F16" s="854">
        <v>7326528</v>
      </c>
      <c r="G16" s="854">
        <v>7326528</v>
      </c>
      <c r="H16" s="2118">
        <f>'Příjmy kapitol celkem'!G15</f>
        <v>7326528</v>
      </c>
      <c r="I16" s="1965">
        <f t="shared" si="0"/>
        <v>0</v>
      </c>
      <c r="J16" s="286"/>
      <c r="K16" s="286"/>
      <c r="L16" s="291"/>
    </row>
    <row r="17" spans="1:12" ht="18" customHeight="1" outlineLevel="1" x14ac:dyDescent="0.25">
      <c r="A17" s="898"/>
      <c r="B17" s="1986" t="s">
        <v>21</v>
      </c>
      <c r="C17" s="1987">
        <v>1341</v>
      </c>
      <c r="D17" s="1988">
        <v>260000</v>
      </c>
      <c r="E17" s="1988">
        <v>290000</v>
      </c>
      <c r="F17" s="1988">
        <v>260000</v>
      </c>
      <c r="G17" s="1988">
        <v>260000</v>
      </c>
      <c r="H17" s="1989">
        <f>'Příjmy kapitol celkem'!G16</f>
        <v>260000</v>
      </c>
      <c r="I17" s="1965">
        <f t="shared" si="0"/>
        <v>0</v>
      </c>
      <c r="J17" s="286"/>
      <c r="K17" s="287"/>
      <c r="L17" s="291"/>
    </row>
    <row r="18" spans="1:12" ht="18" customHeight="1" outlineLevel="1" x14ac:dyDescent="0.25">
      <c r="A18" s="898"/>
      <c r="B18" s="1986" t="s">
        <v>22</v>
      </c>
      <c r="C18" s="1987">
        <v>1343</v>
      </c>
      <c r="D18" s="1988">
        <v>75000</v>
      </c>
      <c r="E18" s="1988">
        <v>77600</v>
      </c>
      <c r="F18" s="1988">
        <v>75000</v>
      </c>
      <c r="G18" s="1988">
        <v>75000</v>
      </c>
      <c r="H18" s="1989">
        <f>'Příjmy kapitol celkem'!G17</f>
        <v>75000</v>
      </c>
      <c r="I18" s="1965">
        <f t="shared" si="0"/>
        <v>0</v>
      </c>
      <c r="J18" s="286"/>
      <c r="K18" s="287"/>
      <c r="L18" s="291"/>
    </row>
    <row r="19" spans="1:12" ht="18" customHeight="1" outlineLevel="1" x14ac:dyDescent="0.25">
      <c r="A19" s="898"/>
      <c r="B19" s="1986" t="s">
        <v>23</v>
      </c>
      <c r="C19" s="1987">
        <v>1344</v>
      </c>
      <c r="D19" s="1988">
        <v>3000</v>
      </c>
      <c r="E19" s="1988">
        <v>0</v>
      </c>
      <c r="F19" s="1988">
        <v>3000</v>
      </c>
      <c r="G19" s="1988">
        <v>3000</v>
      </c>
      <c r="H19" s="1989">
        <f>'Příjmy kapitol celkem'!G18</f>
        <v>3000</v>
      </c>
      <c r="I19" s="1965">
        <f t="shared" si="0"/>
        <v>0</v>
      </c>
      <c r="J19" s="286"/>
      <c r="K19" s="287"/>
      <c r="L19" s="291"/>
    </row>
    <row r="20" spans="1:12" ht="18" customHeight="1" outlineLevel="1" x14ac:dyDescent="0.25">
      <c r="A20" s="898"/>
      <c r="B20" s="1986" t="s">
        <v>24</v>
      </c>
      <c r="C20" s="1987">
        <v>1345</v>
      </c>
      <c r="D20" s="1988">
        <v>20000</v>
      </c>
      <c r="E20" s="1988">
        <v>0</v>
      </c>
      <c r="F20" s="1988">
        <v>20000</v>
      </c>
      <c r="G20" s="1988">
        <v>20000</v>
      </c>
      <c r="H20" s="1989">
        <f>'Příjmy kapitol celkem'!G19</f>
        <v>20000</v>
      </c>
      <c r="I20" s="1965">
        <f t="shared" si="0"/>
        <v>0</v>
      </c>
      <c r="J20" s="286"/>
      <c r="K20" s="287"/>
      <c r="L20" s="291"/>
    </row>
    <row r="21" spans="1:12" ht="18" hidden="1" customHeight="1" outlineLevel="1" x14ac:dyDescent="0.25">
      <c r="A21" s="898"/>
      <c r="B21" s="1986" t="s">
        <v>25</v>
      </c>
      <c r="C21" s="1987">
        <v>1347</v>
      </c>
      <c r="D21" s="1988">
        <v>0</v>
      </c>
      <c r="E21" s="1988">
        <v>0</v>
      </c>
      <c r="F21" s="1988">
        <v>0</v>
      </c>
      <c r="G21" s="1988">
        <v>0</v>
      </c>
      <c r="H21" s="1989">
        <f>'Příjmy kapitol celkem'!G20</f>
        <v>0</v>
      </c>
      <c r="I21" s="1965">
        <f t="shared" si="0"/>
        <v>0</v>
      </c>
      <c r="J21" s="286"/>
      <c r="K21" s="287"/>
      <c r="L21" s="291"/>
    </row>
    <row r="22" spans="1:12" ht="18" customHeight="1" outlineLevel="1" x14ac:dyDescent="0.25">
      <c r="A22" s="898"/>
      <c r="B22" s="1986" t="s">
        <v>27</v>
      </c>
      <c r="C22" s="1987" t="s">
        <v>26</v>
      </c>
      <c r="D22" s="1988">
        <v>3740000</v>
      </c>
      <c r="E22" s="1988">
        <v>3840000</v>
      </c>
      <c r="F22" s="1988">
        <v>2500000</v>
      </c>
      <c r="G22" s="1988">
        <v>2500000</v>
      </c>
      <c r="H22" s="1989">
        <f>'Příjmy kapitol celkem'!G21</f>
        <v>2500000</v>
      </c>
      <c r="I22" s="1965">
        <f t="shared" si="0"/>
        <v>0</v>
      </c>
      <c r="J22" s="286"/>
      <c r="K22" s="287"/>
      <c r="L22" s="291"/>
    </row>
    <row r="23" spans="1:12" s="292" customFormat="1" outlineLevel="1" x14ac:dyDescent="0.25">
      <c r="A23" s="899"/>
      <c r="B23" s="1990" t="s">
        <v>481</v>
      </c>
      <c r="C23" s="1987" t="s">
        <v>26</v>
      </c>
      <c r="D23" s="1988">
        <v>5900000</v>
      </c>
      <c r="E23" s="1988">
        <v>800000</v>
      </c>
      <c r="F23" s="1988">
        <v>5500000</v>
      </c>
      <c r="G23" s="1988">
        <v>5000000</v>
      </c>
      <c r="H23" s="1989">
        <f>'Příjmy kapitol celkem'!G22</f>
        <v>5000000</v>
      </c>
      <c r="I23" s="1965">
        <f t="shared" si="0"/>
        <v>0</v>
      </c>
      <c r="J23" s="286"/>
      <c r="K23" s="286"/>
      <c r="L23" s="1870"/>
    </row>
    <row r="24" spans="1:12" s="292" customFormat="1" outlineLevel="1" x14ac:dyDescent="0.25">
      <c r="A24" s="899"/>
      <c r="B24" s="1986" t="s">
        <v>31</v>
      </c>
      <c r="C24" s="1987" t="s">
        <v>30</v>
      </c>
      <c r="D24" s="1988">
        <v>1500000</v>
      </c>
      <c r="E24" s="1988">
        <v>1200000</v>
      </c>
      <c r="F24" s="1988">
        <v>1500000</v>
      </c>
      <c r="G24" s="1988">
        <v>1500000</v>
      </c>
      <c r="H24" s="1989">
        <f>'Příjmy kapitol celkem'!G25</f>
        <v>1500000</v>
      </c>
      <c r="I24" s="1965">
        <f t="shared" si="0"/>
        <v>0</v>
      </c>
      <c r="J24" s="286"/>
      <c r="K24" s="286"/>
      <c r="L24" s="1870"/>
    </row>
    <row r="25" spans="1:12" ht="18" customHeight="1" outlineLevel="1" x14ac:dyDescent="0.25">
      <c r="A25" s="898"/>
      <c r="B25" s="1986" t="s">
        <v>29</v>
      </c>
      <c r="C25" s="1987">
        <v>1381</v>
      </c>
      <c r="D25" s="1988">
        <v>1000000</v>
      </c>
      <c r="E25" s="1988">
        <v>1000000</v>
      </c>
      <c r="F25" s="1988">
        <v>1000000</v>
      </c>
      <c r="G25" s="1988">
        <v>1000000</v>
      </c>
      <c r="H25" s="1989">
        <f>'Příjmy kapitol celkem'!G24</f>
        <v>1000000</v>
      </c>
      <c r="I25" s="1965">
        <f t="shared" si="0"/>
        <v>0</v>
      </c>
      <c r="J25" s="286"/>
      <c r="K25" s="287"/>
      <c r="L25" s="291"/>
    </row>
    <row r="26" spans="1:12" ht="18" customHeight="1" outlineLevel="1" x14ac:dyDescent="0.25">
      <c r="A26" s="898"/>
      <c r="B26" s="1986" t="s">
        <v>483</v>
      </c>
      <c r="C26" s="1987">
        <v>1385</v>
      </c>
      <c r="D26" s="1988">
        <v>1362000</v>
      </c>
      <c r="E26" s="1988">
        <v>3162000</v>
      </c>
      <c r="F26" s="1988">
        <v>1362000</v>
      </c>
      <c r="G26" s="1988">
        <v>3100000</v>
      </c>
      <c r="H26" s="1989">
        <f>'Příjmy kapitol celkem'!G23</f>
        <v>3100000</v>
      </c>
      <c r="I26" s="1965">
        <f t="shared" si="0"/>
        <v>0</v>
      </c>
      <c r="J26" s="286"/>
      <c r="K26" s="287"/>
      <c r="L26" s="291"/>
    </row>
    <row r="27" spans="1:12" s="292" customFormat="1" ht="18" customHeight="1" outlineLevel="1" x14ac:dyDescent="0.25">
      <c r="A27" s="899"/>
      <c r="B27" s="1531" t="s">
        <v>32</v>
      </c>
      <c r="C27" s="447">
        <v>1511</v>
      </c>
      <c r="D27" s="375">
        <v>7810000</v>
      </c>
      <c r="E27" s="375">
        <v>7560000</v>
      </c>
      <c r="F27" s="375">
        <v>7810000</v>
      </c>
      <c r="G27" s="375">
        <v>7810000</v>
      </c>
      <c r="H27" s="443">
        <f>'Příjmy kapitol celkem'!G26</f>
        <v>7810000</v>
      </c>
      <c r="I27" s="1965">
        <f t="shared" si="0"/>
        <v>0</v>
      </c>
      <c r="J27" s="286"/>
      <c r="K27" s="286"/>
      <c r="L27" s="291"/>
    </row>
    <row r="28" spans="1:12" s="292" customFormat="1" ht="18" hidden="1" customHeight="1" outlineLevel="1" x14ac:dyDescent="0.25">
      <c r="A28" s="899"/>
      <c r="B28" s="1531"/>
      <c r="C28" s="2358"/>
      <c r="D28" s="398"/>
      <c r="E28" s="398"/>
      <c r="F28" s="398"/>
      <c r="G28" s="398"/>
      <c r="H28" s="845"/>
      <c r="I28" s="1965">
        <f t="shared" si="0"/>
        <v>0</v>
      </c>
      <c r="J28" s="286"/>
      <c r="K28" s="286"/>
      <c r="L28" s="291"/>
    </row>
    <row r="29" spans="1:12" ht="13.5" customHeight="1" x14ac:dyDescent="0.25">
      <c r="A29" s="898"/>
      <c r="B29" s="1528"/>
      <c r="C29" s="1524"/>
      <c r="D29" s="1663"/>
      <c r="E29" s="1663"/>
      <c r="F29" s="1663"/>
      <c r="G29" s="1663"/>
      <c r="H29" s="1525"/>
      <c r="I29" s="1965">
        <f t="shared" si="0"/>
        <v>0</v>
      </c>
      <c r="J29" s="286"/>
      <c r="K29" s="287"/>
      <c r="L29" s="291"/>
    </row>
    <row r="30" spans="1:12" s="282" customFormat="1" ht="17.25" thickBot="1" x14ac:dyDescent="0.35">
      <c r="A30" s="2591" t="s">
        <v>224</v>
      </c>
      <c r="B30" s="2592" t="s">
        <v>225</v>
      </c>
      <c r="C30" s="2593"/>
      <c r="D30" s="2594">
        <v>27980213</v>
      </c>
      <c r="E30" s="2594">
        <v>31796813</v>
      </c>
      <c r="F30" s="2594">
        <v>27638955.215100706</v>
      </c>
      <c r="G30" s="2594">
        <v>28952967</v>
      </c>
      <c r="H30" s="2595">
        <f>SUM(H31:H78)</f>
        <v>31014467</v>
      </c>
      <c r="I30" s="2596">
        <f t="shared" si="0"/>
        <v>2061500</v>
      </c>
      <c r="J30" s="2597"/>
      <c r="K30" s="2598"/>
      <c r="L30" s="2599"/>
    </row>
    <row r="31" spans="1:12" ht="16.5" customHeight="1" outlineLevel="1" thickTop="1" x14ac:dyDescent="0.25">
      <c r="A31" s="898"/>
      <c r="B31" s="1533" t="s">
        <v>34</v>
      </c>
      <c r="C31" s="895" t="s">
        <v>33</v>
      </c>
      <c r="D31" s="1664">
        <v>0</v>
      </c>
      <c r="E31" s="1664"/>
      <c r="F31" s="1664">
        <v>0</v>
      </c>
      <c r="G31" s="1664">
        <v>0</v>
      </c>
      <c r="H31" s="902">
        <f>'Příjmy kapitol celkem'!G27</f>
        <v>0</v>
      </c>
      <c r="I31" s="1965">
        <f t="shared" si="0"/>
        <v>0</v>
      </c>
      <c r="J31" s="286"/>
      <c r="K31" s="287"/>
      <c r="L31" s="291"/>
    </row>
    <row r="32" spans="1:12" ht="17.25" customHeight="1" outlineLevel="1" x14ac:dyDescent="0.25">
      <c r="A32" s="898"/>
      <c r="B32" s="1526" t="s">
        <v>1546</v>
      </c>
      <c r="C32" s="339">
        <v>2111</v>
      </c>
      <c r="D32" s="211">
        <v>21950</v>
      </c>
      <c r="E32" s="211">
        <v>24950</v>
      </c>
      <c r="F32" s="211">
        <v>21950</v>
      </c>
      <c r="G32" s="211">
        <v>21950</v>
      </c>
      <c r="H32" s="212">
        <f>'Příjmy kapitol celkem'!G31</f>
        <v>21950</v>
      </c>
      <c r="I32" s="1965">
        <f t="shared" si="0"/>
        <v>0</v>
      </c>
      <c r="J32" s="286"/>
      <c r="K32" s="287"/>
      <c r="L32" s="291"/>
    </row>
    <row r="33" spans="1:12" ht="17.25" customHeight="1" outlineLevel="1" x14ac:dyDescent="0.25">
      <c r="A33" s="898"/>
      <c r="B33" s="1526" t="s">
        <v>1547</v>
      </c>
      <c r="C33" s="339">
        <v>2322</v>
      </c>
      <c r="D33" s="211">
        <v>21000</v>
      </c>
      <c r="E33" s="211">
        <v>24000</v>
      </c>
      <c r="F33" s="211">
        <v>0</v>
      </c>
      <c r="G33" s="211">
        <v>0</v>
      </c>
      <c r="H33" s="212">
        <f>'Příjmy kapitol celkem'!G32</f>
        <v>466100</v>
      </c>
      <c r="I33" s="1965">
        <f t="shared" si="0"/>
        <v>466100</v>
      </c>
      <c r="J33" s="286"/>
      <c r="K33" s="287"/>
      <c r="L33" s="291"/>
    </row>
    <row r="34" spans="1:12" s="288" customFormat="1" ht="17.25" customHeight="1" outlineLevel="1" x14ac:dyDescent="0.25">
      <c r="A34" s="897"/>
      <c r="B34" s="1531" t="s">
        <v>42</v>
      </c>
      <c r="C34" s="447" t="s">
        <v>41</v>
      </c>
      <c r="D34" s="375">
        <v>4806120</v>
      </c>
      <c r="E34" s="375">
        <v>4806120</v>
      </c>
      <c r="F34" s="375">
        <v>5301561.8771703541</v>
      </c>
      <c r="G34" s="375">
        <v>4806120</v>
      </c>
      <c r="H34" s="443">
        <f>'Příjmy kapitol celkem'!G33</f>
        <v>4806120</v>
      </c>
      <c r="I34" s="1965">
        <f t="shared" si="0"/>
        <v>0</v>
      </c>
      <c r="J34" s="293"/>
      <c r="K34" s="293"/>
      <c r="L34" s="291"/>
    </row>
    <row r="35" spans="1:12" s="288" customFormat="1" ht="17.25" customHeight="1" outlineLevel="1" x14ac:dyDescent="0.25">
      <c r="A35" s="897"/>
      <c r="B35" s="1531" t="s">
        <v>44</v>
      </c>
      <c r="C35" s="447" t="s">
        <v>41</v>
      </c>
      <c r="D35" s="375">
        <v>8646660</v>
      </c>
      <c r="E35" s="375">
        <v>8646660</v>
      </c>
      <c r="F35" s="375">
        <v>9538006.3379303496</v>
      </c>
      <c r="G35" s="375">
        <v>8646660</v>
      </c>
      <c r="H35" s="443">
        <f>'Příjmy kapitol celkem'!G34</f>
        <v>8646660</v>
      </c>
      <c r="I35" s="1965">
        <f t="shared" si="0"/>
        <v>0</v>
      </c>
      <c r="J35" s="293"/>
      <c r="K35" s="293"/>
      <c r="L35" s="291"/>
    </row>
    <row r="36" spans="1:12" ht="17.25" customHeight="1" outlineLevel="1" x14ac:dyDescent="0.25">
      <c r="A36" s="898"/>
      <c r="B36" s="1526" t="s">
        <v>46</v>
      </c>
      <c r="C36" s="339" t="s">
        <v>45</v>
      </c>
      <c r="D36" s="1988">
        <v>50000</v>
      </c>
      <c r="E36" s="1988">
        <v>35000</v>
      </c>
      <c r="F36" s="1988">
        <v>50000</v>
      </c>
      <c r="G36" s="1988">
        <v>50000</v>
      </c>
      <c r="H36" s="212">
        <f>'Příjmy kapitol celkem'!G35</f>
        <v>50000</v>
      </c>
      <c r="I36" s="1965">
        <f t="shared" si="0"/>
        <v>0</v>
      </c>
      <c r="J36" s="286"/>
      <c r="K36" s="287"/>
      <c r="L36" s="291"/>
    </row>
    <row r="37" spans="1:12" ht="17.25" customHeight="1" outlineLevel="1" x14ac:dyDescent="0.25">
      <c r="A37" s="898"/>
      <c r="B37" s="1526" t="s">
        <v>47</v>
      </c>
      <c r="C37" s="339" t="s">
        <v>41</v>
      </c>
      <c r="D37" s="211">
        <v>154000</v>
      </c>
      <c r="E37" s="211">
        <v>249000</v>
      </c>
      <c r="F37" s="211">
        <v>154000</v>
      </c>
      <c r="G37" s="211">
        <v>249000</v>
      </c>
      <c r="H37" s="212">
        <f>'Příjmy kapitol celkem'!G36</f>
        <v>249000</v>
      </c>
      <c r="I37" s="1965">
        <f t="shared" si="0"/>
        <v>0</v>
      </c>
      <c r="J37" s="286"/>
      <c r="K37" s="287"/>
      <c r="L37" s="291"/>
    </row>
    <row r="38" spans="1:12" ht="17.25" customHeight="1" outlineLevel="1" x14ac:dyDescent="0.25">
      <c r="A38" s="898"/>
      <c r="B38" s="1526" t="s">
        <v>48</v>
      </c>
      <c r="C38" s="339">
        <v>2111</v>
      </c>
      <c r="D38" s="211">
        <v>50000</v>
      </c>
      <c r="E38" s="211">
        <v>64000</v>
      </c>
      <c r="F38" s="211">
        <v>50000</v>
      </c>
      <c r="G38" s="211">
        <v>50000</v>
      </c>
      <c r="H38" s="212">
        <f>'Příjmy kapitol celkem'!G37</f>
        <v>50000</v>
      </c>
      <c r="I38" s="1965">
        <f t="shared" si="0"/>
        <v>0</v>
      </c>
      <c r="J38" s="286"/>
      <c r="K38" s="287"/>
      <c r="L38" s="291"/>
    </row>
    <row r="39" spans="1:12" ht="17.25" customHeight="1" outlineLevel="1" x14ac:dyDescent="0.25">
      <c r="A39" s="898"/>
      <c r="B39" s="1526" t="s">
        <v>1548</v>
      </c>
      <c r="C39" s="339">
        <v>2321</v>
      </c>
      <c r="D39" s="211">
        <v>5000</v>
      </c>
      <c r="E39" s="211">
        <v>5000</v>
      </c>
      <c r="F39" s="211">
        <v>0</v>
      </c>
      <c r="G39" s="211">
        <v>0</v>
      </c>
      <c r="H39" s="212">
        <f>'Příjmy kapitol celkem'!G38</f>
        <v>0</v>
      </c>
      <c r="I39" s="1965">
        <f t="shared" si="0"/>
        <v>0</v>
      </c>
      <c r="J39" s="286"/>
      <c r="K39" s="287"/>
      <c r="L39" s="291"/>
    </row>
    <row r="40" spans="1:12" ht="17.25" customHeight="1" outlineLevel="1" x14ac:dyDescent="0.25">
      <c r="A40" s="898"/>
      <c r="B40" s="1526" t="s">
        <v>49</v>
      </c>
      <c r="C40" s="339">
        <v>2111</v>
      </c>
      <c r="D40" s="211">
        <v>250000</v>
      </c>
      <c r="E40" s="211">
        <v>210000</v>
      </c>
      <c r="F40" s="211">
        <v>250000</v>
      </c>
      <c r="G40" s="211">
        <v>250000</v>
      </c>
      <c r="H40" s="212">
        <f>'Příjmy kapitol celkem'!G39</f>
        <v>250000</v>
      </c>
      <c r="I40" s="1965">
        <f t="shared" si="0"/>
        <v>0</v>
      </c>
      <c r="J40" s="286"/>
      <c r="K40" s="287"/>
      <c r="L40" s="291"/>
    </row>
    <row r="41" spans="1:12" ht="17.25" customHeight="1" outlineLevel="1" x14ac:dyDescent="0.25">
      <c r="A41" s="898"/>
      <c r="B41" s="1526" t="s">
        <v>50</v>
      </c>
      <c r="C41" s="339" t="s">
        <v>45</v>
      </c>
      <c r="D41" s="211">
        <v>70000</v>
      </c>
      <c r="E41" s="211">
        <v>76000</v>
      </c>
      <c r="F41" s="211">
        <v>70000</v>
      </c>
      <c r="G41" s="211">
        <v>70000</v>
      </c>
      <c r="H41" s="212">
        <f>'Příjmy kapitol celkem'!G40</f>
        <v>70000</v>
      </c>
      <c r="I41" s="1965">
        <f t="shared" si="0"/>
        <v>0</v>
      </c>
      <c r="J41" s="286"/>
      <c r="K41" s="287"/>
      <c r="L41" s="291"/>
    </row>
    <row r="42" spans="1:12" ht="17.25" customHeight="1" outlineLevel="1" x14ac:dyDescent="0.25">
      <c r="A42" s="898"/>
      <c r="B42" s="1526" t="s">
        <v>51</v>
      </c>
      <c r="C42" s="339">
        <v>2132</v>
      </c>
      <c r="D42" s="211">
        <v>660010</v>
      </c>
      <c r="E42" s="211">
        <v>685010</v>
      </c>
      <c r="F42" s="211">
        <v>660010</v>
      </c>
      <c r="G42" s="211">
        <v>660010</v>
      </c>
      <c r="H42" s="212">
        <f>'Příjmy kapitol celkem'!G41</f>
        <v>660010</v>
      </c>
      <c r="I42" s="1965">
        <f t="shared" si="0"/>
        <v>0</v>
      </c>
      <c r="J42" s="286"/>
      <c r="K42" s="287"/>
      <c r="L42" s="291"/>
    </row>
    <row r="43" spans="1:12" ht="17.25" customHeight="1" outlineLevel="1" x14ac:dyDescent="0.25">
      <c r="A43" s="898"/>
      <c r="B43" s="1526" t="s">
        <v>52</v>
      </c>
      <c r="C43" s="339">
        <v>2132</v>
      </c>
      <c r="D43" s="211">
        <v>765800</v>
      </c>
      <c r="E43" s="211">
        <v>828800</v>
      </c>
      <c r="F43" s="211">
        <v>765800</v>
      </c>
      <c r="G43" s="211">
        <v>828800</v>
      </c>
      <c r="H43" s="212">
        <f>'Příjmy kapitol celkem'!G42</f>
        <v>828800</v>
      </c>
      <c r="I43" s="1965">
        <f t="shared" si="0"/>
        <v>0</v>
      </c>
      <c r="J43" s="286"/>
      <c r="K43" s="287"/>
      <c r="L43" s="291"/>
    </row>
    <row r="44" spans="1:12" ht="17.25" customHeight="1" outlineLevel="1" x14ac:dyDescent="0.25">
      <c r="A44" s="898"/>
      <c r="B44" s="1526" t="s">
        <v>53</v>
      </c>
      <c r="C44" s="339">
        <v>2111</v>
      </c>
      <c r="D44" s="211">
        <v>2340000</v>
      </c>
      <c r="E44" s="211">
        <v>2470832</v>
      </c>
      <c r="F44" s="211">
        <v>2950832</v>
      </c>
      <c r="G44" s="211">
        <v>2950832</v>
      </c>
      <c r="H44" s="212">
        <f>'Příjmy kapitol celkem'!G43</f>
        <v>2950832</v>
      </c>
      <c r="I44" s="1965">
        <f t="shared" si="0"/>
        <v>0</v>
      </c>
      <c r="J44" s="286"/>
      <c r="K44" s="287"/>
      <c r="L44" s="291"/>
    </row>
    <row r="45" spans="1:12" ht="17.100000000000001" customHeight="1" outlineLevel="1" x14ac:dyDescent="0.25">
      <c r="A45" s="898"/>
      <c r="B45" s="1526" t="s">
        <v>54</v>
      </c>
      <c r="C45" s="339">
        <v>2132</v>
      </c>
      <c r="D45" s="211">
        <v>3600000</v>
      </c>
      <c r="E45" s="211">
        <v>4800000</v>
      </c>
      <c r="F45" s="211">
        <v>3600000</v>
      </c>
      <c r="G45" s="211">
        <v>4800000</v>
      </c>
      <c r="H45" s="212">
        <f>'Příjmy kapitol celkem'!G44</f>
        <v>4800000</v>
      </c>
      <c r="I45" s="1965">
        <f t="shared" si="0"/>
        <v>0</v>
      </c>
      <c r="J45" s="286"/>
      <c r="K45" s="287"/>
      <c r="L45" s="291"/>
    </row>
    <row r="46" spans="1:12" ht="17.25" hidden="1" customHeight="1" outlineLevel="1" x14ac:dyDescent="0.25">
      <c r="A46" s="898"/>
      <c r="B46" s="1526" t="s">
        <v>1549</v>
      </c>
      <c r="C46" s="339">
        <v>2322</v>
      </c>
      <c r="D46" s="211">
        <v>51800</v>
      </c>
      <c r="E46" s="211">
        <v>38100</v>
      </c>
      <c r="F46" s="211">
        <v>0</v>
      </c>
      <c r="G46" s="211">
        <v>0</v>
      </c>
      <c r="H46" s="212">
        <f>'Příjmy kapitol celkem'!G45</f>
        <v>0</v>
      </c>
      <c r="I46" s="1965">
        <f t="shared" si="0"/>
        <v>0</v>
      </c>
      <c r="J46" s="286"/>
      <c r="K46" s="287"/>
      <c r="L46" s="291"/>
    </row>
    <row r="47" spans="1:12" ht="17.25" hidden="1" customHeight="1" outlineLevel="1" x14ac:dyDescent="0.25">
      <c r="A47" s="898"/>
      <c r="B47" s="1526" t="s">
        <v>1243</v>
      </c>
      <c r="C47" s="339">
        <v>3122</v>
      </c>
      <c r="D47" s="211">
        <v>0</v>
      </c>
      <c r="E47" s="211">
        <v>1680000</v>
      </c>
      <c r="F47" s="211">
        <v>0</v>
      </c>
      <c r="G47" s="211">
        <v>0</v>
      </c>
      <c r="H47" s="212">
        <f>'Příjmy kapitol celkem'!G46</f>
        <v>0</v>
      </c>
      <c r="I47" s="1965">
        <f t="shared" si="0"/>
        <v>0</v>
      </c>
      <c r="J47" s="286"/>
      <c r="K47" s="287"/>
      <c r="L47" s="291"/>
    </row>
    <row r="48" spans="1:12" ht="17.25" customHeight="1" outlineLevel="1" x14ac:dyDescent="0.25">
      <c r="A48" s="898"/>
      <c r="B48" s="1526" t="s">
        <v>55</v>
      </c>
      <c r="C48" s="339" t="s">
        <v>45</v>
      </c>
      <c r="D48" s="211">
        <v>81000</v>
      </c>
      <c r="E48" s="211">
        <v>81000</v>
      </c>
      <c r="F48" s="211">
        <v>81000</v>
      </c>
      <c r="G48" s="211">
        <v>81000</v>
      </c>
      <c r="H48" s="212">
        <f>'Příjmy kapitol celkem'!G47</f>
        <v>81000</v>
      </c>
      <c r="I48" s="1965">
        <f t="shared" si="0"/>
        <v>0</v>
      </c>
      <c r="J48" s="286"/>
      <c r="K48" s="287"/>
      <c r="L48" s="291"/>
    </row>
    <row r="49" spans="1:12" ht="17.25" customHeight="1" outlineLevel="1" x14ac:dyDescent="0.25">
      <c r="A49" s="898"/>
      <c r="B49" s="1526" t="s">
        <v>504</v>
      </c>
      <c r="C49" s="339">
        <v>2132</v>
      </c>
      <c r="D49" s="211">
        <v>179395</v>
      </c>
      <c r="E49" s="211">
        <v>179395</v>
      </c>
      <c r="F49" s="211">
        <v>179395</v>
      </c>
      <c r="G49" s="211">
        <v>179395</v>
      </c>
      <c r="H49" s="212">
        <f>'Příjmy kapitol celkem'!G48</f>
        <v>179395</v>
      </c>
      <c r="I49" s="1965">
        <f t="shared" si="0"/>
        <v>0</v>
      </c>
      <c r="J49" s="286"/>
      <c r="K49" s="287"/>
      <c r="L49" s="291"/>
    </row>
    <row r="50" spans="1:12" ht="17.25" customHeight="1" outlineLevel="1" x14ac:dyDescent="0.25">
      <c r="A50" s="898"/>
      <c r="B50" s="1526" t="s">
        <v>746</v>
      </c>
      <c r="C50" s="339">
        <v>2111</v>
      </c>
      <c r="D50" s="211">
        <v>78000</v>
      </c>
      <c r="E50" s="211">
        <v>148000</v>
      </c>
      <c r="F50" s="211">
        <v>78000</v>
      </c>
      <c r="G50" s="211">
        <v>78000</v>
      </c>
      <c r="H50" s="212">
        <f>'Příjmy kapitol celkem'!G49</f>
        <v>78000</v>
      </c>
      <c r="I50" s="1965">
        <f t="shared" si="0"/>
        <v>0</v>
      </c>
      <c r="J50" s="286"/>
      <c r="K50" s="287"/>
      <c r="L50" s="291"/>
    </row>
    <row r="51" spans="1:12" ht="17.25" customHeight="1" outlineLevel="1" x14ac:dyDescent="0.25">
      <c r="A51" s="898"/>
      <c r="B51" s="1526" t="s">
        <v>56</v>
      </c>
      <c r="C51" s="339">
        <v>2132</v>
      </c>
      <c r="D51" s="211">
        <v>400000</v>
      </c>
      <c r="E51" s="211">
        <v>500000</v>
      </c>
      <c r="F51" s="211">
        <v>400000</v>
      </c>
      <c r="G51" s="211">
        <v>400000</v>
      </c>
      <c r="H51" s="212">
        <f>'Příjmy kapitol celkem'!G50</f>
        <v>400000</v>
      </c>
      <c r="I51" s="1965">
        <f t="shared" si="0"/>
        <v>0</v>
      </c>
      <c r="J51" s="286"/>
      <c r="K51" s="287"/>
      <c r="L51" s="291"/>
    </row>
    <row r="52" spans="1:12" ht="17.25" customHeight="1" outlineLevel="1" x14ac:dyDescent="0.25">
      <c r="A52" s="898"/>
      <c r="B52" s="1526" t="s">
        <v>489</v>
      </c>
      <c r="C52" s="339">
        <v>2132</v>
      </c>
      <c r="D52" s="211">
        <v>1063000</v>
      </c>
      <c r="E52" s="211">
        <v>1063000</v>
      </c>
      <c r="F52" s="211">
        <v>1063000</v>
      </c>
      <c r="G52" s="211">
        <v>1063000</v>
      </c>
      <c r="H52" s="212">
        <f>'Příjmy kapitol celkem'!G51</f>
        <v>1063000</v>
      </c>
      <c r="I52" s="1965">
        <f t="shared" si="0"/>
        <v>0</v>
      </c>
      <c r="J52" s="286"/>
      <c r="K52" s="287"/>
      <c r="L52" s="291"/>
    </row>
    <row r="53" spans="1:12" s="292" customFormat="1" ht="17.25" customHeight="1" outlineLevel="1" x14ac:dyDescent="0.25">
      <c r="A53" s="899"/>
      <c r="B53" s="1986" t="s">
        <v>57</v>
      </c>
      <c r="C53" s="1987">
        <v>2111</v>
      </c>
      <c r="D53" s="211">
        <v>250000</v>
      </c>
      <c r="E53" s="211">
        <v>190000</v>
      </c>
      <c r="F53" s="211">
        <v>250000</v>
      </c>
      <c r="G53" s="211">
        <v>250000</v>
      </c>
      <c r="H53" s="212">
        <f>'Příjmy kapitol celkem'!G52</f>
        <v>250000</v>
      </c>
      <c r="I53" s="1965">
        <f t="shared" si="0"/>
        <v>0</v>
      </c>
      <c r="J53" s="286"/>
      <c r="K53" s="286"/>
      <c r="L53" s="291"/>
    </row>
    <row r="54" spans="1:12" s="292" customFormat="1" ht="17.25" customHeight="1" outlineLevel="1" x14ac:dyDescent="0.25">
      <c r="A54" s="899"/>
      <c r="B54" s="1986" t="s">
        <v>1550</v>
      </c>
      <c r="C54" s="1987">
        <v>2321</v>
      </c>
      <c r="D54" s="211">
        <v>127050</v>
      </c>
      <c r="E54" s="211">
        <v>127050</v>
      </c>
      <c r="F54" s="211">
        <v>0</v>
      </c>
      <c r="G54" s="211">
        <v>300000</v>
      </c>
      <c r="H54" s="212">
        <f>'Příjmy kapitol celkem'!G53</f>
        <v>300000</v>
      </c>
      <c r="I54" s="1965">
        <f t="shared" si="0"/>
        <v>0</v>
      </c>
      <c r="J54" s="286"/>
      <c r="K54" s="286"/>
      <c r="L54" s="291"/>
    </row>
    <row r="55" spans="1:12" s="292" customFormat="1" ht="17.25" hidden="1" customHeight="1" outlineLevel="1" x14ac:dyDescent="0.25">
      <c r="A55" s="899"/>
      <c r="B55" s="1986" t="s">
        <v>1549</v>
      </c>
      <c r="C55" s="1987">
        <v>2322</v>
      </c>
      <c r="D55" s="211">
        <v>51800</v>
      </c>
      <c r="E55" s="211">
        <v>51800</v>
      </c>
      <c r="F55" s="211">
        <v>0</v>
      </c>
      <c r="G55" s="211">
        <v>0</v>
      </c>
      <c r="H55" s="212">
        <f>'Příjmy kapitol celkem'!G54</f>
        <v>0</v>
      </c>
      <c r="I55" s="1965">
        <f t="shared" si="0"/>
        <v>0</v>
      </c>
      <c r="J55" s="286"/>
      <c r="K55" s="286"/>
      <c r="L55" s="291"/>
    </row>
    <row r="56" spans="1:12" ht="17.25" customHeight="1" outlineLevel="1" x14ac:dyDescent="0.25">
      <c r="A56" s="898"/>
      <c r="B56" s="1526" t="s">
        <v>969</v>
      </c>
      <c r="C56" s="339" t="s">
        <v>45</v>
      </c>
      <c r="D56" s="211">
        <v>1200000</v>
      </c>
      <c r="E56" s="211">
        <v>1950000</v>
      </c>
      <c r="F56" s="211">
        <v>1200000</v>
      </c>
      <c r="G56" s="211">
        <v>1950000</v>
      </c>
      <c r="H56" s="212">
        <f>'Příjmy kapitol celkem'!G55</f>
        <v>1950000</v>
      </c>
      <c r="I56" s="1965">
        <f t="shared" si="0"/>
        <v>0</v>
      </c>
      <c r="J56" s="286"/>
      <c r="K56" s="287"/>
      <c r="L56" s="291"/>
    </row>
    <row r="57" spans="1:12" ht="17.25" customHeight="1" outlineLevel="1" x14ac:dyDescent="0.25">
      <c r="A57" s="898"/>
      <c r="B57" s="1526" t="s">
        <v>478</v>
      </c>
      <c r="C57" s="339" t="s">
        <v>45</v>
      </c>
      <c r="D57" s="211">
        <v>600000</v>
      </c>
      <c r="E57" s="211">
        <v>550000</v>
      </c>
      <c r="F57" s="211">
        <v>600000</v>
      </c>
      <c r="G57" s="211">
        <v>600000</v>
      </c>
      <c r="H57" s="212">
        <f>'Příjmy kapitol celkem'!G56</f>
        <v>600000</v>
      </c>
      <c r="I57" s="1965">
        <f t="shared" si="0"/>
        <v>0</v>
      </c>
      <c r="J57" s="286"/>
      <c r="K57" s="287"/>
      <c r="L57" s="291"/>
    </row>
    <row r="58" spans="1:12" ht="17.25" customHeight="1" outlineLevel="1" x14ac:dyDescent="0.25">
      <c r="A58" s="898"/>
      <c r="B58" s="1526" t="s">
        <v>747</v>
      </c>
      <c r="C58" s="339">
        <v>2111</v>
      </c>
      <c r="D58" s="211">
        <v>20000</v>
      </c>
      <c r="E58" s="211"/>
      <c r="F58" s="211">
        <v>20000</v>
      </c>
      <c r="G58" s="211">
        <v>20000</v>
      </c>
      <c r="H58" s="212">
        <f>'Příjmy kapitol celkem'!G57</f>
        <v>20000</v>
      </c>
      <c r="I58" s="1965">
        <f t="shared" si="0"/>
        <v>0</v>
      </c>
      <c r="J58" s="286"/>
      <c r="K58" s="287"/>
      <c r="L58" s="291"/>
    </row>
    <row r="59" spans="1:12" ht="17.25" hidden="1" customHeight="1" outlineLevel="1" x14ac:dyDescent="0.25">
      <c r="A59" s="898"/>
      <c r="B59" s="1526" t="s">
        <v>2177</v>
      </c>
      <c r="C59" s="339">
        <v>2324</v>
      </c>
      <c r="D59" s="211">
        <v>0</v>
      </c>
      <c r="E59" s="211">
        <v>344600</v>
      </c>
      <c r="F59" s="211">
        <v>0</v>
      </c>
      <c r="G59" s="211">
        <v>0</v>
      </c>
      <c r="H59" s="212">
        <f>'Příjmy kapitol celkem'!G58</f>
        <v>0</v>
      </c>
      <c r="I59" s="1965">
        <f t="shared" si="0"/>
        <v>0</v>
      </c>
      <c r="J59" s="286"/>
      <c r="K59" s="287"/>
      <c r="L59" s="291"/>
    </row>
    <row r="60" spans="1:12" ht="17.25" hidden="1" customHeight="1" outlineLevel="1" x14ac:dyDescent="0.25">
      <c r="A60" s="898"/>
      <c r="B60" s="1526" t="s">
        <v>1520</v>
      </c>
      <c r="C60" s="339">
        <v>2321</v>
      </c>
      <c r="D60" s="211">
        <v>265596</v>
      </c>
      <c r="E60" s="211">
        <v>265596</v>
      </c>
      <c r="F60" s="211">
        <v>0</v>
      </c>
      <c r="G60" s="211">
        <v>0</v>
      </c>
      <c r="H60" s="212">
        <f>'Příjmy kapitol celkem'!G60</f>
        <v>0</v>
      </c>
      <c r="I60" s="1965">
        <f t="shared" si="0"/>
        <v>0</v>
      </c>
      <c r="J60" s="286"/>
      <c r="K60" s="287"/>
      <c r="L60" s="291"/>
    </row>
    <row r="61" spans="1:12" ht="17.25" customHeight="1" outlineLevel="1" x14ac:dyDescent="0.25">
      <c r="A61" s="898"/>
      <c r="B61" s="1526" t="s">
        <v>2248</v>
      </c>
      <c r="C61" s="339">
        <v>2324</v>
      </c>
      <c r="D61" s="211"/>
      <c r="E61" s="211"/>
      <c r="F61" s="211"/>
      <c r="G61" s="211">
        <v>292800</v>
      </c>
      <c r="H61" s="212">
        <f>'Příjmy kapitol celkem'!G59</f>
        <v>751800</v>
      </c>
      <c r="I61" s="1965">
        <f t="shared" si="0"/>
        <v>459000</v>
      </c>
      <c r="J61" s="286"/>
      <c r="K61" s="287"/>
      <c r="L61" s="291"/>
    </row>
    <row r="62" spans="1:12" ht="17.25" customHeight="1" outlineLevel="1" x14ac:dyDescent="0.25">
      <c r="A62" s="898"/>
      <c r="B62" s="1526" t="s">
        <v>748</v>
      </c>
      <c r="C62" s="339">
        <v>2132</v>
      </c>
      <c r="D62" s="211">
        <v>24000</v>
      </c>
      <c r="E62" s="211">
        <v>46000</v>
      </c>
      <c r="F62" s="211">
        <v>24000</v>
      </c>
      <c r="G62" s="211">
        <v>24000</v>
      </c>
      <c r="H62" s="212">
        <f>'Příjmy kapitol celkem'!G61</f>
        <v>24000</v>
      </c>
      <c r="I62" s="1965">
        <f t="shared" si="0"/>
        <v>0</v>
      </c>
      <c r="J62" s="286"/>
      <c r="K62" s="287"/>
      <c r="L62" s="291"/>
    </row>
    <row r="63" spans="1:12" ht="17.25" customHeight="1" outlineLevel="1" x14ac:dyDescent="0.25">
      <c r="A63" s="898"/>
      <c r="B63" s="1526" t="s">
        <v>58</v>
      </c>
      <c r="C63" s="339">
        <v>2111</v>
      </c>
      <c r="D63" s="211">
        <v>17000</v>
      </c>
      <c r="E63" s="211">
        <v>28100</v>
      </c>
      <c r="F63" s="211">
        <v>17000</v>
      </c>
      <c r="G63" s="211">
        <v>17000</v>
      </c>
      <c r="H63" s="212">
        <f>'Příjmy kapitol celkem'!G62</f>
        <v>17000</v>
      </c>
      <c r="I63" s="1965">
        <f t="shared" si="0"/>
        <v>0</v>
      </c>
      <c r="J63" s="286"/>
      <c r="K63" s="287"/>
      <c r="L63" s="291"/>
    </row>
    <row r="64" spans="1:12" ht="17.25" hidden="1" customHeight="1" outlineLevel="1" x14ac:dyDescent="0.25">
      <c r="A64" s="898"/>
      <c r="B64" s="1526" t="s">
        <v>1244</v>
      </c>
      <c r="C64" s="339">
        <v>2111</v>
      </c>
      <c r="D64" s="211">
        <v>0</v>
      </c>
      <c r="E64" s="211">
        <v>3400</v>
      </c>
      <c r="F64" s="211">
        <v>0</v>
      </c>
      <c r="G64" s="211">
        <v>0</v>
      </c>
      <c r="H64" s="212">
        <f>'Příjmy kapitol celkem'!G63</f>
        <v>0</v>
      </c>
      <c r="I64" s="1965">
        <f t="shared" si="0"/>
        <v>0</v>
      </c>
      <c r="J64" s="286"/>
      <c r="K64" s="287"/>
      <c r="L64" s="291"/>
    </row>
    <row r="65" spans="1:12" ht="17.25" hidden="1" customHeight="1" outlineLevel="1" x14ac:dyDescent="0.25">
      <c r="A65" s="898"/>
      <c r="B65" s="1526" t="s">
        <v>2032</v>
      </c>
      <c r="C65" s="339">
        <v>2324</v>
      </c>
      <c r="D65" s="211">
        <v>265600</v>
      </c>
      <c r="E65" s="211">
        <v>692500</v>
      </c>
      <c r="F65" s="211"/>
      <c r="G65" s="211"/>
      <c r="H65" s="212"/>
      <c r="I65" s="1965">
        <f t="shared" si="0"/>
        <v>0</v>
      </c>
      <c r="J65" s="286"/>
      <c r="K65" s="287"/>
      <c r="L65" s="291"/>
    </row>
    <row r="66" spans="1:12" ht="17.25" hidden="1" customHeight="1" outlineLevel="1" x14ac:dyDescent="0.25">
      <c r="A66" s="898"/>
      <c r="B66" s="1526" t="s">
        <v>554</v>
      </c>
      <c r="C66" s="339">
        <v>2322</v>
      </c>
      <c r="D66" s="211">
        <v>0</v>
      </c>
      <c r="E66" s="211"/>
      <c r="F66" s="211">
        <v>0</v>
      </c>
      <c r="G66" s="211">
        <v>0</v>
      </c>
      <c r="H66" s="212">
        <f>'Příjmy kapitol celkem'!G64</f>
        <v>0</v>
      </c>
      <c r="I66" s="1965">
        <f t="shared" si="0"/>
        <v>0</v>
      </c>
      <c r="J66" s="286"/>
      <c r="K66" s="287"/>
      <c r="L66" s="291"/>
    </row>
    <row r="67" spans="1:12" ht="17.25" hidden="1" customHeight="1" outlineLevel="1" x14ac:dyDescent="0.25">
      <c r="A67" s="898"/>
      <c r="B67" s="1526" t="s">
        <v>1245</v>
      </c>
      <c r="C67" s="339">
        <v>2321</v>
      </c>
      <c r="D67" s="211">
        <v>0</v>
      </c>
      <c r="E67" s="211"/>
      <c r="F67" s="211">
        <v>0</v>
      </c>
      <c r="G67" s="211">
        <v>0</v>
      </c>
      <c r="H67" s="212">
        <f>'Příjmy kapitol celkem'!G65</f>
        <v>0</v>
      </c>
      <c r="I67" s="1965">
        <f t="shared" si="0"/>
        <v>0</v>
      </c>
      <c r="J67" s="286"/>
      <c r="K67" s="287"/>
      <c r="L67" s="291"/>
    </row>
    <row r="68" spans="1:12" ht="17.25" hidden="1" customHeight="1" outlineLevel="1" x14ac:dyDescent="0.25">
      <c r="A68" s="898"/>
      <c r="B68" s="1526" t="s">
        <v>554</v>
      </c>
      <c r="C68" s="339">
        <v>2322</v>
      </c>
      <c r="D68" s="211">
        <v>0</v>
      </c>
      <c r="E68" s="211"/>
      <c r="F68" s="211">
        <v>0</v>
      </c>
      <c r="G68" s="211">
        <v>0</v>
      </c>
      <c r="H68" s="212">
        <f>'Příjmy kapitol celkem'!G66</f>
        <v>0</v>
      </c>
      <c r="I68" s="1965">
        <f t="shared" si="0"/>
        <v>0</v>
      </c>
      <c r="J68" s="286"/>
      <c r="K68" s="287"/>
      <c r="L68" s="291"/>
    </row>
    <row r="69" spans="1:12" ht="17.25" hidden="1" customHeight="1" outlineLevel="1" x14ac:dyDescent="0.25">
      <c r="A69" s="898"/>
      <c r="B69" s="1526" t="s">
        <v>554</v>
      </c>
      <c r="C69" s="339">
        <v>2322</v>
      </c>
      <c r="D69" s="211">
        <v>0</v>
      </c>
      <c r="E69" s="211"/>
      <c r="F69" s="211">
        <v>0</v>
      </c>
      <c r="G69" s="211">
        <v>0</v>
      </c>
      <c r="H69" s="212">
        <f>'Příjmy kapitol celkem'!G67</f>
        <v>0</v>
      </c>
      <c r="I69" s="1965">
        <f t="shared" si="0"/>
        <v>0</v>
      </c>
      <c r="J69" s="286"/>
      <c r="K69" s="287"/>
      <c r="L69" s="291"/>
    </row>
    <row r="70" spans="1:12" ht="17.25" customHeight="1" outlineLevel="1" x14ac:dyDescent="0.25">
      <c r="A70" s="898"/>
      <c r="B70" s="1526" t="s">
        <v>1246</v>
      </c>
      <c r="C70" s="339">
        <v>2212</v>
      </c>
      <c r="D70" s="211">
        <v>0</v>
      </c>
      <c r="E70" s="211"/>
      <c r="F70" s="211">
        <v>0</v>
      </c>
      <c r="G70" s="211">
        <v>0</v>
      </c>
      <c r="H70" s="212">
        <f>'Příjmy kapitol celkem'!G68</f>
        <v>40000</v>
      </c>
      <c r="I70" s="1965">
        <f t="shared" si="0"/>
        <v>40000</v>
      </c>
      <c r="J70" s="286"/>
      <c r="K70" s="287"/>
      <c r="L70" s="291"/>
    </row>
    <row r="71" spans="1:12" ht="17.25" hidden="1" customHeight="1" outlineLevel="1" x14ac:dyDescent="0.25">
      <c r="A71" s="898"/>
      <c r="B71" s="1526" t="s">
        <v>226</v>
      </c>
      <c r="C71" s="339">
        <v>2322</v>
      </c>
      <c r="D71" s="211">
        <v>0</v>
      </c>
      <c r="E71" s="211">
        <v>22400</v>
      </c>
      <c r="F71" s="211">
        <v>0</v>
      </c>
      <c r="G71" s="211">
        <v>0</v>
      </c>
      <c r="H71" s="212">
        <f>'Příjmy kapitol celkem'!G69</f>
        <v>0</v>
      </c>
      <c r="I71" s="1965">
        <f t="shared" si="0"/>
        <v>0</v>
      </c>
      <c r="J71" s="286"/>
      <c r="K71" s="287"/>
      <c r="L71" s="291"/>
    </row>
    <row r="72" spans="1:12" ht="17.25" hidden="1" customHeight="1" outlineLevel="1" x14ac:dyDescent="0.25">
      <c r="A72" s="898"/>
      <c r="B72" s="1526" t="s">
        <v>1247</v>
      </c>
      <c r="C72" s="339">
        <v>2212</v>
      </c>
      <c r="D72" s="211">
        <v>0</v>
      </c>
      <c r="E72" s="211">
        <v>230300</v>
      </c>
      <c r="F72" s="211">
        <v>0</v>
      </c>
      <c r="G72" s="211">
        <v>0</v>
      </c>
      <c r="H72" s="212">
        <f>'Příjmy kapitol celkem'!G70</f>
        <v>0</v>
      </c>
      <c r="I72" s="1965">
        <f t="shared" ref="I72:I74" si="1">+H72-G72</f>
        <v>0</v>
      </c>
      <c r="J72" s="286"/>
      <c r="K72" s="287"/>
      <c r="L72" s="291"/>
    </row>
    <row r="73" spans="1:12" ht="17.25" customHeight="1" outlineLevel="1" x14ac:dyDescent="0.25">
      <c r="A73" s="898"/>
      <c r="B73" s="1526" t="s">
        <v>2240</v>
      </c>
      <c r="C73" s="339">
        <v>2212</v>
      </c>
      <c r="D73" s="211"/>
      <c r="E73" s="211"/>
      <c r="F73" s="211"/>
      <c r="G73" s="211"/>
      <c r="H73" s="212">
        <f>'Příjmy kapitol celkem'!G71</f>
        <v>96400</v>
      </c>
      <c r="I73" s="1965">
        <f t="shared" si="1"/>
        <v>96400</v>
      </c>
      <c r="J73" s="286"/>
      <c r="K73" s="287"/>
      <c r="L73" s="291"/>
    </row>
    <row r="74" spans="1:12" ht="17.100000000000001" customHeight="1" outlineLevel="1" x14ac:dyDescent="0.25">
      <c r="A74" s="898"/>
      <c r="B74" s="1526" t="s">
        <v>749</v>
      </c>
      <c r="C74" s="339">
        <v>2141</v>
      </c>
      <c r="D74" s="211">
        <v>10000</v>
      </c>
      <c r="E74" s="211">
        <v>2000</v>
      </c>
      <c r="F74" s="211">
        <v>10000</v>
      </c>
      <c r="G74" s="211">
        <v>10000</v>
      </c>
      <c r="H74" s="212">
        <f>'Příjmy kapitol celkem'!G72</f>
        <v>10000</v>
      </c>
      <c r="I74" s="1965">
        <f t="shared" si="1"/>
        <v>0</v>
      </c>
      <c r="J74" s="286"/>
      <c r="K74" s="287"/>
      <c r="L74" s="291"/>
    </row>
    <row r="75" spans="1:12" ht="17.25" customHeight="1" outlineLevel="1" x14ac:dyDescent="0.25">
      <c r="A75" s="898"/>
      <c r="B75" s="1526" t="s">
        <v>484</v>
      </c>
      <c r="C75" s="339">
        <v>2132</v>
      </c>
      <c r="D75" s="211">
        <v>4400</v>
      </c>
      <c r="E75" s="211">
        <v>8800</v>
      </c>
      <c r="F75" s="211">
        <v>4400</v>
      </c>
      <c r="G75" s="211">
        <v>4400</v>
      </c>
      <c r="H75" s="212">
        <f>'Příjmy kapitol celkem'!G73</f>
        <v>4400</v>
      </c>
      <c r="I75" s="1965">
        <f t="shared" ref="I75:I137" si="2">+H75-G75</f>
        <v>0</v>
      </c>
      <c r="J75" s="286"/>
      <c r="K75" s="287"/>
      <c r="L75" s="291"/>
    </row>
    <row r="76" spans="1:12" outlineLevel="1" x14ac:dyDescent="0.25">
      <c r="A76" s="898"/>
      <c r="B76" s="1526" t="s">
        <v>750</v>
      </c>
      <c r="C76" s="339">
        <v>2119</v>
      </c>
      <c r="D76" s="211">
        <v>300000</v>
      </c>
      <c r="E76" s="211">
        <v>120000</v>
      </c>
      <c r="F76" s="211">
        <v>300000</v>
      </c>
      <c r="G76" s="211">
        <v>300000</v>
      </c>
      <c r="H76" s="212">
        <f>'Příjmy kapitol celkem'!G75</f>
        <v>300000</v>
      </c>
      <c r="I76" s="1965">
        <f t="shared" si="2"/>
        <v>0</v>
      </c>
      <c r="J76" s="286"/>
      <c r="K76" s="287"/>
      <c r="L76" s="291"/>
    </row>
    <row r="77" spans="1:12" outlineLevel="1" x14ac:dyDescent="0.25">
      <c r="A77" s="898"/>
      <c r="B77" s="1526" t="s">
        <v>2246</v>
      </c>
      <c r="C77" s="1524">
        <v>2329</v>
      </c>
      <c r="D77" s="211"/>
      <c r="E77" s="211"/>
      <c r="F77" s="211"/>
      <c r="G77" s="211"/>
      <c r="H77" s="212">
        <f>'Příjmy kapitol celkem'!G76</f>
        <v>1000000</v>
      </c>
      <c r="I77" s="1965">
        <f t="shared" si="2"/>
        <v>1000000</v>
      </c>
      <c r="J77" s="286"/>
      <c r="K77" s="287"/>
      <c r="L77" s="291"/>
    </row>
    <row r="78" spans="1:12" hidden="1" outlineLevel="1" x14ac:dyDescent="0.25">
      <c r="A78" s="898"/>
      <c r="B78" s="1535" t="s">
        <v>62</v>
      </c>
      <c r="C78" s="1524" t="s">
        <v>45</v>
      </c>
      <c r="D78" s="211">
        <v>0</v>
      </c>
      <c r="E78" s="211"/>
      <c r="F78" s="211">
        <v>0</v>
      </c>
      <c r="G78" s="211">
        <v>0</v>
      </c>
      <c r="H78" s="212">
        <f>'Příjmy kapitol celkem'!G78</f>
        <v>0</v>
      </c>
      <c r="I78" s="1965">
        <f t="shared" si="2"/>
        <v>0</v>
      </c>
      <c r="J78" s="286"/>
      <c r="K78" s="287"/>
      <c r="L78" s="291"/>
    </row>
    <row r="79" spans="1:12" ht="18" customHeight="1" x14ac:dyDescent="0.25">
      <c r="A79" s="898"/>
      <c r="B79" s="1528"/>
      <c r="C79" s="1524"/>
      <c r="D79" s="1663"/>
      <c r="E79" s="1663"/>
      <c r="F79" s="1663"/>
      <c r="G79" s="1663"/>
      <c r="H79" s="1525"/>
      <c r="I79" s="1965">
        <f t="shared" si="2"/>
        <v>0</v>
      </c>
      <c r="J79" s="286"/>
      <c r="K79" s="287"/>
      <c r="L79" s="291"/>
    </row>
    <row r="80" spans="1:12" s="282" customFormat="1" ht="17.25" thickBot="1" x14ac:dyDescent="0.35">
      <c r="A80" s="2591" t="s">
        <v>227</v>
      </c>
      <c r="B80" s="2592" t="s">
        <v>228</v>
      </c>
      <c r="C80" s="2593"/>
      <c r="D80" s="2594">
        <v>65000</v>
      </c>
      <c r="E80" s="2594">
        <v>195000</v>
      </c>
      <c r="F80" s="2594">
        <v>65000</v>
      </c>
      <c r="G80" s="2594">
        <v>65000</v>
      </c>
      <c r="H80" s="2595">
        <f>SUM(H81:H83)</f>
        <v>65000</v>
      </c>
      <c r="I80" s="2596">
        <f t="shared" si="2"/>
        <v>0</v>
      </c>
      <c r="J80" s="2597"/>
      <c r="K80" s="2598"/>
      <c r="L80" s="2599"/>
    </row>
    <row r="81" spans="1:12" ht="16.5" customHeight="1" outlineLevel="1" thickTop="1" x14ac:dyDescent="0.25">
      <c r="A81" s="898"/>
      <c r="B81" s="1533" t="s">
        <v>229</v>
      </c>
      <c r="C81" s="895">
        <v>3111</v>
      </c>
      <c r="D81" s="1664">
        <v>0</v>
      </c>
      <c r="E81" s="1664">
        <v>130000</v>
      </c>
      <c r="F81" s="1664">
        <v>0</v>
      </c>
      <c r="G81" s="1664">
        <v>0</v>
      </c>
      <c r="H81" s="902">
        <f>'Příjmy kapitol celkem'!G77</f>
        <v>0</v>
      </c>
      <c r="I81" s="1965">
        <f t="shared" si="2"/>
        <v>0</v>
      </c>
      <c r="J81" s="286"/>
      <c r="K81" s="287"/>
      <c r="L81" s="291"/>
    </row>
    <row r="82" spans="1:12" ht="16.5" customHeight="1" outlineLevel="1" x14ac:dyDescent="0.25">
      <c r="A82" s="898"/>
      <c r="B82" s="1526" t="s">
        <v>60</v>
      </c>
      <c r="C82" s="339" t="s">
        <v>59</v>
      </c>
      <c r="D82" s="211">
        <v>65000</v>
      </c>
      <c r="E82" s="211">
        <v>65000</v>
      </c>
      <c r="F82" s="211">
        <v>65000</v>
      </c>
      <c r="G82" s="211">
        <v>65000</v>
      </c>
      <c r="H82" s="212">
        <f>'Příjmy kapitol celkem'!G74</f>
        <v>65000</v>
      </c>
      <c r="I82" s="1965">
        <f t="shared" si="2"/>
        <v>0</v>
      </c>
      <c r="J82" s="286"/>
      <c r="K82" s="287"/>
      <c r="L82" s="291"/>
    </row>
    <row r="83" spans="1:12" ht="16.5" hidden="1" customHeight="1" outlineLevel="1" x14ac:dyDescent="0.25">
      <c r="A83" s="898"/>
      <c r="B83" s="1526" t="s">
        <v>230</v>
      </c>
      <c r="C83" s="339">
        <v>2132</v>
      </c>
      <c r="D83" s="211"/>
      <c r="E83" s="211"/>
      <c r="F83" s="211"/>
      <c r="G83" s="211"/>
      <c r="H83" s="212"/>
      <c r="I83" s="1965">
        <f t="shared" si="2"/>
        <v>0</v>
      </c>
      <c r="J83" s="286"/>
      <c r="K83" s="287"/>
      <c r="L83" s="291"/>
    </row>
    <row r="84" spans="1:12" ht="13.5" customHeight="1" outlineLevel="1" x14ac:dyDescent="0.25">
      <c r="A84" s="898"/>
      <c r="B84" s="1526"/>
      <c r="C84" s="1524"/>
      <c r="D84" s="1663"/>
      <c r="E84" s="1663"/>
      <c r="F84" s="1663"/>
      <c r="G84" s="1663"/>
      <c r="H84" s="1525"/>
      <c r="I84" s="1965"/>
      <c r="J84" s="286"/>
      <c r="K84" s="287"/>
      <c r="L84" s="291"/>
    </row>
    <row r="85" spans="1:12" s="282" customFormat="1" ht="18.600000000000001" customHeight="1" thickBot="1" x14ac:dyDescent="0.35">
      <c r="A85" s="2591" t="s">
        <v>231</v>
      </c>
      <c r="B85" s="2592" t="s">
        <v>232</v>
      </c>
      <c r="C85" s="2593"/>
      <c r="D85" s="2594">
        <v>21885002</v>
      </c>
      <c r="E85" s="2594">
        <v>23737907</v>
      </c>
      <c r="F85" s="2594">
        <v>29030776</v>
      </c>
      <c r="G85" s="2594">
        <v>29768876</v>
      </c>
      <c r="H85" s="2595">
        <f>SUM(H86:H109)</f>
        <v>36715368</v>
      </c>
      <c r="I85" s="2596">
        <f t="shared" si="2"/>
        <v>6946492</v>
      </c>
      <c r="J85" s="2597"/>
      <c r="K85" s="2598"/>
      <c r="L85" s="2599"/>
    </row>
    <row r="86" spans="1:12" ht="19.5" customHeight="1" outlineLevel="1" thickTop="1" x14ac:dyDescent="0.25">
      <c r="A86" s="898"/>
      <c r="B86" s="1526" t="s">
        <v>2213</v>
      </c>
      <c r="C86" s="339">
        <v>4111</v>
      </c>
      <c r="D86" s="211">
        <v>505485</v>
      </c>
      <c r="E86" s="211">
        <v>443819</v>
      </c>
      <c r="F86" s="211">
        <v>0</v>
      </c>
      <c r="G86" s="211">
        <v>130800</v>
      </c>
      <c r="H86" s="212">
        <f>'Příjmy kapitol celkem'!G28</f>
        <v>130800</v>
      </c>
      <c r="I86" s="1965">
        <f t="shared" si="2"/>
        <v>0</v>
      </c>
      <c r="J86" s="286"/>
      <c r="K86" s="287"/>
      <c r="L86" s="291"/>
    </row>
    <row r="87" spans="1:12" ht="19.5" customHeight="1" outlineLevel="1" x14ac:dyDescent="0.25">
      <c r="A87" s="898"/>
      <c r="B87" s="1526" t="s">
        <v>676</v>
      </c>
      <c r="C87" s="339">
        <v>4116</v>
      </c>
      <c r="D87" s="211">
        <v>90000</v>
      </c>
      <c r="E87" s="211">
        <v>90000</v>
      </c>
      <c r="F87" s="211">
        <v>60000</v>
      </c>
      <c r="G87" s="211">
        <v>60000</v>
      </c>
      <c r="H87" s="212">
        <f>'Příjmy kapitol celkem'!G29</f>
        <v>60000</v>
      </c>
      <c r="I87" s="1965">
        <f t="shared" si="2"/>
        <v>0</v>
      </c>
      <c r="J87" s="286"/>
      <c r="K87" s="287"/>
      <c r="L87" s="291"/>
    </row>
    <row r="88" spans="1:12" ht="19.5" customHeight="1" outlineLevel="1" x14ac:dyDescent="0.25">
      <c r="A88" s="898"/>
      <c r="B88" s="1526" t="s">
        <v>2243</v>
      </c>
      <c r="C88" s="895">
        <v>4116</v>
      </c>
      <c r="D88" s="1664"/>
      <c r="E88" s="1664"/>
      <c r="F88" s="1664"/>
      <c r="G88" s="1664">
        <v>0</v>
      </c>
      <c r="H88" s="902">
        <f>'Příjmy kapitol celkem'!G30</f>
        <v>7103692</v>
      </c>
      <c r="I88" s="1965">
        <f t="shared" si="2"/>
        <v>7103692</v>
      </c>
      <c r="J88" s="286"/>
      <c r="K88" s="287"/>
      <c r="L88" s="291"/>
    </row>
    <row r="89" spans="1:12" ht="19.5" hidden="1" customHeight="1" outlineLevel="1" x14ac:dyDescent="0.25">
      <c r="A89" s="898"/>
      <c r="B89" s="894" t="s">
        <v>2178</v>
      </c>
      <c r="C89" s="895" t="s">
        <v>35</v>
      </c>
      <c r="D89" s="1664"/>
      <c r="E89" s="1664">
        <v>43200</v>
      </c>
      <c r="F89" s="1664"/>
      <c r="G89" s="1664"/>
      <c r="H89" s="902"/>
      <c r="I89" s="1965">
        <f t="shared" si="2"/>
        <v>0</v>
      </c>
      <c r="J89" s="286"/>
      <c r="K89" s="287"/>
      <c r="L89" s="291"/>
    </row>
    <row r="90" spans="1:12" ht="19.5" hidden="1" customHeight="1" outlineLevel="1" x14ac:dyDescent="0.25">
      <c r="A90" s="898"/>
      <c r="B90" s="1526" t="s">
        <v>2179</v>
      </c>
      <c r="C90" s="339">
        <v>4121</v>
      </c>
      <c r="D90" s="211"/>
      <c r="E90" s="211">
        <v>116000</v>
      </c>
      <c r="F90" s="211"/>
      <c r="G90" s="211"/>
      <c r="H90" s="212"/>
      <c r="I90" s="1965">
        <f t="shared" si="2"/>
        <v>0</v>
      </c>
      <c r="J90" s="286"/>
      <c r="K90" s="287"/>
      <c r="L90" s="291"/>
    </row>
    <row r="91" spans="1:12" ht="19.5" hidden="1" customHeight="1" outlineLevel="1" x14ac:dyDescent="0.25">
      <c r="A91" s="898"/>
      <c r="B91" s="894" t="s">
        <v>2180</v>
      </c>
      <c r="C91" s="895">
        <v>4121</v>
      </c>
      <c r="D91" s="1664"/>
      <c r="E91" s="1664">
        <v>54055</v>
      </c>
      <c r="F91" s="1664"/>
      <c r="G91" s="1664"/>
      <c r="H91" s="902"/>
      <c r="I91" s="1965">
        <f t="shared" si="2"/>
        <v>0</v>
      </c>
      <c r="J91" s="286"/>
      <c r="K91" s="287"/>
      <c r="L91" s="291"/>
    </row>
    <row r="92" spans="1:12" ht="19.5" hidden="1" customHeight="1" outlineLevel="1" x14ac:dyDescent="0.25">
      <c r="A92" s="898"/>
      <c r="B92" s="894" t="s">
        <v>2181</v>
      </c>
      <c r="C92" s="895">
        <v>4122</v>
      </c>
      <c r="D92" s="1664"/>
      <c r="E92" s="1664">
        <v>61666</v>
      </c>
      <c r="F92" s="1664"/>
      <c r="G92" s="1664"/>
      <c r="H92" s="902"/>
      <c r="I92" s="1965">
        <f t="shared" si="2"/>
        <v>0</v>
      </c>
      <c r="J92" s="286"/>
      <c r="K92" s="287"/>
      <c r="L92" s="291"/>
    </row>
    <row r="93" spans="1:12" ht="19.5" customHeight="1" outlineLevel="1" x14ac:dyDescent="0.25">
      <c r="A93" s="898"/>
      <c r="B93" s="894" t="s">
        <v>36</v>
      </c>
      <c r="C93" s="895">
        <v>4112</v>
      </c>
      <c r="D93" s="1664">
        <v>9501800</v>
      </c>
      <c r="E93" s="1664">
        <v>9501800</v>
      </c>
      <c r="F93" s="1664">
        <v>9501000</v>
      </c>
      <c r="G93" s="1664">
        <v>10108300</v>
      </c>
      <c r="H93" s="902">
        <f>'Příjmy kapitol celkem'!G79</f>
        <v>10108300</v>
      </c>
      <c r="I93" s="1965">
        <f t="shared" si="2"/>
        <v>0</v>
      </c>
      <c r="J93" s="286"/>
      <c r="K93" s="287"/>
      <c r="L93" s="291"/>
    </row>
    <row r="94" spans="1:12" ht="19.5" hidden="1" customHeight="1" outlineLevel="1" x14ac:dyDescent="0.25">
      <c r="A94" s="898"/>
      <c r="B94" s="894" t="s">
        <v>2185</v>
      </c>
      <c r="C94" s="895">
        <v>4222</v>
      </c>
      <c r="D94" s="1664"/>
      <c r="E94" s="1664">
        <v>82000</v>
      </c>
      <c r="F94" s="1664"/>
      <c r="G94" s="1664"/>
      <c r="H94" s="902"/>
      <c r="I94" s="1965">
        <f t="shared" si="2"/>
        <v>0</v>
      </c>
      <c r="J94" s="286"/>
      <c r="K94" s="287"/>
      <c r="L94" s="291"/>
    </row>
    <row r="95" spans="1:12" ht="19.5" hidden="1" customHeight="1" outlineLevel="1" x14ac:dyDescent="0.25">
      <c r="A95" s="898"/>
      <c r="B95" s="894" t="s">
        <v>2182</v>
      </c>
      <c r="C95" s="895" t="s">
        <v>37</v>
      </c>
      <c r="D95" s="211"/>
      <c r="E95" s="211">
        <v>60000</v>
      </c>
      <c r="F95" s="211"/>
      <c r="G95" s="211"/>
      <c r="H95" s="212"/>
      <c r="I95" s="1965">
        <f t="shared" si="2"/>
        <v>0</v>
      </c>
      <c r="J95" s="286"/>
      <c r="K95" s="287"/>
      <c r="L95" s="291"/>
    </row>
    <row r="96" spans="1:12" ht="19.5" hidden="1" customHeight="1" outlineLevel="1" x14ac:dyDescent="0.25">
      <c r="A96" s="898"/>
      <c r="B96" s="894" t="s">
        <v>2183</v>
      </c>
      <c r="C96" s="895">
        <v>4216</v>
      </c>
      <c r="D96" s="211"/>
      <c r="E96" s="211">
        <v>2196250</v>
      </c>
      <c r="F96" s="211"/>
      <c r="G96" s="211"/>
      <c r="H96" s="212"/>
      <c r="I96" s="1965">
        <f t="shared" si="2"/>
        <v>0</v>
      </c>
      <c r="J96" s="286"/>
      <c r="K96" s="287"/>
      <c r="L96" s="291"/>
    </row>
    <row r="97" spans="1:12" ht="19.5" hidden="1" customHeight="1" outlineLevel="1" x14ac:dyDescent="0.25">
      <c r="A97" s="898"/>
      <c r="B97" s="1526" t="s">
        <v>2020</v>
      </c>
      <c r="C97" s="339">
        <v>4117</v>
      </c>
      <c r="D97" s="211">
        <v>255000</v>
      </c>
      <c r="E97" s="211">
        <v>255000</v>
      </c>
      <c r="F97" s="211"/>
      <c r="G97" s="211"/>
      <c r="H97" s="212"/>
      <c r="I97" s="1965">
        <f t="shared" si="2"/>
        <v>0</v>
      </c>
      <c r="J97" s="286"/>
      <c r="K97" s="287"/>
      <c r="L97" s="291"/>
    </row>
    <row r="98" spans="1:12" ht="19.5" customHeight="1" outlineLevel="1" x14ac:dyDescent="0.25">
      <c r="A98" s="898"/>
      <c r="B98" s="1526" t="s">
        <v>350</v>
      </c>
      <c r="C98" s="339">
        <v>4121</v>
      </c>
      <c r="D98" s="211">
        <v>400000</v>
      </c>
      <c r="E98" s="211"/>
      <c r="F98" s="211">
        <v>400000</v>
      </c>
      <c r="G98" s="211">
        <v>400000</v>
      </c>
      <c r="H98" s="212">
        <f>'Příjmy kapitol celkem'!G81</f>
        <v>400000</v>
      </c>
      <c r="I98" s="1965">
        <f t="shared" si="2"/>
        <v>0</v>
      </c>
      <c r="J98" s="286"/>
      <c r="K98" s="287"/>
      <c r="L98" s="291"/>
    </row>
    <row r="99" spans="1:12" ht="19.5" customHeight="1" outlineLevel="1" x14ac:dyDescent="0.25">
      <c r="A99" s="898"/>
      <c r="B99" s="1526" t="s">
        <v>351</v>
      </c>
      <c r="C99" s="339">
        <v>4121</v>
      </c>
      <c r="D99" s="211">
        <v>898400</v>
      </c>
      <c r="E99" s="211">
        <v>1332650</v>
      </c>
      <c r="F99" s="211">
        <v>898400</v>
      </c>
      <c r="G99" s="211">
        <v>898400</v>
      </c>
      <c r="H99" s="212">
        <f>'Příjmy kapitol celkem'!G82</f>
        <v>898400</v>
      </c>
      <c r="I99" s="1965">
        <f t="shared" si="2"/>
        <v>0</v>
      </c>
      <c r="J99" s="286"/>
      <c r="K99" s="287"/>
      <c r="L99" s="291"/>
    </row>
    <row r="100" spans="1:12" ht="19.5" hidden="1" customHeight="1" outlineLevel="1" x14ac:dyDescent="0.25">
      <c r="A100" s="898"/>
      <c r="B100" s="1526" t="s">
        <v>967</v>
      </c>
      <c r="C100" s="339">
        <v>4216</v>
      </c>
      <c r="D100" s="211">
        <v>0</v>
      </c>
      <c r="E100" s="211"/>
      <c r="F100" s="211">
        <v>0</v>
      </c>
      <c r="G100" s="211">
        <v>0</v>
      </c>
      <c r="H100" s="212">
        <f>'Příjmy kapitol celkem'!G83</f>
        <v>0</v>
      </c>
      <c r="I100" s="1965">
        <f t="shared" si="2"/>
        <v>0</v>
      </c>
      <c r="J100" s="286"/>
      <c r="K100" s="287"/>
      <c r="L100" s="291"/>
    </row>
    <row r="101" spans="1:12" ht="19.5" hidden="1" customHeight="1" outlineLevel="1" x14ac:dyDescent="0.25">
      <c r="A101" s="898"/>
      <c r="B101" s="894" t="s">
        <v>2184</v>
      </c>
      <c r="C101" s="895">
        <v>4216</v>
      </c>
      <c r="D101" s="211">
        <v>0</v>
      </c>
      <c r="E101" s="211">
        <v>25000</v>
      </c>
      <c r="F101" s="211">
        <v>0</v>
      </c>
      <c r="G101" s="211">
        <v>0</v>
      </c>
      <c r="H101" s="212">
        <f>'Příjmy kapitol celkem'!G84</f>
        <v>0</v>
      </c>
      <c r="I101" s="1965">
        <f t="shared" si="2"/>
        <v>0</v>
      </c>
      <c r="J101" s="286"/>
      <c r="K101" s="287"/>
      <c r="L101" s="291"/>
    </row>
    <row r="102" spans="1:12" ht="19.5" hidden="1" customHeight="1" outlineLevel="1" x14ac:dyDescent="0.25">
      <c r="A102" s="898"/>
      <c r="B102" s="1526" t="s">
        <v>1250</v>
      </c>
      <c r="C102" s="339">
        <v>4222</v>
      </c>
      <c r="D102" s="211">
        <v>0</v>
      </c>
      <c r="E102" s="211"/>
      <c r="F102" s="211">
        <v>0</v>
      </c>
      <c r="G102" s="211">
        <v>0</v>
      </c>
      <c r="H102" s="212">
        <f>'Příjmy kapitol celkem'!G85</f>
        <v>0</v>
      </c>
      <c r="I102" s="1965">
        <f t="shared" si="2"/>
        <v>0</v>
      </c>
      <c r="J102" s="286"/>
      <c r="K102" s="287"/>
      <c r="L102" s="291"/>
    </row>
    <row r="103" spans="1:12" ht="19.5" customHeight="1" outlineLevel="1" x14ac:dyDescent="0.25">
      <c r="A103" s="898"/>
      <c r="B103" s="1526" t="s">
        <v>2030</v>
      </c>
      <c r="C103" s="339">
        <v>4216</v>
      </c>
      <c r="D103" s="211"/>
      <c r="E103" s="211"/>
      <c r="F103" s="211">
        <v>15505276</v>
      </c>
      <c r="G103" s="211">
        <v>15505276</v>
      </c>
      <c r="H103" s="212">
        <f>'Příjmy kapitol celkem'!G86</f>
        <v>15505276</v>
      </c>
      <c r="I103" s="1965">
        <f t="shared" si="2"/>
        <v>0</v>
      </c>
      <c r="J103" s="286"/>
      <c r="K103" s="287"/>
      <c r="L103" s="291"/>
    </row>
    <row r="104" spans="1:12" ht="19.5" customHeight="1" outlineLevel="1" x14ac:dyDescent="0.25">
      <c r="A104" s="898"/>
      <c r="B104" s="1526" t="s">
        <v>1160</v>
      </c>
      <c r="C104" s="339" t="s">
        <v>37</v>
      </c>
      <c r="D104" s="211">
        <v>5250000</v>
      </c>
      <c r="E104" s="211">
        <v>4500000</v>
      </c>
      <c r="F104" s="211">
        <v>750000</v>
      </c>
      <c r="G104" s="211">
        <v>750000</v>
      </c>
      <c r="H104" s="212">
        <f>'Příjmy kapitol celkem'!G87</f>
        <v>750000</v>
      </c>
      <c r="I104" s="1965">
        <f t="shared" si="2"/>
        <v>0</v>
      </c>
      <c r="J104" s="286"/>
      <c r="K104" s="287"/>
      <c r="L104" s="291"/>
    </row>
    <row r="105" spans="1:12" ht="19.5" hidden="1" customHeight="1" outlineLevel="1" x14ac:dyDescent="0.25">
      <c r="A105" s="898"/>
      <c r="B105" s="1526" t="s">
        <v>968</v>
      </c>
      <c r="C105" s="339">
        <v>4216</v>
      </c>
      <c r="D105" s="211">
        <v>0</v>
      </c>
      <c r="E105" s="211"/>
      <c r="F105" s="211">
        <v>0</v>
      </c>
      <c r="G105" s="211">
        <v>0</v>
      </c>
      <c r="H105" s="212">
        <f>'Příjmy kapitol celkem'!G88</f>
        <v>0</v>
      </c>
      <c r="I105" s="1965">
        <f t="shared" si="2"/>
        <v>0</v>
      </c>
      <c r="J105" s="286"/>
      <c r="K105" s="287"/>
      <c r="L105" s="291"/>
    </row>
    <row r="106" spans="1:12" ht="19.5" hidden="1" customHeight="1" outlineLevel="1" x14ac:dyDescent="0.25">
      <c r="A106" s="898"/>
      <c r="B106" s="1526" t="s">
        <v>1249</v>
      </c>
      <c r="C106" s="339">
        <v>4216</v>
      </c>
      <c r="D106" s="211">
        <v>0</v>
      </c>
      <c r="E106" s="211"/>
      <c r="F106" s="211">
        <v>0</v>
      </c>
      <c r="G106" s="211">
        <v>0</v>
      </c>
      <c r="H106" s="212">
        <f>'Příjmy kapitol celkem'!G89</f>
        <v>0</v>
      </c>
      <c r="I106" s="1965">
        <f t="shared" si="2"/>
        <v>0</v>
      </c>
      <c r="J106" s="286"/>
      <c r="K106" s="287"/>
      <c r="L106" s="291"/>
    </row>
    <row r="107" spans="1:12" ht="29.45" hidden="1" customHeight="1" outlineLevel="1" x14ac:dyDescent="0.25">
      <c r="A107" s="898"/>
      <c r="B107" s="1848" t="s">
        <v>1161</v>
      </c>
      <c r="C107" s="339" t="s">
        <v>37</v>
      </c>
      <c r="D107" s="211">
        <v>3262591</v>
      </c>
      <c r="E107" s="211">
        <v>3260867</v>
      </c>
      <c r="F107" s="211">
        <v>0</v>
      </c>
      <c r="G107" s="211">
        <v>0</v>
      </c>
      <c r="H107" s="212">
        <f>'Příjmy kapitol celkem'!G90</f>
        <v>0</v>
      </c>
      <c r="I107" s="1965">
        <f t="shared" si="2"/>
        <v>0</v>
      </c>
      <c r="J107" s="286"/>
      <c r="K107" s="287"/>
      <c r="L107" s="291"/>
    </row>
    <row r="108" spans="1:12" ht="19.5" hidden="1" customHeight="1" outlineLevel="1" x14ac:dyDescent="0.25">
      <c r="A108" s="898"/>
      <c r="B108" s="1526" t="s">
        <v>1162</v>
      </c>
      <c r="C108" s="339" t="s">
        <v>37</v>
      </c>
      <c r="D108" s="211">
        <v>0</v>
      </c>
      <c r="E108" s="211"/>
      <c r="F108" s="211">
        <v>0</v>
      </c>
      <c r="G108" s="211">
        <v>0</v>
      </c>
      <c r="H108" s="212">
        <f>'Příjmy kapitol celkem'!G91</f>
        <v>0</v>
      </c>
      <c r="I108" s="1965">
        <f t="shared" si="2"/>
        <v>0</v>
      </c>
      <c r="J108" s="286"/>
      <c r="K108" s="287"/>
      <c r="L108" s="291"/>
    </row>
    <row r="109" spans="1:12" ht="19.5" customHeight="1" outlineLevel="1" x14ac:dyDescent="0.25">
      <c r="A109" s="898"/>
      <c r="B109" s="1526" t="s">
        <v>2232</v>
      </c>
      <c r="C109" s="339">
        <v>4122</v>
      </c>
      <c r="D109" s="211">
        <v>1486300</v>
      </c>
      <c r="E109" s="211">
        <v>1715600</v>
      </c>
      <c r="F109" s="211">
        <v>1916100</v>
      </c>
      <c r="G109" s="211">
        <v>1916100</v>
      </c>
      <c r="H109" s="212">
        <f>'Příjmy kapitol celkem'!G92</f>
        <v>1758900</v>
      </c>
      <c r="I109" s="1965">
        <f t="shared" si="2"/>
        <v>-157200</v>
      </c>
      <c r="J109" s="286"/>
      <c r="K109" s="287"/>
      <c r="L109" s="291"/>
    </row>
    <row r="110" spans="1:12" ht="21.75" customHeight="1" outlineLevel="1" x14ac:dyDescent="0.25">
      <c r="A110" s="898"/>
      <c r="B110" s="1528"/>
      <c r="C110" s="1524"/>
      <c r="D110" s="1663"/>
      <c r="E110" s="1663"/>
      <c r="F110" s="1663"/>
      <c r="G110" s="1663"/>
      <c r="H110" s="1525"/>
      <c r="I110" s="1965">
        <f t="shared" si="2"/>
        <v>0</v>
      </c>
      <c r="J110" s="286"/>
      <c r="K110" s="287"/>
      <c r="L110" s="291"/>
    </row>
    <row r="111" spans="1:12" s="282" customFormat="1" ht="17.25" thickBot="1" x14ac:dyDescent="0.35">
      <c r="A111" s="1937" t="s">
        <v>233</v>
      </c>
      <c r="B111" s="1938" t="s">
        <v>234</v>
      </c>
      <c r="C111" s="1939"/>
      <c r="D111" s="1940">
        <v>15129146</v>
      </c>
      <c r="E111" s="1940">
        <v>15129146</v>
      </c>
      <c r="F111" s="1940">
        <v>25000000</v>
      </c>
      <c r="G111" s="1940">
        <v>14800000</v>
      </c>
      <c r="H111" s="1941">
        <f>SUM(H112:H114)</f>
        <v>14800000</v>
      </c>
      <c r="I111" s="1965">
        <f t="shared" si="2"/>
        <v>0</v>
      </c>
      <c r="J111" s="286"/>
      <c r="K111" s="287"/>
      <c r="L111" s="291"/>
    </row>
    <row r="112" spans="1:12" ht="17.25" customHeight="1" thickTop="1" x14ac:dyDescent="0.25">
      <c r="A112" s="109"/>
      <c r="B112" s="894" t="s">
        <v>235</v>
      </c>
      <c r="C112" s="895" t="s">
        <v>39</v>
      </c>
      <c r="D112" s="367">
        <v>15129146</v>
      </c>
      <c r="E112" s="367">
        <v>15129146</v>
      </c>
      <c r="F112" s="367">
        <v>25000000</v>
      </c>
      <c r="G112" s="367">
        <v>14800000</v>
      </c>
      <c r="H112" s="367">
        <f>'Příjmy kapitol celkem'!G96</f>
        <v>14800000</v>
      </c>
      <c r="I112" s="1965">
        <f t="shared" si="2"/>
        <v>0</v>
      </c>
      <c r="J112" s="286"/>
      <c r="K112" s="287"/>
      <c r="L112" s="291"/>
    </row>
    <row r="113" spans="1:13" ht="17.25" hidden="1" customHeight="1" x14ac:dyDescent="0.25">
      <c r="A113" s="109"/>
      <c r="B113" s="1526" t="s">
        <v>782</v>
      </c>
      <c r="C113" s="339" t="s">
        <v>39</v>
      </c>
      <c r="D113" s="155">
        <v>0</v>
      </c>
      <c r="E113" s="155"/>
      <c r="F113" s="155">
        <v>0</v>
      </c>
      <c r="G113" s="155">
        <v>0</v>
      </c>
      <c r="H113" s="155">
        <f>'Příjmy kapitol celkem'!G97</f>
        <v>0</v>
      </c>
      <c r="I113" s="1965">
        <f t="shared" si="2"/>
        <v>0</v>
      </c>
      <c r="J113" s="286"/>
      <c r="K113" s="287"/>
      <c r="L113" s="291"/>
    </row>
    <row r="114" spans="1:13" ht="17.25" customHeight="1" x14ac:dyDescent="0.25">
      <c r="A114" s="109"/>
      <c r="B114" s="1526" t="s">
        <v>780</v>
      </c>
      <c r="C114" s="339" t="s">
        <v>61</v>
      </c>
      <c r="D114" s="155">
        <v>0</v>
      </c>
      <c r="E114" s="155"/>
      <c r="F114" s="155">
        <v>0</v>
      </c>
      <c r="G114" s="155">
        <v>0</v>
      </c>
      <c r="H114" s="155">
        <f>'Příjmy kapitol celkem'!G98</f>
        <v>0</v>
      </c>
      <c r="I114" s="1965">
        <f t="shared" si="2"/>
        <v>0</v>
      </c>
      <c r="J114" s="286"/>
      <c r="K114" s="287"/>
      <c r="L114" s="291"/>
    </row>
    <row r="115" spans="1:13" x14ac:dyDescent="0.25">
      <c r="A115" s="109"/>
      <c r="B115" s="1528"/>
      <c r="C115" s="339"/>
      <c r="D115" s="155"/>
      <c r="E115" s="155"/>
      <c r="F115" s="155"/>
      <c r="G115" s="155"/>
      <c r="H115" s="155"/>
      <c r="I115" s="1965">
        <f t="shared" si="2"/>
        <v>0</v>
      </c>
      <c r="J115" s="286"/>
      <c r="K115" s="287"/>
      <c r="L115" s="291"/>
    </row>
    <row r="116" spans="1:13" s="282" customFormat="1" ht="17.25" thickBot="1" x14ac:dyDescent="0.35">
      <c r="A116" s="1937" t="s">
        <v>236</v>
      </c>
      <c r="B116" s="1938"/>
      <c r="C116" s="1939"/>
      <c r="D116" s="1940">
        <v>225755836.75999999</v>
      </c>
      <c r="E116" s="1940">
        <v>228894941.75999999</v>
      </c>
      <c r="F116" s="1940">
        <v>247142442.21510071</v>
      </c>
      <c r="G116" s="1940">
        <v>243932554</v>
      </c>
      <c r="H116" s="1941">
        <f>+H111+H85+H80+H30+H6</f>
        <v>262059406</v>
      </c>
      <c r="I116" s="1965">
        <f t="shared" si="2"/>
        <v>18126852</v>
      </c>
      <c r="J116" s="286"/>
      <c r="K116" s="287"/>
      <c r="L116" s="291"/>
    </row>
    <row r="117" spans="1:13" s="288" customFormat="1" ht="12.75" customHeight="1" thickTop="1" x14ac:dyDescent="0.25">
      <c r="A117" s="180"/>
      <c r="B117" s="283" t="s">
        <v>237</v>
      </c>
      <c r="C117" s="284"/>
      <c r="D117" s="285">
        <v>0</v>
      </c>
      <c r="E117" s="285"/>
      <c r="F117" s="285">
        <v>0</v>
      </c>
      <c r="G117" s="285">
        <v>0</v>
      </c>
      <c r="H117" s="285">
        <f>+H116-'Příjmy kapitol celkem'!G99</f>
        <v>0</v>
      </c>
      <c r="I117" s="1965">
        <f t="shared" si="2"/>
        <v>0</v>
      </c>
      <c r="J117" s="286"/>
      <c r="K117" s="287"/>
      <c r="L117" s="291"/>
    </row>
    <row r="118" spans="1:13" ht="16.5" thickBot="1" x14ac:dyDescent="0.3">
      <c r="A118" s="109"/>
      <c r="B118" s="109"/>
      <c r="C118" s="114"/>
      <c r="D118" s="596"/>
      <c r="E118" s="596"/>
      <c r="F118" s="596"/>
      <c r="G118" s="596"/>
      <c r="H118" s="2115"/>
      <c r="I118" s="1965"/>
      <c r="J118" s="286"/>
      <c r="K118" s="287"/>
      <c r="L118" s="291"/>
    </row>
    <row r="119" spans="1:13" ht="38.450000000000003" customHeight="1" thickBot="1" x14ac:dyDescent="0.3">
      <c r="A119" s="1942" t="s">
        <v>238</v>
      </c>
      <c r="B119" s="1943"/>
      <c r="C119" s="1944" t="s">
        <v>64</v>
      </c>
      <c r="D119" s="1945" t="s">
        <v>1898</v>
      </c>
      <c r="E119" s="1945" t="s">
        <v>2175</v>
      </c>
      <c r="F119" s="1945" t="s">
        <v>1576</v>
      </c>
      <c r="G119" s="1945" t="s">
        <v>2048</v>
      </c>
      <c r="H119" s="1946" t="str">
        <f>H4</f>
        <v>RO č.2</v>
      </c>
      <c r="I119" s="1965"/>
      <c r="J119" s="286"/>
      <c r="K119" s="287"/>
      <c r="L119" s="291"/>
    </row>
    <row r="120" spans="1:13" ht="16.5" thickBot="1" x14ac:dyDescent="0.3">
      <c r="A120" s="109"/>
      <c r="B120" s="109"/>
      <c r="C120" s="114"/>
      <c r="D120" s="190"/>
      <c r="E120" s="190"/>
      <c r="F120" s="190"/>
      <c r="G120" s="190"/>
      <c r="H120" s="190"/>
      <c r="I120" s="1965"/>
      <c r="J120" s="286"/>
      <c r="K120" s="287"/>
      <c r="L120" s="291"/>
    </row>
    <row r="121" spans="1:13" s="282" customFormat="1" ht="17.25" thickBot="1" x14ac:dyDescent="0.35">
      <c r="A121" s="1947" t="s">
        <v>239</v>
      </c>
      <c r="B121" s="1948" t="s">
        <v>240</v>
      </c>
      <c r="C121" s="1949"/>
      <c r="D121" s="1950">
        <v>155961333.51464665</v>
      </c>
      <c r="E121" s="1950">
        <v>163480259.62314665</v>
      </c>
      <c r="F121" s="1950">
        <v>160677372.03549999</v>
      </c>
      <c r="G121" s="1950">
        <v>157240969.61176002</v>
      </c>
      <c r="H121" s="1951">
        <f>+H122+H132</f>
        <v>172545141.61176002</v>
      </c>
      <c r="I121" s="1965">
        <f t="shared" si="2"/>
        <v>15304172</v>
      </c>
      <c r="J121" s="286"/>
      <c r="K121" s="287"/>
      <c r="L121" s="291"/>
      <c r="M121" s="294"/>
    </row>
    <row r="122" spans="1:13" s="282" customFormat="1" ht="17.25" thickBot="1" x14ac:dyDescent="0.35">
      <c r="A122" s="903"/>
      <c r="B122" s="1952" t="s">
        <v>739</v>
      </c>
      <c r="C122" s="1953"/>
      <c r="D122" s="1954">
        <v>41773817.200000003</v>
      </c>
      <c r="E122" s="1954">
        <v>41918349.200000003</v>
      </c>
      <c r="F122" s="1954">
        <v>43454255.640000001</v>
      </c>
      <c r="G122" s="1954">
        <v>44009290</v>
      </c>
      <c r="H122" s="1955">
        <f>SUM(H123:H130)</f>
        <v>44009290</v>
      </c>
      <c r="I122" s="1965">
        <f t="shared" si="2"/>
        <v>0</v>
      </c>
      <c r="J122" s="286"/>
      <c r="K122" s="287"/>
      <c r="L122" s="291"/>
    </row>
    <row r="123" spans="1:13" s="295" customFormat="1" ht="16.5" outlineLevel="1" thickTop="1" x14ac:dyDescent="0.25">
      <c r="A123" s="904"/>
      <c r="B123" s="1529" t="s">
        <v>65</v>
      </c>
      <c r="C123" s="896">
        <v>5011</v>
      </c>
      <c r="D123" s="1665">
        <v>26370000</v>
      </c>
      <c r="E123" s="1665">
        <v>26370000</v>
      </c>
      <c r="F123" s="1665">
        <v>27925000</v>
      </c>
      <c r="G123" s="1665">
        <v>27925000</v>
      </c>
      <c r="H123" s="905">
        <f>'Výdaje kapitol celkem'!F8</f>
        <v>27925000</v>
      </c>
      <c r="I123" s="1965">
        <f t="shared" si="2"/>
        <v>0</v>
      </c>
      <c r="J123" s="286"/>
      <c r="K123" s="287"/>
      <c r="L123" s="1860"/>
    </row>
    <row r="124" spans="1:13" s="295" customFormat="1" outlineLevel="1" x14ac:dyDescent="0.25">
      <c r="A124" s="904"/>
      <c r="B124" s="1530" t="s">
        <v>66</v>
      </c>
      <c r="C124" s="446">
        <v>5021</v>
      </c>
      <c r="D124" s="1666">
        <v>1663000</v>
      </c>
      <c r="E124" s="1666">
        <v>1799059</v>
      </c>
      <c r="F124" s="1666">
        <v>1676200</v>
      </c>
      <c r="G124" s="1666">
        <v>1865000</v>
      </c>
      <c r="H124" s="906">
        <f>'Výdaje kapitol celkem'!F9</f>
        <v>1865000</v>
      </c>
      <c r="I124" s="1965">
        <f t="shared" si="2"/>
        <v>0</v>
      </c>
      <c r="J124" s="286"/>
      <c r="K124" s="287"/>
      <c r="L124" s="1860"/>
    </row>
    <row r="125" spans="1:13" ht="18" customHeight="1" outlineLevel="1" x14ac:dyDescent="0.25">
      <c r="A125" s="898"/>
      <c r="B125" s="1526" t="s">
        <v>479</v>
      </c>
      <c r="C125" s="339">
        <v>5023</v>
      </c>
      <c r="D125" s="211">
        <v>2790000</v>
      </c>
      <c r="E125" s="211">
        <v>2790000</v>
      </c>
      <c r="F125" s="211">
        <v>2790000</v>
      </c>
      <c r="G125" s="211">
        <v>3020000</v>
      </c>
      <c r="H125" s="212">
        <f>'Výdaje kapitol celkem'!F10</f>
        <v>3020000</v>
      </c>
      <c r="I125" s="1965">
        <f t="shared" si="2"/>
        <v>0</v>
      </c>
      <c r="J125" s="286"/>
      <c r="K125" s="287"/>
      <c r="L125" s="1860"/>
    </row>
    <row r="126" spans="1:13" ht="18" hidden="1" customHeight="1" outlineLevel="1" x14ac:dyDescent="0.25">
      <c r="A126" s="898"/>
      <c r="B126" s="1531" t="s">
        <v>738</v>
      </c>
      <c r="C126" s="447">
        <v>5024</v>
      </c>
      <c r="D126" s="375">
        <v>400000</v>
      </c>
      <c r="E126" s="375">
        <v>400000</v>
      </c>
      <c r="F126" s="375">
        <v>0</v>
      </c>
      <c r="G126" s="375">
        <v>0</v>
      </c>
      <c r="H126" s="443">
        <f>'Výdaje kapitol celkem'!F11</f>
        <v>0</v>
      </c>
      <c r="I126" s="1965">
        <f t="shared" si="2"/>
        <v>0</v>
      </c>
      <c r="J126" s="286"/>
      <c r="K126" s="287"/>
      <c r="L126" s="291"/>
    </row>
    <row r="127" spans="1:13" ht="18" customHeight="1" outlineLevel="1" x14ac:dyDescent="0.25">
      <c r="A127" s="898"/>
      <c r="B127" s="1526" t="s">
        <v>67</v>
      </c>
      <c r="C127" s="339">
        <v>5029</v>
      </c>
      <c r="D127" s="211">
        <v>30000</v>
      </c>
      <c r="E127" s="211">
        <v>30000</v>
      </c>
      <c r="F127" s="211">
        <v>30000</v>
      </c>
      <c r="G127" s="211">
        <v>30000</v>
      </c>
      <c r="H127" s="212">
        <f>'Výdaje kapitol celkem'!F12</f>
        <v>30000</v>
      </c>
      <c r="I127" s="1965">
        <f t="shared" si="2"/>
        <v>0</v>
      </c>
      <c r="J127" s="286"/>
      <c r="K127" s="287"/>
      <c r="L127" s="291"/>
    </row>
    <row r="128" spans="1:13" ht="18" customHeight="1" outlineLevel="1" x14ac:dyDescent="0.25">
      <c r="A128" s="898"/>
      <c r="B128" s="1526" t="s">
        <v>68</v>
      </c>
      <c r="C128" s="339">
        <v>5031</v>
      </c>
      <c r="D128" s="211">
        <v>7641500</v>
      </c>
      <c r="E128" s="211">
        <v>7647717</v>
      </c>
      <c r="F128" s="211">
        <v>8013550</v>
      </c>
      <c r="G128" s="211">
        <v>8112500</v>
      </c>
      <c r="H128" s="212">
        <f>'Výdaje kapitol celkem'!F13</f>
        <v>8112500</v>
      </c>
      <c r="I128" s="1965">
        <f t="shared" si="2"/>
        <v>0</v>
      </c>
      <c r="J128" s="286"/>
      <c r="K128" s="287"/>
      <c r="L128" s="291"/>
    </row>
    <row r="129" spans="1:14" ht="18" customHeight="1" outlineLevel="1" x14ac:dyDescent="0.25">
      <c r="A129" s="898"/>
      <c r="B129" s="1526" t="s">
        <v>69</v>
      </c>
      <c r="C129" s="339">
        <v>5032</v>
      </c>
      <c r="D129" s="211">
        <v>2750940</v>
      </c>
      <c r="E129" s="211">
        <v>2753196</v>
      </c>
      <c r="F129" s="211">
        <v>2884878</v>
      </c>
      <c r="G129" s="211">
        <v>2920500</v>
      </c>
      <c r="H129" s="212">
        <f>'Výdaje kapitol celkem'!F14</f>
        <v>2920500</v>
      </c>
      <c r="I129" s="1965">
        <f t="shared" si="2"/>
        <v>0</v>
      </c>
      <c r="J129" s="286"/>
      <c r="K129" s="287"/>
      <c r="L129" s="291"/>
    </row>
    <row r="130" spans="1:14" ht="18" customHeight="1" outlineLevel="1" x14ac:dyDescent="0.25">
      <c r="A130" s="898"/>
      <c r="B130" s="1526" t="s">
        <v>70</v>
      </c>
      <c r="C130" s="339">
        <v>5038</v>
      </c>
      <c r="D130" s="211">
        <v>128377.2</v>
      </c>
      <c r="E130" s="211">
        <v>128377.2</v>
      </c>
      <c r="F130" s="211">
        <v>134627.63999999998</v>
      </c>
      <c r="G130" s="211">
        <v>136289.99999999997</v>
      </c>
      <c r="H130" s="212">
        <f>'Výdaje kapitol celkem'!F15</f>
        <v>136289.99999999997</v>
      </c>
      <c r="I130" s="1965">
        <f t="shared" si="2"/>
        <v>0</v>
      </c>
      <c r="J130" s="286"/>
      <c r="K130" s="287"/>
      <c r="L130" s="291"/>
    </row>
    <row r="131" spans="1:14" outlineLevel="1" x14ac:dyDescent="0.25">
      <c r="A131" s="898"/>
      <c r="B131" s="1532"/>
      <c r="C131" s="114"/>
      <c r="D131" s="190"/>
      <c r="E131" s="190"/>
      <c r="F131" s="190"/>
      <c r="G131" s="190"/>
      <c r="H131" s="907"/>
      <c r="I131" s="1965"/>
      <c r="J131" s="286"/>
      <c r="K131" s="287"/>
      <c r="L131" s="291"/>
    </row>
    <row r="132" spans="1:14" s="282" customFormat="1" ht="17.25" thickBot="1" x14ac:dyDescent="0.35">
      <c r="A132" s="903"/>
      <c r="B132" s="1956" t="s">
        <v>241</v>
      </c>
      <c r="C132" s="1939"/>
      <c r="D132" s="1940">
        <v>114187516.31464665</v>
      </c>
      <c r="E132" s="1940">
        <v>121561910.42314665</v>
      </c>
      <c r="F132" s="1940">
        <v>117223116.3955</v>
      </c>
      <c r="G132" s="1940">
        <v>113231679.61176001</v>
      </c>
      <c r="H132" s="1941">
        <f>SUM(H133:H169)</f>
        <v>128535851.61176001</v>
      </c>
      <c r="I132" s="1965">
        <f t="shared" si="2"/>
        <v>15304172</v>
      </c>
      <c r="J132" s="286"/>
      <c r="K132" s="287"/>
      <c r="L132" s="291"/>
      <c r="M132" s="294"/>
      <c r="N132" s="294"/>
    </row>
    <row r="133" spans="1:14" ht="18" hidden="1" customHeight="1" outlineLevel="1" thickTop="1" x14ac:dyDescent="0.25">
      <c r="A133" s="898"/>
      <c r="B133" s="894" t="s">
        <v>72</v>
      </c>
      <c r="C133" s="895">
        <v>5178</v>
      </c>
      <c r="D133" s="1664">
        <v>0</v>
      </c>
      <c r="E133" s="1664">
        <v>0</v>
      </c>
      <c r="F133" s="1664">
        <v>0</v>
      </c>
      <c r="G133" s="1664">
        <v>0</v>
      </c>
      <c r="H133" s="902">
        <f>'Výdaje kapitol celkem'!M17</f>
        <v>0</v>
      </c>
      <c r="I133" s="1965">
        <f t="shared" si="2"/>
        <v>0</v>
      </c>
      <c r="J133" s="286"/>
      <c r="K133" s="287"/>
      <c r="L133" s="291"/>
    </row>
    <row r="134" spans="1:14" ht="18" hidden="1" customHeight="1" outlineLevel="1" x14ac:dyDescent="0.25">
      <c r="A134" s="898"/>
      <c r="B134" s="1526" t="s">
        <v>73</v>
      </c>
      <c r="C134" s="339">
        <v>5132</v>
      </c>
      <c r="D134" s="211">
        <v>0</v>
      </c>
      <c r="E134" s="211">
        <v>0</v>
      </c>
      <c r="F134" s="211">
        <v>0</v>
      </c>
      <c r="G134" s="211">
        <v>0</v>
      </c>
      <c r="H134" s="212">
        <f>'Výdaje kapitol celkem'!M18</f>
        <v>0</v>
      </c>
      <c r="I134" s="1965">
        <f t="shared" si="2"/>
        <v>0</v>
      </c>
      <c r="J134" s="286"/>
      <c r="K134" s="287"/>
      <c r="L134" s="291"/>
    </row>
    <row r="135" spans="1:14" ht="18" customHeight="1" outlineLevel="1" thickTop="1" x14ac:dyDescent="0.25">
      <c r="A135" s="898"/>
      <c r="B135" s="1526" t="s">
        <v>74</v>
      </c>
      <c r="C135" s="339">
        <v>5134</v>
      </c>
      <c r="D135" s="211">
        <v>195000</v>
      </c>
      <c r="E135" s="211">
        <v>159000</v>
      </c>
      <c r="F135" s="211">
        <v>195000</v>
      </c>
      <c r="G135" s="211">
        <v>195000</v>
      </c>
      <c r="H135" s="212">
        <f>'Výdaje kapitol celkem'!F19</f>
        <v>195000</v>
      </c>
      <c r="I135" s="1965">
        <f t="shared" si="2"/>
        <v>0</v>
      </c>
      <c r="J135" s="286"/>
      <c r="K135" s="287"/>
      <c r="L135" s="291"/>
    </row>
    <row r="136" spans="1:14" ht="18" customHeight="1" outlineLevel="1" x14ac:dyDescent="0.25">
      <c r="A136" s="898"/>
      <c r="B136" s="1526" t="s">
        <v>75</v>
      </c>
      <c r="C136" s="339">
        <v>5136</v>
      </c>
      <c r="D136" s="211">
        <v>263000</v>
      </c>
      <c r="E136" s="211">
        <v>255000</v>
      </c>
      <c r="F136" s="211">
        <v>313000</v>
      </c>
      <c r="G136" s="211">
        <v>313000</v>
      </c>
      <c r="H136" s="212">
        <f>'Výdaje kapitol celkem'!F20</f>
        <v>313000</v>
      </c>
      <c r="I136" s="1965">
        <f t="shared" si="2"/>
        <v>0</v>
      </c>
      <c r="J136" s="286"/>
      <c r="K136" s="287"/>
      <c r="L136" s="291"/>
    </row>
    <row r="137" spans="1:14" outlineLevel="1" x14ac:dyDescent="0.25">
      <c r="A137" s="904"/>
      <c r="B137" s="1530" t="s">
        <v>76</v>
      </c>
      <c r="C137" s="446">
        <v>5137</v>
      </c>
      <c r="D137" s="1666">
        <v>1665000</v>
      </c>
      <c r="E137" s="1666">
        <v>980000</v>
      </c>
      <c r="F137" s="1666">
        <v>2110000</v>
      </c>
      <c r="G137" s="1666">
        <v>2110000</v>
      </c>
      <c r="H137" s="906">
        <f>'Výdaje kapitol celkem'!F21</f>
        <v>2110000</v>
      </c>
      <c r="I137" s="1965">
        <f t="shared" si="2"/>
        <v>0</v>
      </c>
      <c r="J137" s="286"/>
      <c r="K137" s="287"/>
      <c r="L137" s="291"/>
    </row>
    <row r="138" spans="1:14" ht="18" customHeight="1" outlineLevel="1" x14ac:dyDescent="0.25">
      <c r="A138" s="898"/>
      <c r="B138" s="1526" t="s">
        <v>77</v>
      </c>
      <c r="C138" s="339">
        <v>5139</v>
      </c>
      <c r="D138" s="211">
        <v>2188000</v>
      </c>
      <c r="E138" s="211">
        <v>2144966</v>
      </c>
      <c r="F138" s="211">
        <v>2069000</v>
      </c>
      <c r="G138" s="211">
        <v>2119000</v>
      </c>
      <c r="H138" s="212">
        <f>'Výdaje kapitol celkem'!F22</f>
        <v>2269000</v>
      </c>
      <c r="I138" s="1965">
        <f t="shared" ref="I138:I189" si="3">+H138-G138</f>
        <v>150000</v>
      </c>
      <c r="J138" s="286"/>
      <c r="K138" s="287"/>
      <c r="L138" s="291" t="s">
        <v>2036</v>
      </c>
    </row>
    <row r="139" spans="1:14" ht="18" customHeight="1" outlineLevel="1" x14ac:dyDescent="0.25">
      <c r="A139" s="898"/>
      <c r="B139" s="1526" t="s">
        <v>78</v>
      </c>
      <c r="C139" s="339">
        <v>5151</v>
      </c>
      <c r="D139" s="211">
        <v>720000</v>
      </c>
      <c r="E139" s="211">
        <v>1447000</v>
      </c>
      <c r="F139" s="211">
        <v>710000</v>
      </c>
      <c r="G139" s="211">
        <v>710000</v>
      </c>
      <c r="H139" s="212">
        <f>'Výdaje kapitol celkem'!F23</f>
        <v>710000</v>
      </c>
      <c r="I139" s="1965">
        <f t="shared" si="3"/>
        <v>0</v>
      </c>
      <c r="J139" s="286"/>
      <c r="K139" s="287"/>
      <c r="L139" s="291"/>
    </row>
    <row r="140" spans="1:14" ht="18" customHeight="1" outlineLevel="1" x14ac:dyDescent="0.25">
      <c r="A140" s="898"/>
      <c r="B140" s="1526" t="s">
        <v>79</v>
      </c>
      <c r="C140" s="339">
        <v>5153</v>
      </c>
      <c r="D140" s="211">
        <v>4334000</v>
      </c>
      <c r="E140" s="211">
        <v>6380000</v>
      </c>
      <c r="F140" s="211">
        <v>7263500</v>
      </c>
      <c r="G140" s="211">
        <v>5440450</v>
      </c>
      <c r="H140" s="212">
        <f>'Výdaje kapitol celkem'!F24</f>
        <v>5440450</v>
      </c>
      <c r="I140" s="1965">
        <f t="shared" si="3"/>
        <v>0</v>
      </c>
      <c r="J140" s="286"/>
      <c r="K140" s="287"/>
      <c r="L140" s="291"/>
    </row>
    <row r="141" spans="1:14" ht="18" customHeight="1" outlineLevel="1" x14ac:dyDescent="0.25">
      <c r="A141" s="898"/>
      <c r="B141" s="1526" t="s">
        <v>80</v>
      </c>
      <c r="C141" s="339">
        <v>5154</v>
      </c>
      <c r="D141" s="211">
        <v>4778397</v>
      </c>
      <c r="E141" s="211">
        <v>6092397</v>
      </c>
      <c r="F141" s="211">
        <v>8314000</v>
      </c>
      <c r="G141" s="211">
        <v>7444800</v>
      </c>
      <c r="H141" s="212">
        <f>'Výdaje kapitol celkem'!F25</f>
        <v>7444800</v>
      </c>
      <c r="I141" s="1965">
        <f t="shared" si="3"/>
        <v>0</v>
      </c>
      <c r="J141" s="286"/>
      <c r="K141" s="287"/>
      <c r="L141" s="291"/>
    </row>
    <row r="142" spans="1:14" ht="18" customHeight="1" outlineLevel="1" x14ac:dyDescent="0.25">
      <c r="A142" s="898"/>
      <c r="B142" s="1526" t="s">
        <v>81</v>
      </c>
      <c r="C142" s="339">
        <v>5156</v>
      </c>
      <c r="D142" s="211">
        <v>500000</v>
      </c>
      <c r="E142" s="211">
        <v>557000</v>
      </c>
      <c r="F142" s="211">
        <v>640000</v>
      </c>
      <c r="G142" s="211">
        <v>640000</v>
      </c>
      <c r="H142" s="212">
        <f>'Výdaje kapitol celkem'!F26</f>
        <v>640000</v>
      </c>
      <c r="I142" s="1965">
        <f t="shared" si="3"/>
        <v>0</v>
      </c>
      <c r="J142" s="286"/>
      <c r="K142" s="287"/>
      <c r="L142" s="291"/>
    </row>
    <row r="143" spans="1:14" ht="18" customHeight="1" outlineLevel="1" x14ac:dyDescent="0.25">
      <c r="A143" s="898"/>
      <c r="B143" s="1526" t="s">
        <v>82</v>
      </c>
      <c r="C143" s="339">
        <v>5161</v>
      </c>
      <c r="D143" s="211">
        <v>695000</v>
      </c>
      <c r="E143" s="211">
        <v>577000</v>
      </c>
      <c r="F143" s="211">
        <v>695000</v>
      </c>
      <c r="G143" s="211">
        <v>695000</v>
      </c>
      <c r="H143" s="212">
        <f>'Výdaje kapitol celkem'!F27</f>
        <v>695000</v>
      </c>
      <c r="I143" s="1965">
        <f t="shared" si="3"/>
        <v>0</v>
      </c>
      <c r="J143" s="286"/>
      <c r="K143" s="287"/>
      <c r="L143" s="291"/>
    </row>
    <row r="144" spans="1:14" ht="18" customHeight="1" outlineLevel="1" x14ac:dyDescent="0.25">
      <c r="A144" s="898"/>
      <c r="B144" s="1526" t="s">
        <v>83</v>
      </c>
      <c r="C144" s="339">
        <v>5162</v>
      </c>
      <c r="D144" s="211">
        <v>564000</v>
      </c>
      <c r="E144" s="211">
        <v>640000</v>
      </c>
      <c r="F144" s="211">
        <v>564000</v>
      </c>
      <c r="G144" s="211">
        <v>564000</v>
      </c>
      <c r="H144" s="212">
        <f>'Výdaje kapitol celkem'!F28</f>
        <v>564000</v>
      </c>
      <c r="I144" s="1965">
        <f t="shared" si="3"/>
        <v>0</v>
      </c>
      <c r="J144" s="286"/>
      <c r="K144" s="287"/>
      <c r="L144" s="291"/>
    </row>
    <row r="145" spans="1:13" ht="18" customHeight="1" outlineLevel="1" x14ac:dyDescent="0.25">
      <c r="A145" s="898"/>
      <c r="B145" s="1526" t="s">
        <v>84</v>
      </c>
      <c r="C145" s="339">
        <v>5163</v>
      </c>
      <c r="D145" s="211">
        <v>935000</v>
      </c>
      <c r="E145" s="211">
        <v>955000</v>
      </c>
      <c r="F145" s="211">
        <v>920000</v>
      </c>
      <c r="G145" s="211">
        <v>920000</v>
      </c>
      <c r="H145" s="212">
        <f>'Výdaje kapitol celkem'!F29</f>
        <v>1096680</v>
      </c>
      <c r="I145" s="1965">
        <f t="shared" si="3"/>
        <v>176680</v>
      </c>
      <c r="J145" s="286"/>
      <c r="K145" s="287"/>
      <c r="L145" s="291"/>
    </row>
    <row r="146" spans="1:13" ht="18" customHeight="1" outlineLevel="1" x14ac:dyDescent="0.25">
      <c r="A146" s="898"/>
      <c r="B146" s="1526" t="s">
        <v>85</v>
      </c>
      <c r="C146" s="339">
        <v>5164</v>
      </c>
      <c r="D146" s="211">
        <v>1581638</v>
      </c>
      <c r="E146" s="211">
        <v>1672398</v>
      </c>
      <c r="F146" s="211">
        <v>1538137</v>
      </c>
      <c r="G146" s="211">
        <v>1538137</v>
      </c>
      <c r="H146" s="212">
        <f>'Výdaje kapitol celkem'!F30</f>
        <v>1538137</v>
      </c>
      <c r="I146" s="1965">
        <f t="shared" si="3"/>
        <v>0</v>
      </c>
      <c r="J146" s="286"/>
      <c r="K146" s="287"/>
      <c r="L146" s="291"/>
      <c r="M146" s="296"/>
    </row>
    <row r="147" spans="1:13" ht="18" customHeight="1" outlineLevel="1" x14ac:dyDescent="0.25">
      <c r="A147" s="898"/>
      <c r="B147" s="1526" t="s">
        <v>86</v>
      </c>
      <c r="C147" s="339">
        <v>5166</v>
      </c>
      <c r="D147" s="211">
        <v>700000</v>
      </c>
      <c r="E147" s="211">
        <v>725000</v>
      </c>
      <c r="F147" s="211">
        <v>700000</v>
      </c>
      <c r="G147" s="211">
        <v>700000</v>
      </c>
      <c r="H147" s="212">
        <f>'Výdaje kapitol celkem'!F31</f>
        <v>700000</v>
      </c>
      <c r="I147" s="1965">
        <f t="shared" si="3"/>
        <v>0</v>
      </c>
      <c r="J147" s="286"/>
      <c r="K147" s="287"/>
      <c r="L147" s="291"/>
    </row>
    <row r="148" spans="1:13" ht="18" customHeight="1" outlineLevel="1" x14ac:dyDescent="0.25">
      <c r="A148" s="898"/>
      <c r="B148" s="1526" t="s">
        <v>87</v>
      </c>
      <c r="C148" s="339">
        <v>5167</v>
      </c>
      <c r="D148" s="211">
        <v>375000</v>
      </c>
      <c r="E148" s="211">
        <v>248500</v>
      </c>
      <c r="F148" s="211">
        <v>375000</v>
      </c>
      <c r="G148" s="211">
        <v>375000</v>
      </c>
      <c r="H148" s="212">
        <f>'Výdaje kapitol celkem'!F32</f>
        <v>375000</v>
      </c>
      <c r="I148" s="1965">
        <f t="shared" si="3"/>
        <v>0</v>
      </c>
      <c r="J148" s="286"/>
      <c r="K148" s="287"/>
      <c r="L148" s="291"/>
    </row>
    <row r="149" spans="1:13" ht="18" customHeight="1" outlineLevel="1" x14ac:dyDescent="0.25">
      <c r="A149" s="898"/>
      <c r="B149" s="1526" t="s">
        <v>88</v>
      </c>
      <c r="C149" s="339">
        <v>5168</v>
      </c>
      <c r="D149" s="211">
        <v>662050</v>
      </c>
      <c r="E149" s="211">
        <v>438050</v>
      </c>
      <c r="F149" s="211">
        <v>615000</v>
      </c>
      <c r="G149" s="211">
        <v>615000</v>
      </c>
      <c r="H149" s="212">
        <f>'Výdaje kapitol celkem'!F33</f>
        <v>615000</v>
      </c>
      <c r="I149" s="1965">
        <f t="shared" si="3"/>
        <v>0</v>
      </c>
      <c r="J149" s="286"/>
      <c r="K149" s="287"/>
      <c r="L149" s="291"/>
    </row>
    <row r="150" spans="1:13" outlineLevel="1" x14ac:dyDescent="0.25">
      <c r="A150" s="904"/>
      <c r="B150" s="1530" t="s">
        <v>89</v>
      </c>
      <c r="C150" s="446">
        <v>5169</v>
      </c>
      <c r="D150" s="1666">
        <v>17115266.666666664</v>
      </c>
      <c r="E150" s="1666">
        <v>13949163.666666666</v>
      </c>
      <c r="F150" s="1666">
        <v>18929100</v>
      </c>
      <c r="G150" s="1666">
        <v>18979100</v>
      </c>
      <c r="H150" s="906">
        <f>'Výdaje kapitol celkem'!F34</f>
        <v>18712900</v>
      </c>
      <c r="I150" s="1965">
        <f t="shared" si="3"/>
        <v>-266200</v>
      </c>
      <c r="J150" s="286"/>
      <c r="K150" s="287"/>
      <c r="L150" s="1859" t="s">
        <v>2035</v>
      </c>
      <c r="M150" s="296"/>
    </row>
    <row r="151" spans="1:13" s="295" customFormat="1" ht="27" outlineLevel="1" x14ac:dyDescent="0.25">
      <c r="A151" s="904"/>
      <c r="B151" s="1530" t="s">
        <v>90</v>
      </c>
      <c r="C151" s="446">
        <v>5171</v>
      </c>
      <c r="D151" s="1666">
        <v>19704480</v>
      </c>
      <c r="E151" s="1666">
        <v>20910080</v>
      </c>
      <c r="F151" s="1666">
        <v>23981480</v>
      </c>
      <c r="G151" s="1666">
        <v>18476480</v>
      </c>
      <c r="H151" s="906">
        <f>'Výdaje kapitol celkem'!F35</f>
        <v>26616480</v>
      </c>
      <c r="I151" s="1965">
        <f t="shared" si="3"/>
        <v>8140000</v>
      </c>
      <c r="J151" s="286"/>
      <c r="K151" s="287"/>
      <c r="L151" s="1859" t="s">
        <v>2034</v>
      </c>
    </row>
    <row r="152" spans="1:13" ht="18" customHeight="1" outlineLevel="1" x14ac:dyDescent="0.25">
      <c r="A152" s="898"/>
      <c r="B152" s="1526" t="s">
        <v>91</v>
      </c>
      <c r="C152" s="339">
        <v>5172</v>
      </c>
      <c r="D152" s="211">
        <v>3121000</v>
      </c>
      <c r="E152" s="211">
        <v>2851000</v>
      </c>
      <c r="F152" s="211">
        <v>3321000</v>
      </c>
      <c r="G152" s="211">
        <v>3364300</v>
      </c>
      <c r="H152" s="212">
        <f>'Výdaje kapitol celkem'!F36</f>
        <v>3364300</v>
      </c>
      <c r="I152" s="1965">
        <f t="shared" si="3"/>
        <v>0</v>
      </c>
      <c r="J152" s="286"/>
      <c r="K152" s="287"/>
      <c r="L152" s="291"/>
    </row>
    <row r="153" spans="1:13" ht="18" customHeight="1" outlineLevel="1" x14ac:dyDescent="0.25">
      <c r="A153" s="898"/>
      <c r="B153" s="1526" t="s">
        <v>92</v>
      </c>
      <c r="C153" s="339">
        <v>5173</v>
      </c>
      <c r="D153" s="211">
        <v>62000</v>
      </c>
      <c r="E153" s="211">
        <v>51000</v>
      </c>
      <c r="F153" s="211">
        <v>62000</v>
      </c>
      <c r="G153" s="211">
        <v>62000</v>
      </c>
      <c r="H153" s="212">
        <f>'Výdaje kapitol celkem'!F37</f>
        <v>62000</v>
      </c>
      <c r="I153" s="1965">
        <f t="shared" si="3"/>
        <v>0</v>
      </c>
      <c r="J153" s="286"/>
      <c r="K153" s="287"/>
      <c r="L153" s="291"/>
    </row>
    <row r="154" spans="1:13" ht="18" customHeight="1" outlineLevel="1" x14ac:dyDescent="0.25">
      <c r="A154" s="898"/>
      <c r="B154" s="1526" t="s">
        <v>93</v>
      </c>
      <c r="C154" s="339">
        <v>5175</v>
      </c>
      <c r="D154" s="211">
        <v>406000</v>
      </c>
      <c r="E154" s="211">
        <v>338200</v>
      </c>
      <c r="F154" s="211">
        <v>431000</v>
      </c>
      <c r="G154" s="211">
        <v>431000</v>
      </c>
      <c r="H154" s="212">
        <f>'Výdaje kapitol celkem'!F38</f>
        <v>431000</v>
      </c>
      <c r="I154" s="1965">
        <f t="shared" si="3"/>
        <v>0</v>
      </c>
      <c r="J154" s="286"/>
      <c r="K154" s="287"/>
      <c r="L154" s="291"/>
    </row>
    <row r="155" spans="1:13" ht="18" hidden="1" customHeight="1" outlineLevel="1" x14ac:dyDescent="0.25">
      <c r="A155" s="898"/>
      <c r="B155" s="1526" t="s">
        <v>94</v>
      </c>
      <c r="C155" s="339">
        <v>5179</v>
      </c>
      <c r="D155" s="211">
        <v>0</v>
      </c>
      <c r="E155" s="211">
        <v>0</v>
      </c>
      <c r="F155" s="211">
        <v>0</v>
      </c>
      <c r="G155" s="211">
        <v>0</v>
      </c>
      <c r="H155" s="212">
        <f>'Výdaje kapitol celkem'!F39</f>
        <v>0</v>
      </c>
      <c r="I155" s="1965">
        <f t="shared" si="3"/>
        <v>0</v>
      </c>
      <c r="J155" s="286"/>
      <c r="K155" s="287"/>
      <c r="L155" s="291"/>
    </row>
    <row r="156" spans="1:13" ht="18" hidden="1" customHeight="1" outlineLevel="1" x14ac:dyDescent="0.25">
      <c r="A156" s="898"/>
      <c r="B156" s="1526" t="s">
        <v>359</v>
      </c>
      <c r="C156" s="339">
        <v>5192</v>
      </c>
      <c r="D156" s="211">
        <v>0</v>
      </c>
      <c r="E156" s="211">
        <v>0</v>
      </c>
      <c r="F156" s="211">
        <v>0</v>
      </c>
      <c r="G156" s="211">
        <v>0</v>
      </c>
      <c r="H156" s="212">
        <f>'Výdaje kapitol celkem'!F40</f>
        <v>0</v>
      </c>
      <c r="I156" s="1965">
        <f t="shared" si="3"/>
        <v>0</v>
      </c>
      <c r="J156" s="286"/>
      <c r="K156" s="287"/>
      <c r="L156" s="291"/>
    </row>
    <row r="157" spans="1:13" ht="18" customHeight="1" outlineLevel="1" x14ac:dyDescent="0.25">
      <c r="A157" s="898"/>
      <c r="B157" s="1526" t="s">
        <v>95</v>
      </c>
      <c r="C157" s="339">
        <v>5193</v>
      </c>
      <c r="D157" s="211">
        <v>2978575</v>
      </c>
      <c r="E157" s="211">
        <v>3328575</v>
      </c>
      <c r="F157" s="211">
        <v>2978575</v>
      </c>
      <c r="G157" s="211">
        <v>2978575</v>
      </c>
      <c r="H157" s="212">
        <f>'Výdaje kapitol celkem'!F41</f>
        <v>2978575</v>
      </c>
      <c r="I157" s="1965">
        <f t="shared" si="3"/>
        <v>0</v>
      </c>
      <c r="J157" s="286"/>
      <c r="K157" s="287"/>
      <c r="L157" s="291"/>
    </row>
    <row r="158" spans="1:13" ht="18" customHeight="1" outlineLevel="1" x14ac:dyDescent="0.25">
      <c r="A158" s="898"/>
      <c r="B158" s="1526" t="s">
        <v>96</v>
      </c>
      <c r="C158" s="339">
        <v>5194</v>
      </c>
      <c r="D158" s="211">
        <v>780000</v>
      </c>
      <c r="E158" s="211">
        <v>1401000</v>
      </c>
      <c r="F158" s="211">
        <v>310000</v>
      </c>
      <c r="G158" s="211">
        <v>310000</v>
      </c>
      <c r="H158" s="212">
        <f>'Výdaje kapitol celkem'!F42</f>
        <v>310000</v>
      </c>
      <c r="I158" s="1965">
        <f t="shared" si="3"/>
        <v>0</v>
      </c>
      <c r="J158" s="286"/>
      <c r="K158" s="287"/>
      <c r="L158" s="291"/>
    </row>
    <row r="159" spans="1:13" ht="18" customHeight="1" outlineLevel="1" x14ac:dyDescent="0.25">
      <c r="A159" s="898"/>
      <c r="B159" s="1526" t="s">
        <v>97</v>
      </c>
      <c r="C159" s="339">
        <v>5329</v>
      </c>
      <c r="D159" s="211">
        <v>3078419</v>
      </c>
      <c r="E159" s="211">
        <v>3385140</v>
      </c>
      <c r="F159" s="211">
        <v>2514380</v>
      </c>
      <c r="G159" s="211">
        <v>2514380</v>
      </c>
      <c r="H159" s="212">
        <f>'Výdaje kapitol celkem'!F43</f>
        <v>2514380</v>
      </c>
      <c r="I159" s="1965">
        <f t="shared" si="3"/>
        <v>0</v>
      </c>
      <c r="J159" s="286"/>
      <c r="K159" s="287"/>
      <c r="L159" s="291"/>
    </row>
    <row r="160" spans="1:13" s="295" customFormat="1" ht="27" outlineLevel="1" x14ac:dyDescent="0.25">
      <c r="A160" s="904"/>
      <c r="B160" s="1530" t="s">
        <v>98</v>
      </c>
      <c r="C160" s="446">
        <v>5331</v>
      </c>
      <c r="D160" s="1666">
        <v>38151000</v>
      </c>
      <c r="E160" s="1666">
        <v>40602250</v>
      </c>
      <c r="F160" s="1666">
        <v>29599900</v>
      </c>
      <c r="G160" s="1666">
        <v>33799900</v>
      </c>
      <c r="H160" s="906">
        <f>'Výdaje kapitol celkem'!F44</f>
        <v>40903592</v>
      </c>
      <c r="I160" s="1965">
        <f t="shared" si="3"/>
        <v>7103692</v>
      </c>
      <c r="J160" s="286"/>
      <c r="K160" s="287"/>
      <c r="L160" s="1859" t="s">
        <v>2214</v>
      </c>
    </row>
    <row r="161" spans="1:12" ht="18" customHeight="1" outlineLevel="1" x14ac:dyDescent="0.25">
      <c r="A161" s="898"/>
      <c r="B161" s="1526" t="s">
        <v>99</v>
      </c>
      <c r="C161" s="339">
        <v>5361</v>
      </c>
      <c r="D161" s="211">
        <v>40000</v>
      </c>
      <c r="E161" s="211">
        <v>12000</v>
      </c>
      <c r="F161" s="211">
        <v>40000</v>
      </c>
      <c r="G161" s="211">
        <v>40000</v>
      </c>
      <c r="H161" s="212">
        <f>'Výdaje kapitol celkem'!F45</f>
        <v>40000</v>
      </c>
      <c r="I161" s="1965">
        <f t="shared" si="3"/>
        <v>0</v>
      </c>
      <c r="J161" s="286"/>
      <c r="K161" s="287"/>
      <c r="L161" s="291"/>
    </row>
    <row r="162" spans="1:12" ht="18" customHeight="1" outlineLevel="1" x14ac:dyDescent="0.25">
      <c r="A162" s="898"/>
      <c r="B162" s="1526" t="s">
        <v>100</v>
      </c>
      <c r="C162" s="339">
        <v>5362</v>
      </c>
      <c r="D162" s="211">
        <v>2180000</v>
      </c>
      <c r="E162" s="211">
        <v>5089000</v>
      </c>
      <c r="F162" s="211">
        <v>1130000</v>
      </c>
      <c r="G162" s="211">
        <v>1130000</v>
      </c>
      <c r="H162" s="212">
        <f>'Výdaje kapitol celkem'!F46</f>
        <v>1130000</v>
      </c>
      <c r="I162" s="1965">
        <f t="shared" si="3"/>
        <v>0</v>
      </c>
      <c r="J162" s="286"/>
      <c r="K162" s="287"/>
      <c r="L162" s="291"/>
    </row>
    <row r="163" spans="1:12" ht="18" hidden="1" customHeight="1" outlineLevel="1" x14ac:dyDescent="0.25">
      <c r="A163" s="898"/>
      <c r="B163" s="1526" t="s">
        <v>781</v>
      </c>
      <c r="C163" s="339">
        <v>5363</v>
      </c>
      <c r="D163" s="211">
        <v>0</v>
      </c>
      <c r="E163" s="211">
        <v>0</v>
      </c>
      <c r="F163" s="211">
        <v>0</v>
      </c>
      <c r="G163" s="211">
        <v>0</v>
      </c>
      <c r="H163" s="212">
        <f>'Výdaje kapitol celkem'!F47</f>
        <v>0</v>
      </c>
      <c r="I163" s="1965">
        <f t="shared" si="3"/>
        <v>0</v>
      </c>
      <c r="J163" s="286"/>
      <c r="K163" s="287"/>
      <c r="L163" s="291"/>
    </row>
    <row r="164" spans="1:12" outlineLevel="1" x14ac:dyDescent="0.25">
      <c r="A164" s="898"/>
      <c r="B164" s="1526" t="s">
        <v>101</v>
      </c>
      <c r="C164" s="339">
        <v>5492</v>
      </c>
      <c r="D164" s="211">
        <v>570000</v>
      </c>
      <c r="E164" s="211">
        <v>550000</v>
      </c>
      <c r="F164" s="211">
        <v>975000</v>
      </c>
      <c r="G164" s="211">
        <v>925000</v>
      </c>
      <c r="H164" s="212">
        <f>'Výdaje kapitol celkem'!F48</f>
        <v>930000</v>
      </c>
      <c r="I164" s="1965">
        <f t="shared" si="3"/>
        <v>5000</v>
      </c>
      <c r="J164" s="286"/>
      <c r="K164" s="287"/>
      <c r="L164" s="1864" t="s">
        <v>2244</v>
      </c>
    </row>
    <row r="165" spans="1:12" ht="18" customHeight="1" outlineLevel="1" x14ac:dyDescent="0.25">
      <c r="A165" s="898"/>
      <c r="B165" s="1526" t="s">
        <v>740</v>
      </c>
      <c r="C165" s="339">
        <v>5499</v>
      </c>
      <c r="D165" s="211">
        <v>1300000</v>
      </c>
      <c r="E165" s="211">
        <v>1354000</v>
      </c>
      <c r="F165" s="211">
        <v>1620000</v>
      </c>
      <c r="G165" s="211">
        <v>1620000</v>
      </c>
      <c r="H165" s="212">
        <f>'Výdaje kapitol celkem'!F49</f>
        <v>1620000</v>
      </c>
      <c r="I165" s="1965">
        <f t="shared" si="3"/>
        <v>0</v>
      </c>
      <c r="J165" s="286"/>
      <c r="K165" s="287"/>
      <c r="L165" s="291"/>
    </row>
    <row r="166" spans="1:12" ht="18" customHeight="1" outlineLevel="1" x14ac:dyDescent="0.25">
      <c r="A166" s="898"/>
      <c r="B166" s="1526" t="s">
        <v>102</v>
      </c>
      <c r="C166" s="339">
        <v>5222</v>
      </c>
      <c r="D166" s="211">
        <v>1100000</v>
      </c>
      <c r="E166" s="211">
        <v>1000000</v>
      </c>
      <c r="F166" s="211">
        <v>1200000</v>
      </c>
      <c r="G166" s="211">
        <v>1200000</v>
      </c>
      <c r="H166" s="212">
        <f>'Výdaje kapitol celkem'!F50</f>
        <v>1195000</v>
      </c>
      <c r="I166" s="1965">
        <f t="shared" si="3"/>
        <v>-5000</v>
      </c>
      <c r="J166" s="286"/>
      <c r="K166" s="287"/>
      <c r="L166" s="291" t="s">
        <v>2245</v>
      </c>
    </row>
    <row r="167" spans="1:12" ht="18" customHeight="1" outlineLevel="1" x14ac:dyDescent="0.25">
      <c r="A167" s="898"/>
      <c r="B167" s="1526" t="s">
        <v>767</v>
      </c>
      <c r="C167" s="339">
        <v>5903</v>
      </c>
      <c r="D167" s="211">
        <v>60187.891499999998</v>
      </c>
      <c r="E167" s="211">
        <v>24688</v>
      </c>
      <c r="F167" s="211">
        <v>69012.591499999995</v>
      </c>
      <c r="G167" s="211">
        <v>69012.591499999995</v>
      </c>
      <c r="H167" s="212">
        <f>'Výdaje kapitol celkem'!F51</f>
        <v>69012.591499999995</v>
      </c>
      <c r="I167" s="1965">
        <f t="shared" si="3"/>
        <v>0</v>
      </c>
      <c r="J167" s="286"/>
      <c r="K167" s="287"/>
      <c r="L167" s="291"/>
    </row>
    <row r="168" spans="1:12" s="288" customFormat="1" ht="18" customHeight="1" outlineLevel="1" x14ac:dyDescent="0.25">
      <c r="A168" s="897"/>
      <c r="B168" s="1531" t="s">
        <v>130</v>
      </c>
      <c r="C168" s="447">
        <v>5141</v>
      </c>
      <c r="D168" s="375">
        <v>3384502.7564800004</v>
      </c>
      <c r="E168" s="375">
        <v>3444502.7564800004</v>
      </c>
      <c r="F168" s="375">
        <v>3040031.8039999995</v>
      </c>
      <c r="G168" s="375">
        <v>2952545.0202600001</v>
      </c>
      <c r="H168" s="443">
        <f>'Výdaje kapitol celkem'!F53</f>
        <v>2952545.0202600001</v>
      </c>
      <c r="I168" s="1965">
        <f t="shared" si="3"/>
        <v>0</v>
      </c>
      <c r="J168" s="293"/>
      <c r="K168" s="293"/>
      <c r="L168" s="291"/>
    </row>
    <row r="169" spans="1:12" outlineLevel="1" x14ac:dyDescent="0.25">
      <c r="A169" s="898"/>
      <c r="B169" s="1526" t="s">
        <v>741</v>
      </c>
      <c r="C169" s="1524">
        <v>5144</v>
      </c>
      <c r="D169" s="1663">
        <v>0</v>
      </c>
      <c r="E169" s="1663">
        <v>0</v>
      </c>
      <c r="F169" s="1663">
        <v>0</v>
      </c>
      <c r="G169" s="1663">
        <v>0</v>
      </c>
      <c r="H169" s="1525">
        <f>'Výdaje kapitol celkem'!F54</f>
        <v>0</v>
      </c>
      <c r="I169" s="1965">
        <f t="shared" si="3"/>
        <v>0</v>
      </c>
      <c r="J169" s="286"/>
      <c r="K169" s="287"/>
      <c r="L169" s="291"/>
    </row>
    <row r="170" spans="1:12" s="282" customFormat="1" ht="17.25" thickBot="1" x14ac:dyDescent="0.35">
      <c r="A170" s="1937" t="s">
        <v>242</v>
      </c>
      <c r="B170" s="1957" t="s">
        <v>243</v>
      </c>
      <c r="C170" s="1939"/>
      <c r="D170" s="1940">
        <v>49794569.289999999</v>
      </c>
      <c r="E170" s="1940">
        <v>45579569.289999999</v>
      </c>
      <c r="F170" s="1940">
        <v>67183654.480000004</v>
      </c>
      <c r="G170" s="1940">
        <v>67523654.480000004</v>
      </c>
      <c r="H170" s="1941">
        <f>SUM(H171:H181)</f>
        <v>70231778.480000004</v>
      </c>
      <c r="I170" s="1965">
        <f t="shared" si="3"/>
        <v>2708124</v>
      </c>
      <c r="J170" s="286"/>
      <c r="K170" s="287"/>
      <c r="L170" s="291"/>
    </row>
    <row r="171" spans="1:12" ht="21" customHeight="1" outlineLevel="1" thickTop="1" x14ac:dyDescent="0.25">
      <c r="A171" s="898"/>
      <c r="B171" s="1533" t="s">
        <v>91</v>
      </c>
      <c r="C171" s="895">
        <v>6111</v>
      </c>
      <c r="D171" s="1664">
        <v>0</v>
      </c>
      <c r="E171" s="1664">
        <v>0</v>
      </c>
      <c r="F171" s="1664">
        <v>0</v>
      </c>
      <c r="G171" s="1664">
        <v>0</v>
      </c>
      <c r="H171" s="902">
        <f>'Výdaje kapitol celkem'!F57</f>
        <v>0</v>
      </c>
      <c r="I171" s="1965">
        <f t="shared" si="3"/>
        <v>0</v>
      </c>
      <c r="J171" s="286"/>
      <c r="K171" s="287"/>
      <c r="L171" s="291"/>
    </row>
    <row r="172" spans="1:12" s="295" customFormat="1" outlineLevel="1" x14ac:dyDescent="0.25">
      <c r="A172" s="904"/>
      <c r="B172" s="1530" t="s">
        <v>106</v>
      </c>
      <c r="C172" s="446">
        <v>6121</v>
      </c>
      <c r="D172" s="1666">
        <v>40704869.289999999</v>
      </c>
      <c r="E172" s="1666">
        <v>38345869.289999999</v>
      </c>
      <c r="F172" s="1666">
        <v>50788654.480000004</v>
      </c>
      <c r="G172" s="1666">
        <v>51938654.480000004</v>
      </c>
      <c r="H172" s="906">
        <f>'Výdaje kapitol celkem'!F58</f>
        <v>55289654.480000004</v>
      </c>
      <c r="I172" s="1965">
        <f t="shared" si="3"/>
        <v>3351000</v>
      </c>
      <c r="J172" s="286"/>
      <c r="K172" s="287"/>
      <c r="L172" s="1859" t="s">
        <v>2033</v>
      </c>
    </row>
    <row r="173" spans="1:12" s="295" customFormat="1" outlineLevel="1" x14ac:dyDescent="0.25">
      <c r="A173" s="904"/>
      <c r="B173" s="1530" t="s">
        <v>107</v>
      </c>
      <c r="C173" s="446">
        <v>6121</v>
      </c>
      <c r="D173" s="211">
        <v>3580000</v>
      </c>
      <c r="E173" s="211">
        <v>2020000</v>
      </c>
      <c r="F173" s="211">
        <v>12560000</v>
      </c>
      <c r="G173" s="211">
        <v>9560000</v>
      </c>
      <c r="H173" s="212">
        <f>'Výdaje kapitol celkem'!F59</f>
        <v>8660000</v>
      </c>
      <c r="I173" s="1965">
        <f t="shared" si="3"/>
        <v>-900000</v>
      </c>
      <c r="J173" s="286"/>
      <c r="K173" s="287"/>
      <c r="L173" s="1859" t="s">
        <v>2033</v>
      </c>
    </row>
    <row r="174" spans="1:12" outlineLevel="1" x14ac:dyDescent="0.25">
      <c r="A174" s="904"/>
      <c r="B174" s="1530" t="s">
        <v>108</v>
      </c>
      <c r="C174" s="446">
        <v>6122</v>
      </c>
      <c r="D174" s="1666">
        <v>325000</v>
      </c>
      <c r="E174" s="1666">
        <v>325000</v>
      </c>
      <c r="F174" s="1666">
        <v>200000</v>
      </c>
      <c r="G174" s="1666">
        <v>200000</v>
      </c>
      <c r="H174" s="906">
        <f>'Výdaje kapitol celkem'!F60</f>
        <v>200000</v>
      </c>
      <c r="I174" s="1965">
        <f t="shared" si="3"/>
        <v>0</v>
      </c>
      <c r="J174" s="286"/>
      <c r="K174" s="287"/>
      <c r="L174" s="1870"/>
    </row>
    <row r="175" spans="1:12" ht="18.75" hidden="1" customHeight="1" outlineLevel="1" x14ac:dyDescent="0.25">
      <c r="A175" s="898"/>
      <c r="B175" s="1526" t="s">
        <v>109</v>
      </c>
      <c r="C175" s="339">
        <v>6123</v>
      </c>
      <c r="D175" s="211">
        <v>667700</v>
      </c>
      <c r="E175" s="211">
        <v>667700</v>
      </c>
      <c r="F175" s="211">
        <v>0</v>
      </c>
      <c r="G175" s="211">
        <v>0</v>
      </c>
      <c r="H175" s="212">
        <f>'Výdaje kapitol celkem'!F61</f>
        <v>0</v>
      </c>
      <c r="I175" s="1965">
        <f t="shared" si="3"/>
        <v>0</v>
      </c>
      <c r="J175" s="286"/>
      <c r="K175" s="287"/>
      <c r="L175" s="1870"/>
    </row>
    <row r="176" spans="1:12" ht="18.75" customHeight="1" outlineLevel="1" x14ac:dyDescent="0.25">
      <c r="A176" s="898"/>
      <c r="B176" s="1526" t="s">
        <v>110</v>
      </c>
      <c r="C176" s="339">
        <v>6125</v>
      </c>
      <c r="D176" s="211">
        <v>240000</v>
      </c>
      <c r="E176" s="211">
        <v>224000</v>
      </c>
      <c r="F176" s="211">
        <v>240000</v>
      </c>
      <c r="G176" s="211">
        <v>240000</v>
      </c>
      <c r="H176" s="212">
        <f>'Výdaje kapitol celkem'!F62</f>
        <v>240000</v>
      </c>
      <c r="I176" s="1965">
        <f t="shared" si="3"/>
        <v>0</v>
      </c>
      <c r="J176" s="286"/>
      <c r="K176" s="287"/>
      <c r="L176" s="1870"/>
    </row>
    <row r="177" spans="1:12" ht="18.75" hidden="1" customHeight="1" outlineLevel="1" x14ac:dyDescent="0.25">
      <c r="A177" s="898"/>
      <c r="B177" s="1526" t="s">
        <v>111</v>
      </c>
      <c r="C177" s="339">
        <v>6129</v>
      </c>
      <c r="D177" s="211">
        <v>0</v>
      </c>
      <c r="E177" s="211">
        <v>0</v>
      </c>
      <c r="F177" s="211">
        <v>0</v>
      </c>
      <c r="G177" s="211">
        <v>0</v>
      </c>
      <c r="H177" s="212">
        <f>'Výdaje kapitol celkem'!F63</f>
        <v>0</v>
      </c>
      <c r="I177" s="1965">
        <f t="shared" si="3"/>
        <v>0</v>
      </c>
      <c r="J177" s="286"/>
      <c r="K177" s="287"/>
      <c r="L177" s="1870"/>
    </row>
    <row r="178" spans="1:12" outlineLevel="1" x14ac:dyDescent="0.25">
      <c r="A178" s="898"/>
      <c r="B178" s="1526" t="s">
        <v>112</v>
      </c>
      <c r="C178" s="339">
        <v>6130</v>
      </c>
      <c r="D178" s="211">
        <v>1785000</v>
      </c>
      <c r="E178" s="211">
        <v>1505000</v>
      </c>
      <c r="F178" s="211">
        <v>625000</v>
      </c>
      <c r="G178" s="211">
        <v>2215000</v>
      </c>
      <c r="H178" s="212">
        <f>'Výdaje kapitol celkem'!F64</f>
        <v>2472124</v>
      </c>
      <c r="I178" s="1965">
        <f t="shared" si="3"/>
        <v>257124</v>
      </c>
      <c r="J178" s="286"/>
      <c r="K178" s="287"/>
      <c r="L178" s="1859" t="s">
        <v>2033</v>
      </c>
    </row>
    <row r="179" spans="1:12" ht="18.75" hidden="1" customHeight="1" outlineLevel="1" x14ac:dyDescent="0.25">
      <c r="A179" s="898"/>
      <c r="B179" s="1526" t="s">
        <v>1154</v>
      </c>
      <c r="C179" s="339">
        <v>6349</v>
      </c>
      <c r="D179" s="211">
        <v>0</v>
      </c>
      <c r="E179" s="211">
        <v>0</v>
      </c>
      <c r="F179" s="211">
        <v>0</v>
      </c>
      <c r="G179" s="211">
        <v>0</v>
      </c>
      <c r="H179" s="212">
        <f>'Výdaje kapitol celkem'!F65</f>
        <v>0</v>
      </c>
      <c r="I179" s="1965">
        <f t="shared" si="3"/>
        <v>0</v>
      </c>
      <c r="J179" s="286"/>
      <c r="K179" s="287"/>
      <c r="L179" s="1870"/>
    </row>
    <row r="180" spans="1:12" ht="18.75" customHeight="1" outlineLevel="1" x14ac:dyDescent="0.25">
      <c r="A180" s="898"/>
      <c r="B180" s="1526" t="s">
        <v>296</v>
      </c>
      <c r="C180" s="339">
        <v>6351</v>
      </c>
      <c r="D180" s="211">
        <v>2492000</v>
      </c>
      <c r="E180" s="211">
        <v>2492000</v>
      </c>
      <c r="F180" s="211">
        <v>2770000</v>
      </c>
      <c r="G180" s="211">
        <v>3370000</v>
      </c>
      <c r="H180" s="212">
        <f>'Výdaje kapitol celkem'!F66</f>
        <v>3370000</v>
      </c>
      <c r="I180" s="1965">
        <f t="shared" si="3"/>
        <v>0</v>
      </c>
      <c r="J180" s="286"/>
      <c r="K180" s="287"/>
      <c r="L180" s="1859"/>
    </row>
    <row r="181" spans="1:12" ht="18.75" hidden="1" customHeight="1" outlineLevel="1" x14ac:dyDescent="0.25">
      <c r="A181" s="898" t="s">
        <v>584</v>
      </c>
      <c r="B181" s="1526" t="s">
        <v>296</v>
      </c>
      <c r="C181" s="339">
        <v>6349</v>
      </c>
      <c r="D181" s="211">
        <v>0</v>
      </c>
      <c r="E181" s="211"/>
      <c r="F181" s="211">
        <v>0</v>
      </c>
      <c r="G181" s="211">
        <v>0</v>
      </c>
      <c r="H181" s="212">
        <f>'Výdaje kapitol celkem'!F68</f>
        <v>0</v>
      </c>
      <c r="I181" s="1965">
        <f t="shared" si="3"/>
        <v>0</v>
      </c>
      <c r="J181" s="286"/>
      <c r="K181" s="287"/>
      <c r="L181" s="291"/>
    </row>
    <row r="182" spans="1:12" outlineLevel="1" x14ac:dyDescent="0.25">
      <c r="A182" s="898"/>
      <c r="B182" s="1528"/>
      <c r="C182" s="1524"/>
      <c r="D182" s="1663"/>
      <c r="E182" s="1663"/>
      <c r="F182" s="1663"/>
      <c r="G182" s="1663"/>
      <c r="H182" s="1525"/>
      <c r="I182" s="1965"/>
      <c r="J182" s="286"/>
      <c r="K182" s="287"/>
      <c r="L182" s="291"/>
    </row>
    <row r="183" spans="1:12" s="282" customFormat="1" ht="17.25" thickBot="1" x14ac:dyDescent="0.35">
      <c r="A183" s="1937" t="s">
        <v>233</v>
      </c>
      <c r="B183" s="1957" t="s">
        <v>234</v>
      </c>
      <c r="C183" s="1939"/>
      <c r="D183" s="1940">
        <v>19999933.955353342</v>
      </c>
      <c r="E183" s="1940">
        <v>19835112.846853338</v>
      </c>
      <c r="F183" s="1940">
        <v>19281415.699600711</v>
      </c>
      <c r="G183" s="1940">
        <v>19167929.908239976</v>
      </c>
      <c r="H183" s="1941">
        <f>SUM(H184:H186)</f>
        <v>19282485.908239976</v>
      </c>
      <c r="I183" s="1965">
        <f t="shared" si="3"/>
        <v>114556</v>
      </c>
      <c r="J183" s="286"/>
      <c r="K183" s="287"/>
      <c r="L183" s="291"/>
    </row>
    <row r="184" spans="1:12" ht="20.25" customHeight="1" outlineLevel="1" thickTop="1" x14ac:dyDescent="0.25">
      <c r="A184" s="898"/>
      <c r="B184" s="1533" t="s">
        <v>742</v>
      </c>
      <c r="C184" s="895">
        <v>8115</v>
      </c>
      <c r="D184" s="1664">
        <v>297149.955353342</v>
      </c>
      <c r="E184" s="1664">
        <v>132328.84685333818</v>
      </c>
      <c r="F184" s="1664">
        <v>167151.69960071146</v>
      </c>
      <c r="G184" s="1664">
        <v>53665.908239975572</v>
      </c>
      <c r="H184" s="902">
        <f>'Výdaje kapitol celkem'!F67</f>
        <v>168221.90823997557</v>
      </c>
      <c r="I184" s="1965">
        <f t="shared" si="3"/>
        <v>114556</v>
      </c>
      <c r="J184" s="286"/>
      <c r="K184" s="287"/>
      <c r="L184" s="291"/>
    </row>
    <row r="185" spans="1:12" ht="20.25" hidden="1" customHeight="1" outlineLevel="1" x14ac:dyDescent="0.25">
      <c r="A185" s="898"/>
      <c r="B185" s="1526" t="s">
        <v>119</v>
      </c>
      <c r="C185" s="339">
        <v>8115</v>
      </c>
      <c r="D185" s="211"/>
      <c r="E185" s="211"/>
      <c r="F185" s="211"/>
      <c r="G185" s="211"/>
      <c r="H185" s="212"/>
      <c r="I185" s="1965">
        <f t="shared" si="3"/>
        <v>0</v>
      </c>
      <c r="J185" s="286"/>
      <c r="K185" s="287"/>
      <c r="L185" s="291"/>
    </row>
    <row r="186" spans="1:12" s="292" customFormat="1" ht="20.25" customHeight="1" outlineLevel="1" x14ac:dyDescent="0.25">
      <c r="A186" s="899"/>
      <c r="B186" s="1531" t="s">
        <v>743</v>
      </c>
      <c r="C186" s="447" t="s">
        <v>116</v>
      </c>
      <c r="D186" s="375">
        <v>19702784</v>
      </c>
      <c r="E186" s="375">
        <v>19702784</v>
      </c>
      <c r="F186" s="375">
        <v>19114264</v>
      </c>
      <c r="G186" s="375">
        <v>19114264</v>
      </c>
      <c r="H186" s="443">
        <f>'Výdaje kapitol celkem'!F71</f>
        <v>19114264</v>
      </c>
      <c r="I186" s="1965">
        <f t="shared" si="3"/>
        <v>0</v>
      </c>
      <c r="J186" s="286"/>
      <c r="K186" s="286"/>
      <c r="L186" s="291"/>
    </row>
    <row r="187" spans="1:12" ht="16.5" outlineLevel="1" thickBot="1" x14ac:dyDescent="0.3">
      <c r="A187" s="898"/>
      <c r="B187" s="1534"/>
      <c r="C187" s="900"/>
      <c r="D187" s="1667"/>
      <c r="E187" s="1667"/>
      <c r="F187" s="1667"/>
      <c r="G187" s="1667"/>
      <c r="H187" s="901"/>
      <c r="I187" s="1965"/>
      <c r="J187" s="286"/>
      <c r="K187" s="287"/>
      <c r="L187" s="291"/>
    </row>
    <row r="188" spans="1:12" s="282" customFormat="1" ht="17.25" thickBot="1" x14ac:dyDescent="0.35">
      <c r="A188" s="1947" t="s">
        <v>244</v>
      </c>
      <c r="B188" s="1948"/>
      <c r="C188" s="1949"/>
      <c r="D188" s="1950">
        <v>225755836.75999999</v>
      </c>
      <c r="E188" s="1950">
        <v>228894941.75999999</v>
      </c>
      <c r="F188" s="1950">
        <v>247142442.21510071</v>
      </c>
      <c r="G188" s="1950">
        <v>243932554</v>
      </c>
      <c r="H188" s="1951">
        <f>+H183+H170+H121</f>
        <v>262059406</v>
      </c>
      <c r="I188" s="1965">
        <f t="shared" si="3"/>
        <v>18126852</v>
      </c>
      <c r="J188" s="286"/>
      <c r="K188" s="287"/>
      <c r="L188" s="291"/>
    </row>
    <row r="189" spans="1:12" s="288" customFormat="1" x14ac:dyDescent="0.25">
      <c r="A189" s="180"/>
      <c r="B189" s="180" t="s">
        <v>245</v>
      </c>
      <c r="C189" s="284"/>
      <c r="D189" s="285">
        <v>0</v>
      </c>
      <c r="E189" s="285"/>
      <c r="F189" s="285">
        <v>0</v>
      </c>
      <c r="G189" s="285">
        <v>0</v>
      </c>
      <c r="H189" s="285">
        <f>+H188-'Výdaje kapitol celkem'!F74</f>
        <v>0</v>
      </c>
      <c r="I189" s="1965">
        <f t="shared" si="3"/>
        <v>0</v>
      </c>
      <c r="J189" s="286"/>
      <c r="K189" s="287"/>
      <c r="L189" s="291"/>
    </row>
    <row r="190" spans="1:12" s="282" customFormat="1" ht="17.25" thickBot="1" x14ac:dyDescent="0.35">
      <c r="A190" s="1958" t="s">
        <v>1612</v>
      </c>
      <c r="B190" s="1959"/>
      <c r="C190" s="1960"/>
      <c r="D190" s="1961">
        <v>0</v>
      </c>
      <c r="E190" s="1961"/>
      <c r="F190" s="1961">
        <v>0</v>
      </c>
      <c r="G190" s="1961">
        <v>0</v>
      </c>
      <c r="H190" s="1962">
        <f>+H116-H188</f>
        <v>0</v>
      </c>
      <c r="I190" s="1965"/>
      <c r="J190" s="286"/>
      <c r="K190" s="287"/>
      <c r="L190" s="291"/>
    </row>
    <row r="191" spans="1:12" s="288" customFormat="1" ht="16.5" thickTop="1" x14ac:dyDescent="0.25">
      <c r="A191" s="180"/>
      <c r="B191" s="180"/>
      <c r="C191" s="284"/>
      <c r="D191" s="285"/>
      <c r="E191" s="285"/>
      <c r="F191" s="285"/>
      <c r="G191" s="285"/>
      <c r="H191" s="285"/>
      <c r="I191" s="285"/>
      <c r="J191" s="286"/>
      <c r="K191" s="287"/>
      <c r="L191" s="291"/>
    </row>
    <row r="192" spans="1:12" ht="15.75" customHeight="1" x14ac:dyDescent="0.25">
      <c r="A192" s="109"/>
      <c r="B192" s="109"/>
      <c r="C192" s="114"/>
      <c r="D192" s="190"/>
      <c r="E192" s="190"/>
      <c r="F192" s="190"/>
      <c r="G192" s="190"/>
      <c r="H192" s="190"/>
      <c r="I192" s="285"/>
      <c r="J192" s="286"/>
      <c r="K192" s="287"/>
      <c r="L192" s="291"/>
    </row>
    <row r="193" spans="1:12" ht="15.75" customHeight="1" x14ac:dyDescent="0.25">
      <c r="A193" s="109"/>
      <c r="B193" s="109" t="s">
        <v>791</v>
      </c>
      <c r="C193" s="114"/>
      <c r="D193" s="1964">
        <f>+D6+D30+D93+D98+D100+D109+D206+D99+D87+D95++D89+D90+D91+D92</f>
        <v>216182334.75999999</v>
      </c>
      <c r="E193" s="1964">
        <v>217937005.75999999</v>
      </c>
      <c r="F193" s="1964">
        <f>+F6+F30+F93+F98+F100+F109+F206+F99+F87+F95++F89+F90+F91+F92</f>
        <v>230822166.21510071</v>
      </c>
      <c r="G193" s="1964">
        <v>227481478</v>
      </c>
      <c r="H193" s="1964">
        <f>+H6+H30+H93+H98+H100+H109+H206+H99+H87+H95++H89+H90+H91+H92</f>
        <v>238504638</v>
      </c>
      <c r="I193" s="285"/>
      <c r="J193" s="286"/>
      <c r="K193" s="287"/>
      <c r="L193" s="291"/>
    </row>
    <row r="194" spans="1:12" ht="15.75" customHeight="1" x14ac:dyDescent="0.25">
      <c r="A194" s="109"/>
      <c r="B194" s="109" t="s">
        <v>792</v>
      </c>
      <c r="C194" s="114"/>
      <c r="D194" s="1964">
        <f>+D122+D132+D186</f>
        <v>175664117.51464665</v>
      </c>
      <c r="E194" s="1964">
        <v>183183043.62314665</v>
      </c>
      <c r="F194" s="1964">
        <v>179791636.03549999</v>
      </c>
      <c r="G194" s="1964">
        <v>176355233.61176002</v>
      </c>
      <c r="H194" s="1964">
        <f>+H122+H132+H186</f>
        <v>191659405.61176002</v>
      </c>
      <c r="I194" s="285"/>
      <c r="J194" s="286"/>
      <c r="K194" s="287"/>
      <c r="L194" s="291"/>
    </row>
    <row r="195" spans="1:12" s="302" customFormat="1" ht="15.75" customHeight="1" thickBot="1" x14ac:dyDescent="0.35">
      <c r="A195" s="298"/>
      <c r="B195" s="908" t="s">
        <v>793</v>
      </c>
      <c r="C195" s="909"/>
      <c r="D195" s="2120">
        <f t="shared" ref="D195:H195" si="4">+D193-D194</f>
        <v>40518217.245353341</v>
      </c>
      <c r="E195" s="2120">
        <v>34753962.136853337</v>
      </c>
      <c r="F195" s="2120">
        <v>69353545.879201412</v>
      </c>
      <c r="G195" s="2120">
        <v>51126244.38823998</v>
      </c>
      <c r="H195" s="2120">
        <f t="shared" si="4"/>
        <v>46845232.38823998</v>
      </c>
      <c r="I195" s="300"/>
      <c r="J195" s="280"/>
      <c r="K195" s="280"/>
      <c r="L195" s="301"/>
    </row>
    <row r="196" spans="1:12" s="288" customFormat="1" ht="15.75" customHeight="1" thickTop="1" x14ac:dyDescent="0.25">
      <c r="A196" s="180"/>
      <c r="B196" s="180" t="s">
        <v>2038</v>
      </c>
      <c r="C196" s="284"/>
      <c r="D196" s="2122">
        <f>+D194/D193</f>
        <v>0.81257387524130675</v>
      </c>
      <c r="E196" s="2122">
        <v>0.84053207478161995</v>
      </c>
      <c r="F196" s="2122">
        <v>0.72163400734377581</v>
      </c>
      <c r="G196" s="2122">
        <v>0.77525095740656313</v>
      </c>
      <c r="H196" s="2122">
        <f>+H194/H193</f>
        <v>0.80358775082503853</v>
      </c>
      <c r="I196" s="285"/>
      <c r="J196" s="293"/>
      <c r="K196" s="293"/>
      <c r="L196" s="2119"/>
    </row>
    <row r="197" spans="1:12" ht="15.75" customHeight="1" x14ac:dyDescent="0.25">
      <c r="A197" s="109"/>
      <c r="B197" s="109"/>
      <c r="C197" s="114"/>
      <c r="D197" s="190"/>
      <c r="E197" s="596"/>
      <c r="F197" s="190"/>
      <c r="G197" s="190"/>
      <c r="H197" s="596"/>
      <c r="I197" s="285"/>
      <c r="J197" s="286"/>
      <c r="K197" s="287"/>
      <c r="L197" s="291"/>
    </row>
    <row r="198" spans="1:12" ht="15.75" customHeight="1" x14ac:dyDescent="0.25">
      <c r="A198" s="109"/>
      <c r="B198" s="109" t="s">
        <v>794</v>
      </c>
      <c r="C198" s="114"/>
      <c r="D198" s="1964">
        <v>19702784</v>
      </c>
      <c r="E198" s="1964">
        <v>19702784</v>
      </c>
      <c r="F198" s="1964">
        <v>19114264</v>
      </c>
      <c r="G198" s="1964">
        <v>19114264</v>
      </c>
      <c r="H198" s="1964">
        <f t="shared" ref="H198" si="5">+H186</f>
        <v>19114264</v>
      </c>
      <c r="I198" s="285"/>
      <c r="J198" s="286"/>
      <c r="K198" s="287"/>
      <c r="L198" s="291"/>
    </row>
    <row r="199" spans="1:12" s="302" customFormat="1" ht="15.75" customHeight="1" thickBot="1" x14ac:dyDescent="0.35">
      <c r="A199" s="298"/>
      <c r="B199" s="908" t="s">
        <v>795</v>
      </c>
      <c r="C199" s="909"/>
      <c r="D199" s="2120">
        <f>+D195-D198</f>
        <v>20815433.245353341</v>
      </c>
      <c r="E199" s="2120">
        <v>15051178.136853337</v>
      </c>
      <c r="F199" s="2120">
        <v>50239281.879201412</v>
      </c>
      <c r="G199" s="2120">
        <v>32011980.38823998</v>
      </c>
      <c r="H199" s="2120">
        <f>+H195-H198</f>
        <v>27730968.38823998</v>
      </c>
      <c r="I199" s="300"/>
      <c r="J199" s="280"/>
      <c r="K199" s="280"/>
      <c r="L199" s="301"/>
    </row>
    <row r="200" spans="1:12" ht="15.75" customHeight="1" thickTop="1" x14ac:dyDescent="0.25">
      <c r="A200" s="109"/>
      <c r="B200" s="109"/>
      <c r="C200" s="114"/>
      <c r="D200" s="2121"/>
      <c r="E200" s="2121"/>
      <c r="F200" s="2121"/>
      <c r="G200" s="2121"/>
      <c r="H200" s="2121"/>
      <c r="I200" s="285"/>
      <c r="J200" s="286"/>
      <c r="K200" s="287"/>
      <c r="L200" s="291"/>
    </row>
    <row r="201" spans="1:12" ht="15.75" customHeight="1" x14ac:dyDescent="0.25">
      <c r="A201" s="109"/>
      <c r="B201" s="109" t="s">
        <v>796</v>
      </c>
      <c r="C201" s="114"/>
      <c r="D201" s="1964">
        <f>+D85-D93-D98-D100</f>
        <v>11983202</v>
      </c>
      <c r="E201" s="1964">
        <v>14236107</v>
      </c>
      <c r="F201" s="1964">
        <v>19129776</v>
      </c>
      <c r="G201" s="1964">
        <v>19260576</v>
      </c>
      <c r="H201" s="1964">
        <f>+H85-H93-H98-H100</f>
        <v>26207068</v>
      </c>
      <c r="I201" s="285"/>
      <c r="J201" s="286"/>
      <c r="K201" s="287"/>
      <c r="L201" s="291"/>
    </row>
    <row r="202" spans="1:12" ht="15.75" customHeight="1" x14ac:dyDescent="0.25">
      <c r="A202" s="109"/>
      <c r="B202" s="109" t="s">
        <v>3</v>
      </c>
      <c r="C202" s="114"/>
      <c r="D202" s="1964">
        <f>+D170</f>
        <v>49794569.289999999</v>
      </c>
      <c r="E202" s="1964">
        <v>45579569.289999999</v>
      </c>
      <c r="F202" s="1964">
        <v>67183654.480000004</v>
      </c>
      <c r="G202" s="1964">
        <v>67523654.480000004</v>
      </c>
      <c r="H202" s="1964">
        <f>+H170</f>
        <v>70231778.480000004</v>
      </c>
      <c r="I202" s="285"/>
      <c r="J202" s="286"/>
      <c r="K202" s="287"/>
      <c r="L202" s="291"/>
    </row>
    <row r="203" spans="1:12" s="302" customFormat="1" ht="15.75" customHeight="1" thickBot="1" x14ac:dyDescent="0.35">
      <c r="A203" s="298"/>
      <c r="B203" s="908" t="s">
        <v>797</v>
      </c>
      <c r="C203" s="909"/>
      <c r="D203" s="2120">
        <f>+D199+D201-D202</f>
        <v>-16995934.044646658</v>
      </c>
      <c r="E203" s="2120">
        <v>-16292284.153146662</v>
      </c>
      <c r="F203" s="2120">
        <v>2185403.399201408</v>
      </c>
      <c r="G203" s="2120">
        <v>-16251098.091760024</v>
      </c>
      <c r="H203" s="2120">
        <f>+H199+H201-H202</f>
        <v>-16293742.091760024</v>
      </c>
      <c r="I203" s="300"/>
      <c r="J203" s="280"/>
      <c r="K203" s="280"/>
      <c r="L203" s="301"/>
    </row>
    <row r="204" spans="1:12" s="288" customFormat="1" ht="15.75" customHeight="1" thickTop="1" x14ac:dyDescent="0.25">
      <c r="A204" s="180"/>
      <c r="B204" s="180" t="s">
        <v>2039</v>
      </c>
      <c r="C204" s="284"/>
      <c r="D204" s="2122">
        <f>+D202/(D193+D201)</f>
        <v>0.21823878398593258</v>
      </c>
      <c r="E204" s="2122">
        <v>0.20914102738565588</v>
      </c>
      <c r="F204" s="2122">
        <v>0.26965664743619783</v>
      </c>
      <c r="G204" s="2122">
        <v>0.29683143908533954</v>
      </c>
      <c r="H204" s="2122">
        <f>+H202/(H193)</f>
        <v>0.29446713937697094</v>
      </c>
      <c r="I204" s="285"/>
      <c r="J204" s="293"/>
      <c r="K204" s="293"/>
      <c r="L204" s="2119"/>
    </row>
    <row r="205" spans="1:12" ht="15.75" customHeight="1" x14ac:dyDescent="0.25">
      <c r="A205" s="109"/>
      <c r="B205" s="109"/>
      <c r="C205" s="114"/>
      <c r="D205" s="2121"/>
      <c r="E205" s="2123"/>
      <c r="F205" s="2121"/>
      <c r="G205" s="2121"/>
      <c r="H205" s="2123"/>
      <c r="I205" s="285"/>
      <c r="J205" s="286"/>
      <c r="K205" s="287"/>
      <c r="L205" s="291"/>
    </row>
    <row r="206" spans="1:12" s="302" customFormat="1" ht="15.75" customHeight="1" thickBot="1" x14ac:dyDescent="0.35">
      <c r="A206" s="298"/>
      <c r="B206" s="908" t="s">
        <v>798</v>
      </c>
      <c r="C206" s="909"/>
      <c r="D206" s="2120">
        <f>+D207+D208</f>
        <v>15129146</v>
      </c>
      <c r="E206" s="2120">
        <v>15129146</v>
      </c>
      <c r="F206" s="2120">
        <v>25000000</v>
      </c>
      <c r="G206" s="2120">
        <v>14800000</v>
      </c>
      <c r="H206" s="2120">
        <f>+H207+H208</f>
        <v>14800000</v>
      </c>
      <c r="I206" s="300"/>
      <c r="J206" s="280"/>
      <c r="K206" s="280"/>
      <c r="L206" s="301"/>
    </row>
    <row r="207" spans="1:12" ht="15.75" customHeight="1" thickTop="1" x14ac:dyDescent="0.25">
      <c r="A207" s="109"/>
      <c r="B207" s="109" t="s">
        <v>799</v>
      </c>
      <c r="C207" s="114"/>
      <c r="D207" s="1964">
        <v>15129146</v>
      </c>
      <c r="E207" s="1964">
        <v>15129146</v>
      </c>
      <c r="F207" s="1964">
        <v>25000000</v>
      </c>
      <c r="G207" s="1964">
        <v>14800000</v>
      </c>
      <c r="H207" s="1964">
        <f>+H112</f>
        <v>14800000</v>
      </c>
      <c r="I207" s="285"/>
      <c r="J207" s="286"/>
      <c r="K207" s="287"/>
      <c r="L207" s="291"/>
    </row>
    <row r="208" spans="1:12" ht="15.75" customHeight="1" x14ac:dyDescent="0.25">
      <c r="A208" s="109"/>
      <c r="B208" s="109" t="s">
        <v>800</v>
      </c>
      <c r="C208" s="114"/>
      <c r="D208" s="113"/>
      <c r="E208" s="113"/>
      <c r="F208" s="113"/>
      <c r="G208" s="113"/>
      <c r="H208" s="113"/>
      <c r="I208" s="285"/>
      <c r="J208" s="286"/>
      <c r="K208" s="287"/>
      <c r="L208" s="291"/>
    </row>
    <row r="209" spans="1:13" ht="15.75" customHeight="1" x14ac:dyDescent="0.25">
      <c r="A209" s="109"/>
      <c r="B209" s="109"/>
      <c r="C209" s="114"/>
      <c r="D209" s="190"/>
      <c r="E209" s="190"/>
      <c r="F209" s="190"/>
      <c r="G209" s="190"/>
      <c r="H209" s="190"/>
      <c r="I209" s="285"/>
      <c r="J209" s="286"/>
      <c r="K209" s="287"/>
      <c r="L209" s="291"/>
    </row>
    <row r="210" spans="1:13" s="302" customFormat="1" ht="16.5" x14ac:dyDescent="0.3">
      <c r="A210" s="888" t="s">
        <v>659</v>
      </c>
      <c r="B210" s="888"/>
      <c r="C210" s="889"/>
      <c r="D210" s="890">
        <v>0.11280707527992476</v>
      </c>
      <c r="E210" s="890">
        <v>0.10878977386816538</v>
      </c>
      <c r="F210" s="890">
        <v>0.10229272068878144</v>
      </c>
      <c r="G210" s="890">
        <v>9.8482839779024847E-2</v>
      </c>
      <c r="H210" s="890">
        <f>+H217/H212</f>
        <v>9.1111968210611766E-2</v>
      </c>
      <c r="I210" s="891"/>
      <c r="J210" s="892"/>
      <c r="K210" s="892"/>
      <c r="L210" s="893"/>
    </row>
    <row r="211" spans="1:13" x14ac:dyDescent="0.25">
      <c r="A211" s="109"/>
      <c r="B211" s="109"/>
      <c r="C211" s="114"/>
      <c r="D211" s="190"/>
      <c r="E211" s="190"/>
      <c r="F211" s="190"/>
      <c r="G211" s="190"/>
      <c r="H211" s="190"/>
      <c r="I211" s="285"/>
      <c r="J211" s="286"/>
      <c r="K211" s="287"/>
      <c r="L211" s="291"/>
    </row>
    <row r="212" spans="1:13" s="307" customFormat="1" ht="17.25" thickBot="1" x14ac:dyDescent="0.35">
      <c r="A212" s="303"/>
      <c r="B212" s="911" t="s">
        <v>654</v>
      </c>
      <c r="C212" s="912"/>
      <c r="D212" s="913">
        <v>204661690.75999999</v>
      </c>
      <c r="E212" s="913">
        <v>212770795.75999999</v>
      </c>
      <c r="F212" s="913">
        <v>216577442.21510071</v>
      </c>
      <c r="G212" s="913">
        <v>224067554</v>
      </c>
      <c r="H212" s="913">
        <f>SUM(H213:H215)</f>
        <v>242194406</v>
      </c>
      <c r="I212" s="297"/>
      <c r="J212" s="305"/>
      <c r="K212" s="305"/>
      <c r="L212" s="301"/>
      <c r="M212" s="306"/>
    </row>
    <row r="213" spans="1:13" ht="16.5" thickTop="1" x14ac:dyDescent="0.25">
      <c r="A213" s="109"/>
      <c r="B213" s="289" t="s">
        <v>656</v>
      </c>
      <c r="C213" s="114"/>
      <c r="D213" s="190">
        <v>154796475.75999999</v>
      </c>
      <c r="E213" s="190">
        <v>157236075.75999999</v>
      </c>
      <c r="F213" s="190">
        <v>159907711</v>
      </c>
      <c r="G213" s="190">
        <v>165345711</v>
      </c>
      <c r="H213" s="190">
        <f>+H6-H23</f>
        <v>174464571</v>
      </c>
      <c r="I213" s="285"/>
      <c r="J213" s="286"/>
      <c r="K213" s="287"/>
      <c r="L213" s="291"/>
    </row>
    <row r="214" spans="1:13" x14ac:dyDescent="0.25">
      <c r="A214" s="109"/>
      <c r="B214" s="289" t="s">
        <v>657</v>
      </c>
      <c r="C214" s="114"/>
      <c r="D214" s="190">
        <v>27980213</v>
      </c>
      <c r="E214" s="190">
        <v>31796813</v>
      </c>
      <c r="F214" s="190">
        <v>27638955.215100706</v>
      </c>
      <c r="G214" s="190">
        <v>28952967</v>
      </c>
      <c r="H214" s="190">
        <f>+H30</f>
        <v>31014467</v>
      </c>
      <c r="I214" s="285"/>
      <c r="J214" s="286"/>
      <c r="K214" s="287"/>
      <c r="L214" s="291"/>
    </row>
    <row r="215" spans="1:13" x14ac:dyDescent="0.25">
      <c r="A215" s="109"/>
      <c r="B215" s="289" t="s">
        <v>658</v>
      </c>
      <c r="C215" s="114"/>
      <c r="D215" s="190">
        <v>21885002</v>
      </c>
      <c r="E215" s="190">
        <v>23737907</v>
      </c>
      <c r="F215" s="190">
        <v>29030776</v>
      </c>
      <c r="G215" s="190">
        <v>29768876</v>
      </c>
      <c r="H215" s="190">
        <f>+H85</f>
        <v>36715368</v>
      </c>
      <c r="I215" s="285"/>
      <c r="J215" s="286"/>
      <c r="K215" s="287"/>
      <c r="L215" s="291"/>
    </row>
    <row r="216" spans="1:13" x14ac:dyDescent="0.25">
      <c r="A216" s="109"/>
      <c r="B216" s="109"/>
      <c r="C216" s="285"/>
      <c r="D216" s="109"/>
      <c r="E216" s="109"/>
      <c r="F216" s="109"/>
      <c r="G216" s="109"/>
      <c r="H216" s="109"/>
      <c r="I216" s="180"/>
      <c r="J216" s="286"/>
      <c r="K216" s="287"/>
      <c r="L216" s="291"/>
    </row>
    <row r="217" spans="1:13" s="307" customFormat="1" ht="17.25" thickBot="1" x14ac:dyDescent="0.35">
      <c r="A217" s="303"/>
      <c r="B217" s="911" t="s">
        <v>655</v>
      </c>
      <c r="C217" s="912"/>
      <c r="D217" s="913">
        <v>23087286.756480001</v>
      </c>
      <c r="E217" s="913">
        <v>23147286.756480001</v>
      </c>
      <c r="F217" s="913">
        <v>22154295.803999998</v>
      </c>
      <c r="G217" s="913">
        <v>22066809.020259999</v>
      </c>
      <c r="H217" s="913">
        <f>SUM(H218:H219)</f>
        <v>22066809.020259999</v>
      </c>
      <c r="I217" s="297"/>
      <c r="J217" s="305"/>
      <c r="K217" s="305"/>
      <c r="L217" s="301"/>
      <c r="M217" s="306"/>
    </row>
    <row r="218" spans="1:13" ht="16.5" thickTop="1" x14ac:dyDescent="0.25">
      <c r="A218" s="109"/>
      <c r="B218" s="289" t="s">
        <v>130</v>
      </c>
      <c r="C218" s="114"/>
      <c r="D218" s="190">
        <v>3384502.7564800004</v>
      </c>
      <c r="E218" s="190">
        <v>3444502.7564800004</v>
      </c>
      <c r="F218" s="190">
        <v>3040031.8039999995</v>
      </c>
      <c r="G218" s="190">
        <v>2952545.0202600001</v>
      </c>
      <c r="H218" s="190">
        <f>+H168+H169</f>
        <v>2952545.0202600001</v>
      </c>
      <c r="I218" s="285"/>
      <c r="J218" s="286"/>
      <c r="K218" s="287"/>
      <c r="L218" s="291"/>
    </row>
    <row r="219" spans="1:13" x14ac:dyDescent="0.25">
      <c r="A219" s="109"/>
      <c r="B219" s="289" t="s">
        <v>743</v>
      </c>
      <c r="C219" s="114"/>
      <c r="D219" s="190">
        <v>19702784</v>
      </c>
      <c r="E219" s="190">
        <v>19702784</v>
      </c>
      <c r="F219" s="190">
        <v>19114264</v>
      </c>
      <c r="G219" s="190">
        <v>19114264</v>
      </c>
      <c r="H219" s="190">
        <f>+H186</f>
        <v>19114264</v>
      </c>
      <c r="I219" s="285"/>
      <c r="J219" s="286"/>
      <c r="K219" s="287"/>
      <c r="L219" s="291"/>
    </row>
    <row r="220" spans="1:13" x14ac:dyDescent="0.25">
      <c r="A220" s="109"/>
      <c r="B220" s="109"/>
      <c r="C220" s="114"/>
      <c r="D220" s="190"/>
      <c r="E220" s="596"/>
      <c r="F220" s="190"/>
      <c r="G220" s="190"/>
      <c r="H220" s="596"/>
      <c r="I220" s="285"/>
      <c r="J220" s="286"/>
      <c r="K220" s="287"/>
      <c r="L220" s="291"/>
    </row>
    <row r="221" spans="1:13" ht="16.5" x14ac:dyDescent="0.3">
      <c r="A221" s="112" t="s">
        <v>246</v>
      </c>
      <c r="B221" s="109"/>
      <c r="C221" s="114"/>
      <c r="D221" s="190"/>
      <c r="E221" s="190"/>
      <c r="F221" s="190"/>
      <c r="G221" s="190"/>
      <c r="H221" s="190"/>
      <c r="I221" s="285"/>
      <c r="J221" s="286"/>
      <c r="K221" s="287"/>
      <c r="L221" s="291"/>
    </row>
    <row r="222" spans="1:13" s="282" customFormat="1" ht="16.5" x14ac:dyDescent="0.3">
      <c r="A222" s="189"/>
      <c r="B222" s="189" t="s">
        <v>247</v>
      </c>
      <c r="C222" s="114"/>
      <c r="D222" s="308">
        <v>37223405.245353341</v>
      </c>
      <c r="E222" s="308">
        <v>36387079.136853337</v>
      </c>
      <c r="F222" s="308">
        <v>37268694.179600716</v>
      </c>
      <c r="G222" s="308">
        <v>48064408.38823998</v>
      </c>
      <c r="H222" s="308">
        <f>+H6+H30+H93+H99-H121-H23</f>
        <v>43940596.38823998</v>
      </c>
      <c r="I222" s="297"/>
      <c r="J222" s="280"/>
      <c r="K222" s="281"/>
      <c r="L222" s="291"/>
    </row>
    <row r="223" spans="1:13" s="307" customFormat="1" ht="17.25" thickBot="1" x14ac:dyDescent="0.35">
      <c r="A223" s="189"/>
      <c r="B223" s="911" t="s">
        <v>248</v>
      </c>
      <c r="C223" s="912"/>
      <c r="D223" s="914">
        <v>0.18738799583975521</v>
      </c>
      <c r="E223" s="914">
        <v>0.18236423543275684</v>
      </c>
      <c r="F223" s="914">
        <v>0.18357817211322627</v>
      </c>
      <c r="G223" s="914">
        <v>0.22901775094643639</v>
      </c>
      <c r="H223" s="914">
        <f>H222/(H6+H30+H93+H98+H80)</f>
        <v>0.19877915242063615</v>
      </c>
      <c r="I223" s="309"/>
      <c r="J223" s="310"/>
      <c r="K223" s="311"/>
      <c r="L223" s="291"/>
    </row>
    <row r="224" spans="1:13" ht="16.5" thickTop="1" x14ac:dyDescent="0.25">
      <c r="A224" s="189"/>
      <c r="B224" s="109"/>
      <c r="C224" s="114"/>
      <c r="D224" s="190"/>
      <c r="E224" s="190"/>
      <c r="F224" s="190"/>
      <c r="G224" s="190"/>
      <c r="H224" s="190"/>
      <c r="I224" s="285"/>
      <c r="J224" s="286"/>
      <c r="K224" s="287"/>
      <c r="L224" s="291"/>
    </row>
    <row r="225" spans="1:13" s="282" customFormat="1" ht="16.5" x14ac:dyDescent="0.3">
      <c r="A225" s="189"/>
      <c r="B225" s="112" t="s">
        <v>680</v>
      </c>
      <c r="C225" s="297"/>
      <c r="D225" s="312">
        <v>3.6883563164651026E-8</v>
      </c>
      <c r="E225" s="312">
        <v>3.4053852694543446E-8</v>
      </c>
      <c r="F225" s="312">
        <v>2.2660436798954066E-8</v>
      </c>
      <c r="G225" s="312">
        <v>2.9359456516531016E-8</v>
      </c>
      <c r="H225" s="312">
        <f>+H226/H227</f>
        <v>2.4386039987057843E-8</v>
      </c>
      <c r="I225" s="297"/>
      <c r="J225" s="280"/>
      <c r="K225" s="281"/>
      <c r="L225" s="301"/>
    </row>
    <row r="226" spans="1:13" x14ac:dyDescent="0.25">
      <c r="A226" s="189"/>
      <c r="B226" s="289" t="s">
        <v>766</v>
      </c>
      <c r="C226" s="114"/>
      <c r="D226" s="2125">
        <v>0.8515413993830413</v>
      </c>
      <c r="E226" s="2125">
        <v>0.78825429348352627</v>
      </c>
      <c r="F226" s="2125">
        <v>0.50202601989187523</v>
      </c>
      <c r="G226" s="2125">
        <v>0.64786951988891783</v>
      </c>
      <c r="H226" s="2125">
        <f>+H217/(H207+H201)</f>
        <v>0.53812208715482901</v>
      </c>
      <c r="I226" s="285"/>
      <c r="J226" s="286"/>
      <c r="K226" s="287"/>
      <c r="L226" s="291"/>
    </row>
    <row r="227" spans="1:13" x14ac:dyDescent="0.25">
      <c r="A227" s="189"/>
      <c r="B227" s="289"/>
      <c r="C227" s="114"/>
      <c r="D227" s="188">
        <v>23087286.756480001</v>
      </c>
      <c r="E227" s="188">
        <v>23147286.756480001</v>
      </c>
      <c r="F227" s="188">
        <v>22154295.803999998</v>
      </c>
      <c r="G227" s="188">
        <v>22066809.020259999</v>
      </c>
      <c r="H227" s="188">
        <f>+H217</f>
        <v>22066809.020259999</v>
      </c>
      <c r="I227" s="285"/>
      <c r="J227" s="286"/>
      <c r="K227" s="287"/>
      <c r="L227" s="291"/>
    </row>
    <row r="228" spans="1:13" ht="27" x14ac:dyDescent="0.25">
      <c r="A228" s="109"/>
      <c r="B228" s="289"/>
      <c r="C228" s="114"/>
      <c r="D228" s="2124" t="s">
        <v>1575</v>
      </c>
      <c r="E228" s="2124" t="s">
        <v>1611</v>
      </c>
      <c r="F228" s="2124" t="s">
        <v>1611</v>
      </c>
      <c r="G228" s="2124" t="s">
        <v>1611</v>
      </c>
      <c r="H228" s="2124" t="s">
        <v>1611</v>
      </c>
      <c r="I228" s="285"/>
      <c r="J228" s="286"/>
      <c r="K228" s="287"/>
      <c r="L228" s="291"/>
    </row>
    <row r="229" spans="1:13" s="282" customFormat="1" ht="17.25" thickBot="1" x14ac:dyDescent="0.35">
      <c r="A229" s="189"/>
      <c r="B229" s="915" t="s">
        <v>731</v>
      </c>
      <c r="C229" s="916"/>
      <c r="D229" s="1968">
        <v>145315977.65099999</v>
      </c>
      <c r="E229" s="1968">
        <v>163276119</v>
      </c>
      <c r="F229" s="1968">
        <f>SUM(F230:F234)</f>
        <v>126137552</v>
      </c>
      <c r="G229" s="1968">
        <v>126137552</v>
      </c>
      <c r="H229" s="1968">
        <f>SUM(H230:H234)</f>
        <v>126137552</v>
      </c>
      <c r="I229" s="297"/>
      <c r="J229" s="280"/>
      <c r="K229" s="281"/>
      <c r="L229" s="301"/>
      <c r="M229" s="315"/>
    </row>
    <row r="230" spans="1:13" s="282" customFormat="1" ht="17.25" thickTop="1" x14ac:dyDescent="0.3">
      <c r="A230" s="189"/>
      <c r="B230" s="316" t="s">
        <v>733</v>
      </c>
      <c r="C230" s="114"/>
      <c r="D230" s="1964">
        <v>22727264</v>
      </c>
      <c r="E230" s="1964">
        <v>33136595</v>
      </c>
      <c r="F230" s="1964">
        <v>11818172</v>
      </c>
      <c r="G230" s="1964">
        <v>11818172</v>
      </c>
      <c r="H230" s="1964">
        <f>'plán - úvěrů a úroků'!H25</f>
        <v>11818172</v>
      </c>
      <c r="I230" s="297"/>
      <c r="J230" s="280"/>
      <c r="K230" s="281"/>
      <c r="L230" s="301"/>
      <c r="M230" s="315"/>
    </row>
    <row r="231" spans="1:13" s="282" customFormat="1" ht="16.5" x14ac:dyDescent="0.3">
      <c r="A231" s="189"/>
      <c r="B231" s="316" t="s">
        <v>734</v>
      </c>
      <c r="C231" s="114"/>
      <c r="D231" s="1964">
        <v>78056852</v>
      </c>
      <c r="E231" s="1964">
        <v>83142864</v>
      </c>
      <c r="F231" s="1964">
        <v>72938360</v>
      </c>
      <c r="G231" s="1964">
        <v>72938360</v>
      </c>
      <c r="H231" s="1964">
        <f>'plán - úvěrů a úroků'!H26</f>
        <v>72938360</v>
      </c>
      <c r="I231" s="297"/>
      <c r="J231" s="280"/>
      <c r="K231" s="281"/>
      <c r="L231" s="301"/>
      <c r="M231" s="315"/>
    </row>
    <row r="232" spans="1:13" s="282" customFormat="1" ht="16.5" x14ac:dyDescent="0.3">
      <c r="A232" s="189"/>
      <c r="B232" s="316" t="s">
        <v>771</v>
      </c>
      <c r="C232" s="114"/>
      <c r="D232" s="1964">
        <v>28301880</v>
      </c>
      <c r="E232" s="1964">
        <v>30000000</v>
      </c>
      <c r="F232" s="1964">
        <v>26037720</v>
      </c>
      <c r="G232" s="1964">
        <v>26037720</v>
      </c>
      <c r="H232" s="1964">
        <f>'plán - úvěrů a úroků'!H27</f>
        <v>26037720</v>
      </c>
      <c r="I232" s="297"/>
      <c r="J232" s="280"/>
      <c r="K232" s="281"/>
      <c r="L232" s="301"/>
      <c r="M232" s="315"/>
    </row>
    <row r="233" spans="1:13" s="302" customFormat="1" ht="16.5" x14ac:dyDescent="0.3">
      <c r="A233" s="298"/>
      <c r="B233" s="316" t="s">
        <v>1167</v>
      </c>
      <c r="C233" s="300"/>
      <c r="D233" s="1964">
        <v>13980000</v>
      </c>
      <c r="E233" s="1964">
        <v>14580000</v>
      </c>
      <c r="F233" s="1964">
        <v>13260000</v>
      </c>
      <c r="G233" s="1964">
        <v>13260000</v>
      </c>
      <c r="H233" s="1964">
        <f>'plán - úvěrů a úroků'!H28</f>
        <v>13260000</v>
      </c>
      <c r="I233" s="297"/>
      <c r="J233" s="280"/>
      <c r="K233" s="280"/>
      <c r="L233" s="301"/>
    </row>
    <row r="234" spans="1:13" s="302" customFormat="1" ht="16.5" x14ac:dyDescent="0.3">
      <c r="A234" s="299"/>
      <c r="B234" s="1963" t="s">
        <v>1610</v>
      </c>
      <c r="C234" s="317"/>
      <c r="D234" s="1967">
        <v>2249980</v>
      </c>
      <c r="E234" s="1967">
        <v>2416660</v>
      </c>
      <c r="F234" s="1967">
        <v>2083300</v>
      </c>
      <c r="G234" s="1967">
        <v>2083300</v>
      </c>
      <c r="H234" s="1967">
        <f>'plán - úvěrů a úroků'!H29</f>
        <v>2083300</v>
      </c>
      <c r="I234" s="304"/>
      <c r="J234" s="318"/>
      <c r="K234" s="318"/>
      <c r="L234" s="1865"/>
    </row>
    <row r="235" spans="1:13" s="302" customFormat="1" ht="16.5" x14ac:dyDescent="0.3">
      <c r="A235" s="319" t="s">
        <v>546</v>
      </c>
      <c r="B235" s="320"/>
      <c r="C235" s="321"/>
      <c r="D235" s="321"/>
      <c r="E235" s="321"/>
      <c r="F235" s="321"/>
      <c r="G235" s="321"/>
      <c r="H235" s="321"/>
      <c r="I235" s="322"/>
      <c r="J235" s="323"/>
      <c r="K235" s="323"/>
      <c r="L235" s="1866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266" customWidth="1"/>
    <col min="2" max="2" width="54.140625" style="111" bestFit="1" customWidth="1"/>
    <col min="3" max="3" width="14.140625" style="144" customWidth="1"/>
    <col min="4" max="4" width="12.42578125" style="111" bestFit="1" customWidth="1"/>
    <col min="5" max="5" width="13.7109375" style="111" bestFit="1" customWidth="1"/>
    <col min="6" max="6" width="12.42578125" style="111" customWidth="1" outlineLevel="1"/>
    <col min="7" max="7" width="10.140625" style="111" customWidth="1" outlineLevel="1"/>
    <col min="8" max="8" width="12.425781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42578125" style="111" customWidth="1" outlineLevel="1"/>
    <col min="12" max="12" width="12.5703125" style="111" customWidth="1"/>
    <col min="13" max="13" width="12.42578125" style="111" hidden="1" customWidth="1" outlineLevel="1"/>
    <col min="14" max="16" width="12.42578125" style="111" customWidth="1" outlineLevel="1"/>
    <col min="17" max="17" width="12.42578125" style="267" bestFit="1" customWidth="1"/>
    <col min="18" max="18" width="10.7109375" style="111" bestFit="1" customWidth="1"/>
    <col min="19" max="16384" width="9.140625" style="111"/>
  </cols>
  <sheetData>
    <row r="1" spans="1:18" ht="16.5" x14ac:dyDescent="0.3">
      <c r="A1" s="108" t="s">
        <v>949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879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954</v>
      </c>
      <c r="J4" s="121" t="s">
        <v>486</v>
      </c>
      <c r="K4" s="123" t="s">
        <v>1046</v>
      </c>
      <c r="L4" s="119" t="s">
        <v>339</v>
      </c>
      <c r="M4" s="120" t="s">
        <v>955</v>
      </c>
      <c r="N4" s="122" t="s">
        <v>155</v>
      </c>
      <c r="O4" s="124" t="s">
        <v>156</v>
      </c>
      <c r="P4" s="123" t="s">
        <v>707</v>
      </c>
      <c r="Q4" s="110"/>
    </row>
    <row r="5" spans="1:18" s="135" customFormat="1" x14ac:dyDescent="0.25">
      <c r="A5" s="125"/>
      <c r="B5" s="126" t="s">
        <v>577</v>
      </c>
      <c r="C5" s="127">
        <f>+C6+C7+C15</f>
        <v>28420137.539999999</v>
      </c>
      <c r="D5" s="128">
        <f>+D6+D7+D15</f>
        <v>1794956.9999999998</v>
      </c>
      <c r="E5" s="129">
        <f>+E6+E7+E15</f>
        <v>26625180.539999999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7626183.5199999996</v>
      </c>
      <c r="I5" s="131">
        <f t="shared" si="0"/>
        <v>0</v>
      </c>
      <c r="J5" s="131">
        <f>+J6+J7+J15</f>
        <v>1382542.4</v>
      </c>
      <c r="K5" s="132">
        <f t="shared" si="0"/>
        <v>15132233.460000001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620" t="s">
        <v>509</v>
      </c>
      <c r="B6" s="136" t="s">
        <v>578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621"/>
      <c r="B7" s="145" t="s">
        <v>261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621"/>
      <c r="B8" s="146" t="s">
        <v>951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621"/>
      <c r="B9" s="146" t="s">
        <v>269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621"/>
      <c r="B10" s="146" t="s">
        <v>973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971</v>
      </c>
    </row>
    <row r="11" spans="1:18" outlineLevel="1" x14ac:dyDescent="0.25">
      <c r="A11" s="2621"/>
      <c r="B11" s="146" t="s">
        <v>887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621"/>
      <c r="B12" s="146" t="s">
        <v>953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621"/>
      <c r="B13" s="146" t="s">
        <v>888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621"/>
      <c r="B14" s="146" t="s">
        <v>964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621"/>
      <c r="B15" s="157" t="s">
        <v>506</v>
      </c>
      <c r="C15" s="158">
        <f>SUM(C16:C28)</f>
        <v>9539834.6799999997</v>
      </c>
      <c r="D15" s="138">
        <f>SUM(D16:D28)</f>
        <v>47969.14</v>
      </c>
      <c r="E15" s="139">
        <f>SUM(E16:E28)</f>
        <v>9491865.5399999991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6426183.5199999996</v>
      </c>
      <c r="I15" s="141">
        <f t="shared" si="6"/>
        <v>0</v>
      </c>
      <c r="J15" s="141">
        <f t="shared" si="6"/>
        <v>12542.4</v>
      </c>
      <c r="K15" s="142">
        <f t="shared" si="6"/>
        <v>2651932.46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621"/>
      <c r="B16" s="146" t="s">
        <v>507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celkem'!AP22</f>
        <v>20000</v>
      </c>
      <c r="H16" s="151"/>
      <c r="I16" s="152"/>
      <c r="J16" s="151"/>
      <c r="K16" s="154">
        <f>+'Výdaje kapitol celkem'!Q22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621"/>
      <c r="B17" s="146" t="s">
        <v>956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celkem'!AD35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621"/>
      <c r="B18" s="146" t="s">
        <v>957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celkem'!AJ35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621"/>
      <c r="B19" s="146" t="s">
        <v>958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celkem'!AS35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621"/>
      <c r="B20" s="146" t="s">
        <v>959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celkem'!BN35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621"/>
      <c r="B21" s="146" t="s">
        <v>961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celkem'!BQ35+'Výdaje kapitol celkem'!BX35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621"/>
      <c r="B22" s="146" t="s">
        <v>960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celkem'!BT35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621"/>
      <c r="B23" s="146" t="s">
        <v>153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celkem'!CB35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621"/>
      <c r="B24" s="146" t="s">
        <v>353</v>
      </c>
      <c r="C24" s="147">
        <f t="shared" si="7"/>
        <v>2250000</v>
      </c>
      <c r="D24" s="148"/>
      <c r="E24" s="149">
        <f t="shared" si="5"/>
        <v>2250000</v>
      </c>
      <c r="F24" s="150"/>
      <c r="G24" s="150"/>
      <c r="H24" s="151"/>
      <c r="I24" s="152"/>
      <c r="J24" s="151"/>
      <c r="K24" s="154">
        <f>'Výdaje kapitol celkem'!CE35</f>
        <v>2250000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621"/>
      <c r="B25" s="146" t="s">
        <v>156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celkem'!CO34+'Výdaje kapitol celkem'!CO35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621"/>
      <c r="B26" s="146" t="s">
        <v>691</v>
      </c>
      <c r="C26" s="147">
        <f t="shared" si="7"/>
        <v>5570000</v>
      </c>
      <c r="D26" s="148">
        <v>0</v>
      </c>
      <c r="E26" s="149">
        <f t="shared" si="5"/>
        <v>5570000</v>
      </c>
      <c r="F26" s="150"/>
      <c r="G26" s="150"/>
      <c r="H26" s="151">
        <f>'Výdaje kapitol celkem'!CY34+'Výdaje kapitol celkem'!DE34</f>
        <v>5570000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621"/>
      <c r="B27" s="590" t="s">
        <v>974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25">
      <c r="A28" s="2621"/>
      <c r="B28" s="146" t="s">
        <v>505</v>
      </c>
      <c r="C28" s="147">
        <f t="shared" si="7"/>
        <v>800000</v>
      </c>
      <c r="D28" s="148">
        <v>0</v>
      </c>
      <c r="E28" s="149">
        <f t="shared" si="5"/>
        <v>800000</v>
      </c>
      <c r="F28" s="150"/>
      <c r="G28" s="150"/>
      <c r="H28" s="151">
        <f>'Výdaje kapitol celkem'!DB34</f>
        <v>800000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274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692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260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962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941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947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693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708</v>
      </c>
    </row>
    <row r="36" spans="1:17" s="135" customFormat="1" x14ac:dyDescent="0.25">
      <c r="A36" s="163"/>
      <c r="B36" s="182" t="s">
        <v>257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258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259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942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943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944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945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946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495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947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356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26" t="s">
        <v>236</v>
      </c>
      <c r="B47" s="2627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26755180.539999999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7676183.5199999996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15182233.460000001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340</v>
      </c>
      <c r="B48" s="109"/>
      <c r="C48" s="190">
        <f>+C6-'Výdaje kapitol celkem'!S44</f>
        <v>-3924697.1400000006</v>
      </c>
      <c r="D48" s="190"/>
      <c r="E48" s="190"/>
      <c r="F48" s="191">
        <f>+C5-'Výdaje kapitol celkem'!S75</f>
        <v>-6149862.4600000009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0.95" customHeight="1" x14ac:dyDescent="0.25">
      <c r="A49" s="125">
        <v>5011</v>
      </c>
      <c r="B49" s="194" t="s">
        <v>65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66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256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727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67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68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69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5"/>
      <c r="B56" s="388" t="s">
        <v>974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70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71</v>
      </c>
      <c r="B58" s="214" t="s">
        <v>122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580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951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269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972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887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953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888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73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74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75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76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77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343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344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963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345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346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498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550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347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551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552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553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889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890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891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892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893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894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895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896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897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898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899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900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901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79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80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902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82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83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25">
      <c r="A101" s="222">
        <v>5163</v>
      </c>
      <c r="B101" s="205" t="s">
        <v>903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85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86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87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966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89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904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965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905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906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907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908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909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910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911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912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913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914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915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916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917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918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919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90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920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921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922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923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924</v>
      </c>
      <c r="B129" s="205" t="s">
        <v>92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925</v>
      </c>
      <c r="B130" s="205" t="s">
        <v>926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927</v>
      </c>
      <c r="B131" s="205" t="s">
        <v>928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929</v>
      </c>
      <c r="B132" s="205" t="s">
        <v>930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931</v>
      </c>
      <c r="B133" s="205" t="s">
        <v>932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933</v>
      </c>
      <c r="B134" s="205" t="s">
        <v>934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935</v>
      </c>
      <c r="B135" s="205" t="s">
        <v>936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937</v>
      </c>
      <c r="B136" s="205" t="s">
        <v>938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939</v>
      </c>
      <c r="B137" s="205" t="s">
        <v>940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1" t="s">
        <v>349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104</v>
      </c>
      <c r="B140" s="214" t="s">
        <v>105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617" t="s">
        <v>583</v>
      </c>
      <c r="B142" s="2618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617" t="s">
        <v>129</v>
      </c>
      <c r="B143" s="2618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546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146"/>
  <sheetViews>
    <sheetView topLeftCell="A85" workbookViewId="0"/>
  </sheetViews>
  <sheetFormatPr defaultColWidth="8.85546875" defaultRowHeight="15" x14ac:dyDescent="0.25"/>
  <cols>
    <col min="1" max="1" width="6.140625" style="2374" customWidth="1"/>
    <col min="2" max="2" width="59.7109375" style="2374" bestFit="1" customWidth="1"/>
    <col min="3" max="3" width="12.140625" style="2374" customWidth="1"/>
    <col min="4" max="4" width="11.85546875" style="2374" customWidth="1"/>
    <col min="5" max="6" width="10.5703125" style="2374" customWidth="1"/>
    <col min="7" max="7" width="11.85546875" style="2374" customWidth="1"/>
    <col min="8" max="8" width="10.5703125" style="2374" customWidth="1"/>
    <col min="9" max="9" width="12.85546875" style="2374" customWidth="1"/>
    <col min="10" max="14" width="11.7109375" style="2374" customWidth="1"/>
    <col min="15" max="15" width="5.5703125" style="2374" customWidth="1"/>
    <col min="16" max="21" width="8.85546875" style="2374"/>
    <col min="22" max="22" width="10" style="2374" customWidth="1"/>
    <col min="23" max="16384" width="8.85546875" style="2374"/>
  </cols>
  <sheetData>
    <row r="1" spans="1:14" s="2364" customFormat="1" ht="12" customHeight="1" thickBot="1" x14ac:dyDescent="0.25">
      <c r="B1" s="2364" t="s">
        <v>2187</v>
      </c>
      <c r="C1" s="2364">
        <f>SUM(E1:N1)</f>
        <v>100</v>
      </c>
      <c r="E1" s="2364">
        <v>10</v>
      </c>
      <c r="F1" s="2364">
        <v>2.5</v>
      </c>
      <c r="G1" s="2364">
        <v>10</v>
      </c>
      <c r="H1" s="2364">
        <v>2.5</v>
      </c>
      <c r="I1" s="2364">
        <v>10</v>
      </c>
      <c r="J1" s="2364">
        <v>25</v>
      </c>
      <c r="L1" s="2364">
        <v>15</v>
      </c>
      <c r="M1" s="2364">
        <v>15</v>
      </c>
      <c r="N1" s="2364">
        <v>10</v>
      </c>
    </row>
    <row r="2" spans="1:14" ht="39" thickBot="1" x14ac:dyDescent="0.3">
      <c r="A2" s="2365" t="s">
        <v>485</v>
      </c>
      <c r="B2" s="2366" t="s">
        <v>0</v>
      </c>
      <c r="C2" s="2367" t="s">
        <v>1578</v>
      </c>
      <c r="D2" s="2368" t="s">
        <v>354</v>
      </c>
      <c r="E2" s="2369" t="s">
        <v>153</v>
      </c>
      <c r="F2" s="2369" t="s">
        <v>145</v>
      </c>
      <c r="G2" s="2370" t="s">
        <v>581</v>
      </c>
      <c r="H2" s="2371" t="s">
        <v>954</v>
      </c>
      <c r="I2" s="2370" t="s">
        <v>486</v>
      </c>
      <c r="J2" s="2372" t="s">
        <v>582</v>
      </c>
      <c r="K2" s="2368" t="s">
        <v>339</v>
      </c>
      <c r="L2" s="2371" t="s">
        <v>155</v>
      </c>
      <c r="M2" s="2373" t="s">
        <v>156</v>
      </c>
      <c r="N2" s="2372" t="s">
        <v>2022</v>
      </c>
    </row>
    <row r="3" spans="1:14" x14ac:dyDescent="0.25">
      <c r="A3" s="2375"/>
      <c r="B3" s="2376" t="s">
        <v>577</v>
      </c>
      <c r="C3" s="2377">
        <f>SUM(C4,C5,C13)</f>
        <v>35025597</v>
      </c>
      <c r="D3" s="2378">
        <f>SUM(E3:J3)</f>
        <v>34894800</v>
      </c>
      <c r="E3" s="2379">
        <f>E4+E5+E13</f>
        <v>1703800</v>
      </c>
      <c r="F3" s="2379">
        <f t="shared" ref="F3:N3" si="0">F4+F5+F13</f>
        <v>562850</v>
      </c>
      <c r="G3" s="2379">
        <f t="shared" si="0"/>
        <v>10072900</v>
      </c>
      <c r="H3" s="2379">
        <f t="shared" si="0"/>
        <v>1641850</v>
      </c>
      <c r="I3" s="2379">
        <f>I4+I5+I13</f>
        <v>2494900</v>
      </c>
      <c r="J3" s="2379">
        <f t="shared" si="0"/>
        <v>18418500</v>
      </c>
      <c r="K3" s="2378">
        <f>SUM(L3:N3)</f>
        <v>130797</v>
      </c>
      <c r="L3" s="2379">
        <f>L4+L5+L13</f>
        <v>60538</v>
      </c>
      <c r="M3" s="2379">
        <f t="shared" si="0"/>
        <v>50538</v>
      </c>
      <c r="N3" s="2380">
        <f t="shared" si="0"/>
        <v>19721</v>
      </c>
    </row>
    <row r="4" spans="1:14" x14ac:dyDescent="0.25">
      <c r="A4" s="2628" t="s">
        <v>509</v>
      </c>
      <c r="B4" s="2381" t="s">
        <v>578</v>
      </c>
      <c r="C4" s="2382">
        <f>SUM(D4,K4)</f>
        <v>19700000</v>
      </c>
      <c r="D4" s="2383">
        <f>SUM(E4:J4)</f>
        <v>19700000</v>
      </c>
      <c r="E4" s="2384">
        <v>1320000</v>
      </c>
      <c r="F4" s="2384">
        <v>530000</v>
      </c>
      <c r="G4" s="2384">
        <v>3200000</v>
      </c>
      <c r="H4" s="2384">
        <v>890000</v>
      </c>
      <c r="I4" s="2384">
        <v>1400000</v>
      </c>
      <c r="J4" s="2384">
        <v>12360000</v>
      </c>
      <c r="K4" s="2383">
        <f>SUM(L4:N4)</f>
        <v>0</v>
      </c>
      <c r="L4" s="2385"/>
      <c r="M4" s="2385"/>
      <c r="N4" s="2386"/>
    </row>
    <row r="5" spans="1:14" x14ac:dyDescent="0.25">
      <c r="A5" s="2629"/>
      <c r="B5" s="2387" t="s">
        <v>261</v>
      </c>
      <c r="C5" s="2388">
        <f>SUM(C6:C12)</f>
        <v>2770000</v>
      </c>
      <c r="D5" s="2383">
        <f>SUM(E5:J5)</f>
        <v>2770000</v>
      </c>
      <c r="E5" s="2384">
        <f>SUM(E6:E12)</f>
        <v>0</v>
      </c>
      <c r="F5" s="2384">
        <f>SUM(F6:F12)</f>
        <v>0</v>
      </c>
      <c r="G5" s="2384">
        <f t="shared" ref="G5:I5" si="1">SUM(G6:G12)</f>
        <v>1300000</v>
      </c>
      <c r="H5" s="2384">
        <f t="shared" si="1"/>
        <v>450000</v>
      </c>
      <c r="I5" s="2384">
        <f t="shared" si="1"/>
        <v>350000</v>
      </c>
      <c r="J5" s="2386">
        <f>SUM(J6:J12)</f>
        <v>670000</v>
      </c>
      <c r="K5" s="2383">
        <f>SUM(L5:N5)</f>
        <v>0</v>
      </c>
      <c r="L5" s="2389">
        <f>SUM(L6:L12)</f>
        <v>0</v>
      </c>
      <c r="M5" s="2384">
        <f>SUM(M6:M12)</f>
        <v>0</v>
      </c>
      <c r="N5" s="2390">
        <f>SUM(N6:N12)</f>
        <v>0</v>
      </c>
    </row>
    <row r="6" spans="1:14" x14ac:dyDescent="0.25">
      <c r="A6" s="2629"/>
      <c r="B6" s="2391" t="s">
        <v>1724</v>
      </c>
      <c r="C6" s="2392">
        <f>SUM(D6,K6)</f>
        <v>350000</v>
      </c>
      <c r="D6" s="2393">
        <f>SUM(E6:J6)</f>
        <v>350000</v>
      </c>
      <c r="E6" s="2394"/>
      <c r="F6" s="2394"/>
      <c r="G6" s="2395"/>
      <c r="H6" s="2396"/>
      <c r="I6" s="2395">
        <v>350000</v>
      </c>
      <c r="J6" s="2397"/>
      <c r="K6" s="2393">
        <f>SUM(L6:N6)</f>
        <v>0</v>
      </c>
      <c r="L6" s="2395"/>
      <c r="M6" s="2396"/>
      <c r="N6" s="2397"/>
    </row>
    <row r="7" spans="1:14" x14ac:dyDescent="0.25">
      <c r="A7" s="2629"/>
      <c r="B7" s="2398" t="s">
        <v>2023</v>
      </c>
      <c r="C7" s="2392">
        <f t="shared" ref="C7:C28" si="2">SUM(D7,K7)</f>
        <v>450000</v>
      </c>
      <c r="D7" s="2393">
        <f t="shared" ref="D7:D25" si="3">SUM(E7:J7)</f>
        <v>450000</v>
      </c>
      <c r="E7" s="2394"/>
      <c r="F7" s="2394"/>
      <c r="G7" s="2395"/>
      <c r="H7" s="2396">
        <v>450000</v>
      </c>
      <c r="I7" s="2395"/>
      <c r="J7" s="2397"/>
      <c r="K7" s="2393">
        <f t="shared" ref="K7:K12" si="4">SUM(L7:N7)</f>
        <v>0</v>
      </c>
      <c r="L7" s="2395"/>
      <c r="M7" s="2396"/>
      <c r="N7" s="2397"/>
    </row>
    <row r="8" spans="1:14" x14ac:dyDescent="0.25">
      <c r="A8" s="2629"/>
      <c r="B8" s="2391" t="s">
        <v>952</v>
      </c>
      <c r="C8" s="2392">
        <f t="shared" si="2"/>
        <v>1300000</v>
      </c>
      <c r="D8" s="2393">
        <f t="shared" si="3"/>
        <v>1300000</v>
      </c>
      <c r="E8" s="2394"/>
      <c r="F8" s="2394"/>
      <c r="G8" s="2395">
        <v>1300000</v>
      </c>
      <c r="H8" s="2396"/>
      <c r="I8" s="2395"/>
      <c r="J8" s="2397"/>
      <c r="K8" s="2393">
        <f t="shared" si="4"/>
        <v>0</v>
      </c>
      <c r="L8" s="2395"/>
      <c r="M8" s="2396"/>
      <c r="N8" s="2397"/>
    </row>
    <row r="9" spans="1:14" x14ac:dyDescent="0.25">
      <c r="A9" s="2629"/>
      <c r="B9" s="2391" t="s">
        <v>887</v>
      </c>
      <c r="C9" s="2392">
        <f t="shared" si="2"/>
        <v>420000</v>
      </c>
      <c r="D9" s="2393">
        <f t="shared" si="3"/>
        <v>420000</v>
      </c>
      <c r="E9" s="2394"/>
      <c r="F9" s="2394"/>
      <c r="G9" s="2395"/>
      <c r="H9" s="2396"/>
      <c r="I9" s="2395"/>
      <c r="J9" s="2397">
        <v>420000</v>
      </c>
      <c r="K9" s="2393">
        <f t="shared" si="4"/>
        <v>0</v>
      </c>
      <c r="L9" s="2395"/>
      <c r="M9" s="2396"/>
      <c r="N9" s="2397"/>
    </row>
    <row r="10" spans="1:14" x14ac:dyDescent="0.25">
      <c r="A10" s="2629"/>
      <c r="B10" s="2391" t="s">
        <v>1718</v>
      </c>
      <c r="C10" s="2392">
        <f t="shared" si="2"/>
        <v>250000</v>
      </c>
      <c r="D10" s="2393">
        <f>SUM(E10:J10)</f>
        <v>250000</v>
      </c>
      <c r="E10" s="2394"/>
      <c r="F10" s="2394"/>
      <c r="G10" s="2395"/>
      <c r="H10" s="2396"/>
      <c r="I10" s="2395"/>
      <c r="J10" s="2397">
        <v>250000</v>
      </c>
      <c r="K10" s="2393">
        <f t="shared" si="4"/>
        <v>0</v>
      </c>
      <c r="L10" s="2395"/>
      <c r="M10" s="2396"/>
      <c r="N10" s="2397"/>
    </row>
    <row r="11" spans="1:14" x14ac:dyDescent="0.25">
      <c r="A11" s="2629"/>
      <c r="B11" s="2391" t="s">
        <v>1717</v>
      </c>
      <c r="C11" s="2392">
        <f t="shared" si="2"/>
        <v>0</v>
      </c>
      <c r="D11" s="2393">
        <f t="shared" si="3"/>
        <v>0</v>
      </c>
      <c r="E11" s="2394"/>
      <c r="F11" s="2394"/>
      <c r="G11" s="2395"/>
      <c r="H11" s="2396"/>
      <c r="I11" s="2395"/>
      <c r="J11" s="2397"/>
      <c r="K11" s="2393">
        <f t="shared" si="4"/>
        <v>0</v>
      </c>
      <c r="L11" s="2395"/>
      <c r="M11" s="2396"/>
      <c r="N11" s="2397">
        <v>0</v>
      </c>
    </row>
    <row r="12" spans="1:14" x14ac:dyDescent="0.25">
      <c r="A12" s="2629"/>
      <c r="B12" s="2391" t="s">
        <v>964</v>
      </c>
      <c r="C12" s="2399">
        <f t="shared" si="2"/>
        <v>0</v>
      </c>
      <c r="D12" s="2400">
        <f t="shared" si="3"/>
        <v>0</v>
      </c>
      <c r="E12" s="2394"/>
      <c r="F12" s="2394"/>
      <c r="G12" s="2401"/>
      <c r="H12" s="2402"/>
      <c r="I12" s="2401"/>
      <c r="J12" s="2397">
        <v>0</v>
      </c>
      <c r="K12" s="2393">
        <f t="shared" si="4"/>
        <v>0</v>
      </c>
      <c r="L12" s="2395"/>
      <c r="M12" s="2396"/>
      <c r="N12" s="2397"/>
    </row>
    <row r="13" spans="1:14" x14ac:dyDescent="0.25">
      <c r="A13" s="2629"/>
      <c r="B13" s="2403" t="s">
        <v>506</v>
      </c>
      <c r="C13" s="2388">
        <f>SUM(C14:C30)</f>
        <v>12555597</v>
      </c>
      <c r="D13" s="2383">
        <f>SUM(E13:J13)</f>
        <v>12424800</v>
      </c>
      <c r="E13" s="2384">
        <f t="shared" ref="E13:N13" si="5">SUM(E14:E30)</f>
        <v>383800</v>
      </c>
      <c r="F13" s="2384">
        <f t="shared" si="5"/>
        <v>32850</v>
      </c>
      <c r="G13" s="2384">
        <f t="shared" si="5"/>
        <v>5572900</v>
      </c>
      <c r="H13" s="2384">
        <f t="shared" si="5"/>
        <v>301850</v>
      </c>
      <c r="I13" s="2384">
        <f t="shared" si="5"/>
        <v>744900</v>
      </c>
      <c r="J13" s="2386">
        <f t="shared" si="5"/>
        <v>5388500</v>
      </c>
      <c r="K13" s="2383">
        <f t="shared" si="5"/>
        <v>130797</v>
      </c>
      <c r="L13" s="2389">
        <f t="shared" si="5"/>
        <v>60538</v>
      </c>
      <c r="M13" s="2384">
        <f t="shared" si="5"/>
        <v>50538</v>
      </c>
      <c r="N13" s="2390">
        <f t="shared" si="5"/>
        <v>19721</v>
      </c>
    </row>
    <row r="14" spans="1:14" x14ac:dyDescent="0.25">
      <c r="A14" s="2629"/>
      <c r="B14" s="2391" t="s">
        <v>507</v>
      </c>
      <c r="C14" s="2392">
        <f t="shared" si="2"/>
        <v>90000</v>
      </c>
      <c r="D14" s="2393">
        <f>SUM(E14:J14)</f>
        <v>90000</v>
      </c>
      <c r="E14" s="2394">
        <v>0</v>
      </c>
      <c r="F14" s="2394">
        <v>20000</v>
      </c>
      <c r="G14" s="2394">
        <v>0</v>
      </c>
      <c r="H14" s="2394">
        <v>0</v>
      </c>
      <c r="I14" s="2394">
        <v>0</v>
      </c>
      <c r="J14" s="2394">
        <v>70000</v>
      </c>
      <c r="K14" s="2393">
        <f>SUM(L14:N14)</f>
        <v>0</v>
      </c>
      <c r="L14" s="2395"/>
      <c r="M14" s="2396"/>
      <c r="N14" s="2397"/>
    </row>
    <row r="15" spans="1:14" x14ac:dyDescent="0.25">
      <c r="A15" s="2629"/>
      <c r="B15" s="2391" t="s">
        <v>956</v>
      </c>
      <c r="C15" s="2392">
        <f t="shared" si="2"/>
        <v>0</v>
      </c>
      <c r="D15" s="2393">
        <f t="shared" si="3"/>
        <v>0</v>
      </c>
      <c r="E15" s="2394">
        <v>0</v>
      </c>
      <c r="F15" s="2394">
        <v>0</v>
      </c>
      <c r="G15" s="2394">
        <v>0</v>
      </c>
      <c r="H15" s="2394">
        <v>0</v>
      </c>
      <c r="I15" s="2394">
        <v>0</v>
      </c>
      <c r="J15" s="2394">
        <v>0</v>
      </c>
      <c r="K15" s="2393">
        <f t="shared" ref="K15:K28" si="6">SUM(L15:N15)</f>
        <v>0</v>
      </c>
      <c r="L15" s="2395"/>
      <c r="M15" s="2396"/>
      <c r="N15" s="2397"/>
    </row>
    <row r="16" spans="1:14" x14ac:dyDescent="0.25">
      <c r="A16" s="2629"/>
      <c r="B16" s="2391" t="s">
        <v>957</v>
      </c>
      <c r="C16" s="2392">
        <f t="shared" si="2"/>
        <v>0</v>
      </c>
      <c r="D16" s="2393">
        <f t="shared" si="3"/>
        <v>0</v>
      </c>
      <c r="E16" s="2394">
        <v>0</v>
      </c>
      <c r="F16" s="2394">
        <v>0</v>
      </c>
      <c r="G16" s="2394">
        <v>0</v>
      </c>
      <c r="H16" s="2394">
        <v>0</v>
      </c>
      <c r="I16" s="2394">
        <v>0</v>
      </c>
      <c r="J16" s="2394">
        <v>0</v>
      </c>
      <c r="K16" s="2393">
        <f t="shared" si="6"/>
        <v>0</v>
      </c>
      <c r="L16" s="2395"/>
      <c r="M16" s="2396"/>
      <c r="N16" s="2397"/>
    </row>
    <row r="17" spans="1:14" x14ac:dyDescent="0.25">
      <c r="A17" s="2629"/>
      <c r="B17" s="2391" t="s">
        <v>958</v>
      </c>
      <c r="C17" s="2392">
        <f t="shared" si="2"/>
        <v>0</v>
      </c>
      <c r="D17" s="2393">
        <f t="shared" si="3"/>
        <v>0</v>
      </c>
      <c r="E17" s="2394">
        <v>0</v>
      </c>
      <c r="F17" s="2394">
        <v>0</v>
      </c>
      <c r="G17" s="2394">
        <v>0</v>
      </c>
      <c r="H17" s="2394">
        <v>0</v>
      </c>
      <c r="I17" s="2394">
        <v>0</v>
      </c>
      <c r="J17" s="2394">
        <v>0</v>
      </c>
      <c r="K17" s="2393">
        <f t="shared" si="6"/>
        <v>0</v>
      </c>
      <c r="L17" s="2395"/>
      <c r="M17" s="2396"/>
      <c r="N17" s="2397"/>
    </row>
    <row r="18" spans="1:14" x14ac:dyDescent="0.25">
      <c r="A18" s="2629"/>
      <c r="B18" s="2391" t="s">
        <v>959</v>
      </c>
      <c r="C18" s="2392">
        <f t="shared" si="2"/>
        <v>30000</v>
      </c>
      <c r="D18" s="2393">
        <f t="shared" si="3"/>
        <v>30000</v>
      </c>
      <c r="E18" s="2394">
        <v>0</v>
      </c>
      <c r="F18" s="2394">
        <v>0</v>
      </c>
      <c r="G18" s="2394">
        <v>0</v>
      </c>
      <c r="H18" s="2394">
        <v>0</v>
      </c>
      <c r="I18" s="2394">
        <v>0</v>
      </c>
      <c r="J18" s="2394">
        <v>30000</v>
      </c>
      <c r="K18" s="2393">
        <f t="shared" si="6"/>
        <v>0</v>
      </c>
      <c r="L18" s="2395"/>
      <c r="M18" s="2396"/>
      <c r="N18" s="2397"/>
    </row>
    <row r="19" spans="1:14" x14ac:dyDescent="0.25">
      <c r="A19" s="2629"/>
      <c r="B19" s="2391" t="s">
        <v>1234</v>
      </c>
      <c r="C19" s="2392">
        <f t="shared" si="2"/>
        <v>100000</v>
      </c>
      <c r="D19" s="2393">
        <f t="shared" si="3"/>
        <v>100000</v>
      </c>
      <c r="E19" s="2394">
        <v>0</v>
      </c>
      <c r="F19" s="2394">
        <v>0</v>
      </c>
      <c r="G19" s="2394">
        <v>0</v>
      </c>
      <c r="H19" s="2394">
        <v>0</v>
      </c>
      <c r="I19" s="2394">
        <v>0</v>
      </c>
      <c r="J19" s="2394">
        <v>100000</v>
      </c>
      <c r="K19" s="2393">
        <f t="shared" si="6"/>
        <v>0</v>
      </c>
      <c r="L19" s="2395"/>
      <c r="M19" s="2396"/>
      <c r="N19" s="2397"/>
    </row>
    <row r="20" spans="1:14" x14ac:dyDescent="0.25">
      <c r="A20" s="2629"/>
      <c r="B20" s="2391" t="s">
        <v>961</v>
      </c>
      <c r="C20" s="2392">
        <f t="shared" si="2"/>
        <v>60000</v>
      </c>
      <c r="D20" s="2393">
        <f t="shared" si="3"/>
        <v>60000</v>
      </c>
      <c r="E20" s="2394">
        <v>0</v>
      </c>
      <c r="F20" s="2394">
        <v>0</v>
      </c>
      <c r="G20" s="2394">
        <v>0</v>
      </c>
      <c r="H20" s="2394">
        <v>0</v>
      </c>
      <c r="I20" s="2394">
        <v>0</v>
      </c>
      <c r="J20" s="2394">
        <v>60000</v>
      </c>
      <c r="K20" s="2393">
        <f t="shared" si="6"/>
        <v>0</v>
      </c>
      <c r="L20" s="2395"/>
      <c r="M20" s="2396"/>
      <c r="N20" s="2397"/>
    </row>
    <row r="21" spans="1:14" x14ac:dyDescent="0.25">
      <c r="A21" s="2629"/>
      <c r="B21" s="2391" t="s">
        <v>148</v>
      </c>
      <c r="C21" s="2404">
        <f t="shared" si="2"/>
        <v>20000</v>
      </c>
      <c r="D21" s="2405">
        <f t="shared" si="3"/>
        <v>20000</v>
      </c>
      <c r="E21" s="2394">
        <v>0</v>
      </c>
      <c r="F21" s="2394">
        <v>0</v>
      </c>
      <c r="G21" s="2394">
        <v>0</v>
      </c>
      <c r="H21" s="2394">
        <v>0</v>
      </c>
      <c r="I21" s="2394">
        <v>0</v>
      </c>
      <c r="J21" s="2406">
        <v>20000</v>
      </c>
      <c r="K21" s="2393">
        <f t="shared" si="6"/>
        <v>0</v>
      </c>
      <c r="L21" s="2395"/>
      <c r="M21" s="2396"/>
      <c r="N21" s="2397"/>
    </row>
    <row r="22" spans="1:14" x14ac:dyDescent="0.25">
      <c r="A22" s="2629"/>
      <c r="B22" s="2391" t="s">
        <v>1235</v>
      </c>
      <c r="C22" s="2404">
        <f t="shared" si="2"/>
        <v>230000</v>
      </c>
      <c r="D22" s="2405">
        <f t="shared" si="3"/>
        <v>230000</v>
      </c>
      <c r="E22" s="2394">
        <v>0</v>
      </c>
      <c r="F22" s="2394">
        <v>0</v>
      </c>
      <c r="G22" s="2394">
        <v>0</v>
      </c>
      <c r="H22" s="2394">
        <v>0</v>
      </c>
      <c r="I22" s="2394">
        <v>0</v>
      </c>
      <c r="J22" s="2406">
        <v>230000</v>
      </c>
      <c r="K22" s="2393">
        <f t="shared" si="6"/>
        <v>0</v>
      </c>
      <c r="L22" s="2395"/>
      <c r="M22" s="2396"/>
      <c r="N22" s="2397"/>
    </row>
    <row r="23" spans="1:14" x14ac:dyDescent="0.25">
      <c r="A23" s="2629"/>
      <c r="B23" s="2391" t="s">
        <v>1719</v>
      </c>
      <c r="C23" s="2404">
        <f t="shared" si="2"/>
        <v>350000</v>
      </c>
      <c r="D23" s="2405">
        <f t="shared" si="3"/>
        <v>350000</v>
      </c>
      <c r="E23" s="2406">
        <v>350000</v>
      </c>
      <c r="F23" s="2394">
        <v>0</v>
      </c>
      <c r="G23" s="2394">
        <v>0</v>
      </c>
      <c r="H23" s="2394">
        <v>0</v>
      </c>
      <c r="I23" s="2394">
        <v>0</v>
      </c>
      <c r="J23" s="2394">
        <v>0</v>
      </c>
      <c r="K23" s="2393">
        <f t="shared" si="6"/>
        <v>0</v>
      </c>
      <c r="L23" s="2395"/>
      <c r="M23" s="2396"/>
      <c r="N23" s="2397"/>
    </row>
    <row r="24" spans="1:14" x14ac:dyDescent="0.25">
      <c r="A24" s="2629"/>
      <c r="B24" s="2391" t="s">
        <v>1720</v>
      </c>
      <c r="C24" s="2392">
        <f t="shared" si="2"/>
        <v>2250000</v>
      </c>
      <c r="D24" s="2393">
        <f t="shared" si="3"/>
        <v>2250000</v>
      </c>
      <c r="E24" s="2394">
        <v>0</v>
      </c>
      <c r="F24" s="2394">
        <v>0</v>
      </c>
      <c r="G24" s="2394">
        <v>0</v>
      </c>
      <c r="H24" s="2394">
        <v>0</v>
      </c>
      <c r="I24" s="2394">
        <v>0</v>
      </c>
      <c r="J24" s="2394">
        <v>2250000</v>
      </c>
      <c r="K24" s="2393">
        <f t="shared" si="6"/>
        <v>0</v>
      </c>
      <c r="L24" s="2395"/>
      <c r="M24" s="2396"/>
      <c r="N24" s="2397"/>
    </row>
    <row r="25" spans="1:14" x14ac:dyDescent="0.25">
      <c r="A25" s="2629"/>
      <c r="B25" s="2391" t="s">
        <v>763</v>
      </c>
      <c r="C25" s="2392">
        <f t="shared" si="2"/>
        <v>1550000</v>
      </c>
      <c r="D25" s="2393">
        <f t="shared" si="3"/>
        <v>1550000</v>
      </c>
      <c r="E25" s="2394">
        <v>0</v>
      </c>
      <c r="F25" s="2394">
        <v>0</v>
      </c>
      <c r="G25" s="2394">
        <v>0</v>
      </c>
      <c r="H25" s="2394">
        <v>0</v>
      </c>
      <c r="I25" s="2394">
        <v>0</v>
      </c>
      <c r="J25" s="2394">
        <v>1550000</v>
      </c>
      <c r="K25" s="2393">
        <f t="shared" si="6"/>
        <v>0</v>
      </c>
      <c r="L25" s="2395"/>
      <c r="M25" s="2396"/>
      <c r="N25" s="2397"/>
    </row>
    <row r="26" spans="1:14" x14ac:dyDescent="0.25">
      <c r="A26" s="2629"/>
      <c r="B26" s="2391" t="s">
        <v>754</v>
      </c>
      <c r="C26" s="2392">
        <f t="shared" si="2"/>
        <v>0</v>
      </c>
      <c r="D26" s="2393">
        <f>SUM(E26:J26)</f>
        <v>0</v>
      </c>
      <c r="E26" s="2394">
        <v>0</v>
      </c>
      <c r="F26" s="2394">
        <v>0</v>
      </c>
      <c r="G26" s="2394">
        <v>0</v>
      </c>
      <c r="H26" s="2394">
        <v>0</v>
      </c>
      <c r="I26" s="2394">
        <v>0</v>
      </c>
      <c r="J26" s="2394">
        <v>0</v>
      </c>
      <c r="K26" s="2393">
        <f t="shared" si="6"/>
        <v>0</v>
      </c>
      <c r="L26" s="2395"/>
      <c r="M26" s="2396"/>
      <c r="N26" s="2397"/>
    </row>
    <row r="27" spans="1:14" x14ac:dyDescent="0.25">
      <c r="A27" s="2629"/>
      <c r="B27" s="2391" t="s">
        <v>156</v>
      </c>
      <c r="C27" s="2405">
        <f t="shared" si="2"/>
        <v>300000</v>
      </c>
      <c r="D27" s="2405">
        <f>SUM(E27:J27)</f>
        <v>300000</v>
      </c>
      <c r="E27" s="2394">
        <v>0</v>
      </c>
      <c r="F27" s="2394">
        <v>0</v>
      </c>
      <c r="G27" s="2394">
        <v>0</v>
      </c>
      <c r="H27" s="2406">
        <v>300000</v>
      </c>
      <c r="I27" s="2394">
        <v>0</v>
      </c>
      <c r="J27" s="2394">
        <v>0</v>
      </c>
      <c r="K27" s="2393">
        <f t="shared" si="6"/>
        <v>0</v>
      </c>
      <c r="L27" s="2395"/>
      <c r="M27" s="2396"/>
      <c r="N27" s="2397"/>
    </row>
    <row r="28" spans="1:14" x14ac:dyDescent="0.25">
      <c r="A28" s="2629"/>
      <c r="B28" s="2391" t="s">
        <v>691</v>
      </c>
      <c r="C28" s="2405">
        <f t="shared" si="2"/>
        <v>6270000</v>
      </c>
      <c r="D28" s="2405">
        <f>SUM(E28:J28)</f>
        <v>6270000</v>
      </c>
      <c r="E28" s="2394">
        <v>0</v>
      </c>
      <c r="F28" s="2394">
        <v>0</v>
      </c>
      <c r="G28" s="2394">
        <v>5500000</v>
      </c>
      <c r="H28" s="2407">
        <v>0</v>
      </c>
      <c r="I28" s="2406">
        <v>700000</v>
      </c>
      <c r="J28" s="2406">
        <v>70000</v>
      </c>
      <c r="K28" s="2393">
        <f t="shared" si="6"/>
        <v>0</v>
      </c>
      <c r="L28" s="2395"/>
      <c r="M28" s="2396"/>
      <c r="N28" s="2397"/>
    </row>
    <row r="29" spans="1:14" x14ac:dyDescent="0.25">
      <c r="A29" s="2629"/>
      <c r="B29" s="2391" t="s">
        <v>505</v>
      </c>
      <c r="C29" s="2392">
        <f>SUM(D29,K29)</f>
        <v>800000</v>
      </c>
      <c r="D29" s="2393">
        <f>SUM(E29:J29)</f>
        <v>800000</v>
      </c>
      <c r="E29" s="2394">
        <v>0</v>
      </c>
      <c r="F29" s="2394">
        <v>0</v>
      </c>
      <c r="G29" s="2394">
        <v>0</v>
      </c>
      <c r="H29" s="2394">
        <v>0</v>
      </c>
      <c r="I29" s="2394">
        <v>0</v>
      </c>
      <c r="J29" s="2394">
        <v>800000</v>
      </c>
      <c r="K29" s="2408"/>
      <c r="L29" s="2409"/>
      <c r="M29" s="2410"/>
      <c r="N29" s="2411"/>
    </row>
    <row r="30" spans="1:14" x14ac:dyDescent="0.25">
      <c r="A30" s="2629"/>
      <c r="B30" s="2412" t="s">
        <v>974</v>
      </c>
      <c r="C30" s="2399">
        <f>SUM(D30,K30)</f>
        <v>505597</v>
      </c>
      <c r="D30" s="2408">
        <f>SUM(E30:J30)</f>
        <v>374800</v>
      </c>
      <c r="E30" s="2410">
        <v>33800</v>
      </c>
      <c r="F30" s="2410">
        <v>12850</v>
      </c>
      <c r="G30" s="2410">
        <v>72900</v>
      </c>
      <c r="H30" s="2410">
        <v>1850</v>
      </c>
      <c r="I30" s="2410">
        <v>44900</v>
      </c>
      <c r="J30" s="2410">
        <v>208500</v>
      </c>
      <c r="K30" s="2408">
        <f t="shared" ref="K30" si="7">SUM(L30:N30)</f>
        <v>130797</v>
      </c>
      <c r="L30" s="2409">
        <v>60538</v>
      </c>
      <c r="M30" s="2410">
        <v>50538</v>
      </c>
      <c r="N30" s="2411">
        <v>19721</v>
      </c>
    </row>
    <row r="31" spans="1:14" x14ac:dyDescent="0.25">
      <c r="A31" s="2413"/>
      <c r="B31" s="2414" t="s">
        <v>274</v>
      </c>
      <c r="C31" s="2388">
        <f>SUM(C32)</f>
        <v>250000</v>
      </c>
      <c r="D31" s="2383">
        <f>SUM(D32)</f>
        <v>250000</v>
      </c>
      <c r="E31" s="2384">
        <v>0</v>
      </c>
      <c r="F31" s="2384">
        <v>0</v>
      </c>
      <c r="G31" s="2385">
        <v>250000</v>
      </c>
      <c r="H31" s="2385">
        <v>0</v>
      </c>
      <c r="I31" s="2385">
        <v>0</v>
      </c>
      <c r="J31" s="2386">
        <v>0</v>
      </c>
      <c r="K31" s="2393">
        <f>SUM(K32)</f>
        <v>0</v>
      </c>
      <c r="L31" s="2385">
        <f>SUM(L32)</f>
        <v>0</v>
      </c>
      <c r="M31" s="2385">
        <f t="shared" ref="M31:N31" si="8">SUM(M32)</f>
        <v>0</v>
      </c>
      <c r="N31" s="2386">
        <f t="shared" si="8"/>
        <v>0</v>
      </c>
    </row>
    <row r="32" spans="1:14" x14ac:dyDescent="0.25">
      <c r="A32" s="2415"/>
      <c r="B32" s="2416" t="s">
        <v>692</v>
      </c>
      <c r="C32" s="2392">
        <f>SUM(D32,K32)</f>
        <v>250000</v>
      </c>
      <c r="D32" s="2400">
        <f>SUM(E32:J32)</f>
        <v>250000</v>
      </c>
      <c r="E32" s="2417">
        <v>0</v>
      </c>
      <c r="F32" s="2417">
        <v>0</v>
      </c>
      <c r="G32" s="2418">
        <v>250000</v>
      </c>
      <c r="H32" s="2419"/>
      <c r="I32" s="2418">
        <v>0</v>
      </c>
      <c r="J32" s="2420">
        <v>0</v>
      </c>
      <c r="K32" s="2400">
        <f>SUM(L32:N32)</f>
        <v>0</v>
      </c>
      <c r="L32" s="2418"/>
      <c r="M32" s="2419"/>
      <c r="N32" s="2420"/>
    </row>
    <row r="33" spans="1:14" x14ac:dyDescent="0.25">
      <c r="A33" s="2413"/>
      <c r="B33" s="2414" t="s">
        <v>260</v>
      </c>
      <c r="C33" s="2388">
        <f>SUM(C34:C37)</f>
        <v>58056000</v>
      </c>
      <c r="D33" s="2383">
        <f>SUM(D34:D37)</f>
        <v>0</v>
      </c>
      <c r="E33" s="2384">
        <f>SUM(E34:E37)</f>
        <v>0</v>
      </c>
      <c r="F33" s="2384">
        <f t="shared" ref="F33:I33" si="9">SUM(F34:F37)</f>
        <v>0</v>
      </c>
      <c r="G33" s="2384">
        <f t="shared" si="9"/>
        <v>0</v>
      </c>
      <c r="H33" s="2384">
        <f t="shared" si="9"/>
        <v>0</v>
      </c>
      <c r="I33" s="2384">
        <f t="shared" si="9"/>
        <v>0</v>
      </c>
      <c r="J33" s="2384">
        <f>SUM(J34:J37)</f>
        <v>0</v>
      </c>
      <c r="K33" s="2383">
        <f>SUM(K34:K37)</f>
        <v>58056000</v>
      </c>
      <c r="L33" s="2385">
        <f>SUM(L34:L37)</f>
        <v>19430000</v>
      </c>
      <c r="M33" s="2385">
        <f>SUM(M34:M37)</f>
        <v>16916000</v>
      </c>
      <c r="N33" s="2386">
        <f>SUM(N34:N37)</f>
        <v>21710000</v>
      </c>
    </row>
    <row r="34" spans="1:14" x14ac:dyDescent="0.25">
      <c r="A34" s="2415"/>
      <c r="B34" s="2416" t="s">
        <v>962</v>
      </c>
      <c r="C34" s="2392">
        <f t="shared" ref="C34:C39" si="10">SUM(D34,K34)</f>
        <v>53396000</v>
      </c>
      <c r="D34" s="2400">
        <f>SUM(E34:J34)</f>
        <v>0</v>
      </c>
      <c r="E34" s="2417">
        <v>0</v>
      </c>
      <c r="F34" s="2417">
        <v>0</v>
      </c>
      <c r="G34" s="2418">
        <v>0</v>
      </c>
      <c r="H34" s="2419"/>
      <c r="I34" s="2418"/>
      <c r="J34" s="2420">
        <v>0</v>
      </c>
      <c r="K34" s="2400">
        <f>SUM(L34:N34)</f>
        <v>53396000</v>
      </c>
      <c r="L34" s="2418">
        <v>16900000</v>
      </c>
      <c r="M34" s="2419">
        <v>15386000</v>
      </c>
      <c r="N34" s="2420">
        <v>21110000</v>
      </c>
    </row>
    <row r="35" spans="1:14" x14ac:dyDescent="0.25">
      <c r="A35" s="2415"/>
      <c r="B35" s="2416" t="s">
        <v>941</v>
      </c>
      <c r="C35" s="2392">
        <f t="shared" si="10"/>
        <v>1000000</v>
      </c>
      <c r="D35" s="2400">
        <f t="shared" ref="D35:D37" si="11">SUM(E35:J35)</f>
        <v>0</v>
      </c>
      <c r="E35" s="2417"/>
      <c r="F35" s="2417"/>
      <c r="G35" s="2418"/>
      <c r="H35" s="2419"/>
      <c r="I35" s="2418"/>
      <c r="J35" s="2420"/>
      <c r="K35" s="2400">
        <f>SUM(L35:N35)</f>
        <v>1000000</v>
      </c>
      <c r="L35" s="2418">
        <v>1000000</v>
      </c>
      <c r="M35" s="2419"/>
      <c r="N35" s="2420"/>
    </row>
    <row r="36" spans="1:14" x14ac:dyDescent="0.25">
      <c r="A36" s="2415"/>
      <c r="B36" s="2416" t="s">
        <v>947</v>
      </c>
      <c r="C36" s="2392">
        <f t="shared" si="10"/>
        <v>60000</v>
      </c>
      <c r="D36" s="2400">
        <f t="shared" si="11"/>
        <v>0</v>
      </c>
      <c r="E36" s="2417"/>
      <c r="F36" s="2417"/>
      <c r="G36" s="2418"/>
      <c r="H36" s="2419"/>
      <c r="I36" s="2418"/>
      <c r="J36" s="2420"/>
      <c r="K36" s="2400">
        <f t="shared" ref="K36" si="12">SUM(L36:N36)</f>
        <v>60000</v>
      </c>
      <c r="L36" s="2418">
        <v>30000</v>
      </c>
      <c r="M36" s="2419">
        <v>30000</v>
      </c>
      <c r="N36" s="2420"/>
    </row>
    <row r="37" spans="1:14" x14ac:dyDescent="0.25">
      <c r="A37" s="2421"/>
      <c r="B37" s="2422" t="s">
        <v>693</v>
      </c>
      <c r="C37" s="2399">
        <f t="shared" si="10"/>
        <v>3600000</v>
      </c>
      <c r="D37" s="2423">
        <f t="shared" si="11"/>
        <v>0</v>
      </c>
      <c r="E37" s="2424">
        <v>0</v>
      </c>
      <c r="F37" s="2424">
        <v>0</v>
      </c>
      <c r="G37" s="2409">
        <v>0</v>
      </c>
      <c r="H37" s="2425"/>
      <c r="I37" s="2409"/>
      <c r="J37" s="2411">
        <v>0</v>
      </c>
      <c r="K37" s="2423">
        <f>SUM(L37:N37)</f>
        <v>3600000</v>
      </c>
      <c r="L37" s="2409">
        <v>1500000</v>
      </c>
      <c r="M37" s="2425">
        <v>1500000</v>
      </c>
      <c r="N37" s="2411">
        <v>600000</v>
      </c>
    </row>
    <row r="38" spans="1:14" x14ac:dyDescent="0.25">
      <c r="A38" s="2413"/>
      <c r="B38" s="2426" t="s">
        <v>257</v>
      </c>
      <c r="C38" s="2383">
        <f t="shared" si="10"/>
        <v>0</v>
      </c>
      <c r="D38" s="2383">
        <f>SUM(E38:J38)</f>
        <v>0</v>
      </c>
      <c r="E38" s="2384">
        <v>0</v>
      </c>
      <c r="F38" s="2384">
        <v>0</v>
      </c>
      <c r="G38" s="2385">
        <v>0</v>
      </c>
      <c r="H38" s="2385">
        <v>0</v>
      </c>
      <c r="I38" s="2385">
        <v>0</v>
      </c>
      <c r="J38" s="2386">
        <v>0</v>
      </c>
      <c r="K38" s="2383">
        <f>SUM(L38:N38)</f>
        <v>0</v>
      </c>
      <c r="L38" s="2385">
        <v>0</v>
      </c>
      <c r="M38" s="2427">
        <v>0</v>
      </c>
      <c r="N38" s="2386">
        <v>0</v>
      </c>
    </row>
    <row r="39" spans="1:14" x14ac:dyDescent="0.25">
      <c r="A39" s="2413"/>
      <c r="B39" s="2426" t="s">
        <v>258</v>
      </c>
      <c r="C39" s="2383">
        <f t="shared" si="10"/>
        <v>0</v>
      </c>
      <c r="D39" s="2383">
        <f>SUM(E39:J39)</f>
        <v>0</v>
      </c>
      <c r="E39" s="2384">
        <v>0</v>
      </c>
      <c r="F39" s="2384">
        <v>0</v>
      </c>
      <c r="G39" s="2385">
        <v>0</v>
      </c>
      <c r="H39" s="2385">
        <v>0</v>
      </c>
      <c r="I39" s="2385">
        <v>0</v>
      </c>
      <c r="J39" s="2386">
        <v>0</v>
      </c>
      <c r="K39" s="2383">
        <f>SUM(L39:N39)</f>
        <v>0</v>
      </c>
      <c r="L39" s="2385">
        <v>0</v>
      </c>
      <c r="M39" s="2427">
        <v>0</v>
      </c>
      <c r="N39" s="2386">
        <v>0</v>
      </c>
    </row>
    <row r="40" spans="1:14" x14ac:dyDescent="0.25">
      <c r="A40" s="2413"/>
      <c r="B40" s="2426" t="s">
        <v>259</v>
      </c>
      <c r="C40" s="2383">
        <f>SUM(C41:C48)</f>
        <v>4440000</v>
      </c>
      <c r="D40" s="2383">
        <f>SUM(D41:D48)</f>
        <v>4360000</v>
      </c>
      <c r="E40" s="2384">
        <f>SUM(E41:E48)</f>
        <v>199000</v>
      </c>
      <c r="F40" s="2384">
        <f t="shared" ref="F40:J40" si="13">SUM(F41:F48)</f>
        <v>0</v>
      </c>
      <c r="G40" s="2384">
        <f t="shared" si="13"/>
        <v>275000</v>
      </c>
      <c r="H40" s="2384">
        <f t="shared" si="13"/>
        <v>100000</v>
      </c>
      <c r="I40" s="2384">
        <f t="shared" si="13"/>
        <v>500000</v>
      </c>
      <c r="J40" s="2384">
        <f t="shared" si="13"/>
        <v>3286000</v>
      </c>
      <c r="K40" s="2383">
        <f>SUM(K41:K48)</f>
        <v>80000</v>
      </c>
      <c r="L40" s="2385">
        <f>SUM(L41:L48)</f>
        <v>80000</v>
      </c>
      <c r="M40" s="2385">
        <f t="shared" ref="M40:N40" si="14">SUM(M41:M48)</f>
        <v>0</v>
      </c>
      <c r="N40" s="2386">
        <f t="shared" si="14"/>
        <v>0</v>
      </c>
    </row>
    <row r="41" spans="1:14" x14ac:dyDescent="0.25">
      <c r="A41" s="2415"/>
      <c r="B41" s="2416" t="s">
        <v>942</v>
      </c>
      <c r="C41" s="2392">
        <f t="shared" ref="C41:C48" si="15">SUM(D41,K41)</f>
        <v>3274000</v>
      </c>
      <c r="D41" s="2393">
        <f>SUM(E41:J41)</f>
        <v>3274000</v>
      </c>
      <c r="E41" s="2394">
        <v>99000</v>
      </c>
      <c r="F41" s="2394">
        <v>0</v>
      </c>
      <c r="G41" s="2395">
        <v>25000</v>
      </c>
      <c r="H41" s="2396">
        <v>100000</v>
      </c>
      <c r="I41" s="2395">
        <v>50000</v>
      </c>
      <c r="J41" s="2397">
        <v>3000000</v>
      </c>
      <c r="K41" s="2393">
        <f>SUM(L41:N41)</f>
        <v>0</v>
      </c>
      <c r="L41" s="2395"/>
      <c r="M41" s="2396"/>
      <c r="N41" s="2397"/>
    </row>
    <row r="42" spans="1:14" x14ac:dyDescent="0.25">
      <c r="A42" s="2415"/>
      <c r="B42" s="2416" t="s">
        <v>943</v>
      </c>
      <c r="C42" s="2392">
        <f t="shared" si="15"/>
        <v>96000</v>
      </c>
      <c r="D42" s="2393">
        <f t="shared" ref="D42:D47" si="16">SUM(E42:J42)</f>
        <v>96000</v>
      </c>
      <c r="E42" s="2394"/>
      <c r="F42" s="2394"/>
      <c r="G42" s="2395"/>
      <c r="H42" s="2396"/>
      <c r="I42" s="2395"/>
      <c r="J42" s="2397">
        <v>96000</v>
      </c>
      <c r="K42" s="2393">
        <f t="shared" ref="K42:K47" si="17">SUM(L42:N42)</f>
        <v>0</v>
      </c>
      <c r="L42" s="2395"/>
      <c r="M42" s="2396"/>
      <c r="N42" s="2397"/>
    </row>
    <row r="43" spans="1:14" x14ac:dyDescent="0.25">
      <c r="A43" s="2415"/>
      <c r="B43" s="2416" t="s">
        <v>944</v>
      </c>
      <c r="C43" s="2392">
        <f t="shared" si="15"/>
        <v>100000</v>
      </c>
      <c r="D43" s="2393">
        <f t="shared" si="16"/>
        <v>100000</v>
      </c>
      <c r="E43" s="2394">
        <v>100000</v>
      </c>
      <c r="F43" s="2394"/>
      <c r="G43" s="2395"/>
      <c r="H43" s="2396"/>
      <c r="I43" s="2395"/>
      <c r="J43" s="2397"/>
      <c r="K43" s="2393">
        <f t="shared" si="17"/>
        <v>0</v>
      </c>
      <c r="L43" s="2395"/>
      <c r="M43" s="2396"/>
      <c r="N43" s="2397"/>
    </row>
    <row r="44" spans="1:14" x14ac:dyDescent="0.25">
      <c r="A44" s="2415"/>
      <c r="B44" s="2416" t="s">
        <v>945</v>
      </c>
      <c r="C44" s="2392">
        <f t="shared" si="15"/>
        <v>60000</v>
      </c>
      <c r="D44" s="2393">
        <f t="shared" si="16"/>
        <v>60000</v>
      </c>
      <c r="E44" s="2394"/>
      <c r="F44" s="2394"/>
      <c r="G44" s="2395"/>
      <c r="H44" s="2396"/>
      <c r="I44" s="2395"/>
      <c r="J44" s="2397">
        <v>60000</v>
      </c>
      <c r="K44" s="2393">
        <f t="shared" si="17"/>
        <v>0</v>
      </c>
      <c r="L44" s="2395"/>
      <c r="M44" s="2396"/>
      <c r="N44" s="2397"/>
    </row>
    <row r="45" spans="1:14" x14ac:dyDescent="0.25">
      <c r="A45" s="2415"/>
      <c r="B45" s="2416" t="s">
        <v>946</v>
      </c>
      <c r="C45" s="2392">
        <f t="shared" si="15"/>
        <v>100000</v>
      </c>
      <c r="D45" s="2393">
        <f t="shared" si="16"/>
        <v>100000</v>
      </c>
      <c r="E45" s="2394"/>
      <c r="F45" s="2394"/>
      <c r="G45" s="2395"/>
      <c r="H45" s="2396"/>
      <c r="I45" s="2395"/>
      <c r="J45" s="2397">
        <v>100000</v>
      </c>
      <c r="K45" s="2393">
        <f t="shared" si="17"/>
        <v>0</v>
      </c>
      <c r="L45" s="2395"/>
      <c r="M45" s="2396"/>
      <c r="N45" s="2397"/>
    </row>
    <row r="46" spans="1:14" x14ac:dyDescent="0.25">
      <c r="A46" s="2415"/>
      <c r="B46" s="2416" t="s">
        <v>495</v>
      </c>
      <c r="C46" s="2392">
        <f t="shared" si="15"/>
        <v>80000</v>
      </c>
      <c r="D46" s="2393">
        <f t="shared" si="16"/>
        <v>0</v>
      </c>
      <c r="E46" s="2394">
        <v>0</v>
      </c>
      <c r="F46" s="2394">
        <v>0</v>
      </c>
      <c r="G46" s="2395">
        <v>0</v>
      </c>
      <c r="H46" s="2396"/>
      <c r="I46" s="2395"/>
      <c r="J46" s="2397">
        <v>0</v>
      </c>
      <c r="K46" s="2393">
        <f t="shared" si="17"/>
        <v>80000</v>
      </c>
      <c r="L46" s="2395">
        <v>80000</v>
      </c>
      <c r="M46" s="2396"/>
      <c r="N46" s="2397"/>
    </row>
    <row r="47" spans="1:14" x14ac:dyDescent="0.25">
      <c r="A47" s="2415"/>
      <c r="B47" s="2416" t="s">
        <v>947</v>
      </c>
      <c r="C47" s="2392">
        <f t="shared" si="15"/>
        <v>700000</v>
      </c>
      <c r="D47" s="2393">
        <f t="shared" si="16"/>
        <v>700000</v>
      </c>
      <c r="E47" s="2394"/>
      <c r="F47" s="2394">
        <v>0</v>
      </c>
      <c r="G47" s="2395">
        <v>250000</v>
      </c>
      <c r="H47" s="2396"/>
      <c r="I47" s="2395">
        <v>450000</v>
      </c>
      <c r="J47" s="2397">
        <v>0</v>
      </c>
      <c r="K47" s="2393">
        <f t="shared" si="17"/>
        <v>0</v>
      </c>
      <c r="L47" s="2395"/>
      <c r="M47" s="2396"/>
      <c r="N47" s="2397"/>
    </row>
    <row r="48" spans="1:14" x14ac:dyDescent="0.25">
      <c r="A48" s="2415"/>
      <c r="B48" s="2416" t="s">
        <v>356</v>
      </c>
      <c r="C48" s="2392">
        <f t="shared" si="15"/>
        <v>30000</v>
      </c>
      <c r="D48" s="2393">
        <f>SUM(E48:J48)</f>
        <v>30000</v>
      </c>
      <c r="E48" s="2394">
        <v>0</v>
      </c>
      <c r="F48" s="2394">
        <v>0</v>
      </c>
      <c r="G48" s="2395">
        <v>0</v>
      </c>
      <c r="H48" s="2396"/>
      <c r="I48" s="2395"/>
      <c r="J48" s="2397">
        <v>30000</v>
      </c>
      <c r="K48" s="2393">
        <f>SUM(L48:N48)</f>
        <v>0</v>
      </c>
      <c r="L48" s="2395"/>
      <c r="M48" s="2396"/>
      <c r="N48" s="2397"/>
    </row>
    <row r="49" spans="1:14" ht="15.75" customHeight="1" thickBot="1" x14ac:dyDescent="0.3">
      <c r="A49" s="2428" t="s">
        <v>236</v>
      </c>
      <c r="B49" s="2429"/>
      <c r="C49" s="2430">
        <f>SUM(C38:C40,C33,C31,C3)</f>
        <v>97771597</v>
      </c>
      <c r="D49" s="2431">
        <f>SUM(E49:J49)</f>
        <v>39504800</v>
      </c>
      <c r="E49" s="2432">
        <f t="shared" ref="E49:J49" si="18">SUM(E38:E40,E33,E31,E3,)</f>
        <v>1902800</v>
      </c>
      <c r="F49" s="2432">
        <f t="shared" si="18"/>
        <v>562850</v>
      </c>
      <c r="G49" s="2432">
        <f t="shared" si="18"/>
        <v>10597900</v>
      </c>
      <c r="H49" s="2432">
        <f t="shared" si="18"/>
        <v>1741850</v>
      </c>
      <c r="I49" s="2432">
        <f t="shared" si="18"/>
        <v>2994900</v>
      </c>
      <c r="J49" s="2432">
        <f t="shared" si="18"/>
        <v>21704500</v>
      </c>
      <c r="K49" s="2431">
        <f>SUM(L49:N49)</f>
        <v>58266797</v>
      </c>
      <c r="L49" s="2433">
        <f>SUM(L38:L40,L33,L31,L13,L4:L5)</f>
        <v>19570538</v>
      </c>
      <c r="M49" s="2433">
        <f>SUM(M38:M40,M33,M31,M13,M4:M5)</f>
        <v>16966538</v>
      </c>
      <c r="N49" s="2433">
        <f>SUM(N38:N40,N33,N31,N13,N4:N5)</f>
        <v>21729721</v>
      </c>
    </row>
    <row r="50" spans="1:14" ht="15.75" thickBot="1" x14ac:dyDescent="0.3">
      <c r="A50" s="2434" t="s">
        <v>340</v>
      </c>
      <c r="B50" s="2435"/>
      <c r="C50" s="2436" t="s">
        <v>2188</v>
      </c>
      <c r="D50" s="2436" t="s">
        <v>2189</v>
      </c>
      <c r="E50" s="2437">
        <f>E60/$C$60</f>
        <v>6.1585261294635284E-2</v>
      </c>
      <c r="F50" s="2437">
        <f t="shared" ref="F50:N50" si="19">F60/$C$60</f>
        <v>2.3880127897807121E-2</v>
      </c>
      <c r="G50" s="2437">
        <f t="shared" si="19"/>
        <v>0.13740880395256316</v>
      </c>
      <c r="H50" s="2437">
        <f t="shared" si="19"/>
        <v>4.7748044039435389E-2</v>
      </c>
      <c r="I50" s="2437">
        <f t="shared" si="19"/>
        <v>7.6297029625415319E-2</v>
      </c>
      <c r="J50" s="2437">
        <f t="shared" si="19"/>
        <v>0.42294266751149606</v>
      </c>
      <c r="K50" s="2437"/>
      <c r="L50" s="2437">
        <f t="shared" si="19"/>
        <v>0.12049125364761298</v>
      </c>
      <c r="M50" s="2437">
        <f t="shared" si="19"/>
        <v>7.488715435711224E-2</v>
      </c>
      <c r="N50" s="2437">
        <f t="shared" si="19"/>
        <v>3.4759657673922598E-2</v>
      </c>
    </row>
    <row r="51" spans="1:14" x14ac:dyDescent="0.25">
      <c r="A51" s="2375">
        <v>5011</v>
      </c>
      <c r="B51" s="2438" t="s">
        <v>65</v>
      </c>
      <c r="C51" s="2439">
        <f t="shared" ref="C51:C59" si="20">SUM(D51,K51)</f>
        <v>19499200</v>
      </c>
      <c r="D51" s="2440">
        <f>SUM(E51:J51)</f>
        <v>15258660</v>
      </c>
      <c r="E51" s="2441">
        <v>1197980</v>
      </c>
      <c r="F51" s="2442">
        <v>462450</v>
      </c>
      <c r="G51" s="2442">
        <v>2647080</v>
      </c>
      <c r="H51" s="2442">
        <v>925930</v>
      </c>
      <c r="I51" s="2442">
        <v>1486920</v>
      </c>
      <c r="J51" s="2443">
        <v>8538300</v>
      </c>
      <c r="K51" s="2440">
        <f t="shared" ref="K51:K59" si="21">SUM(L51:N51)</f>
        <v>4240540</v>
      </c>
      <c r="L51" s="2442">
        <v>2227204</v>
      </c>
      <c r="M51" s="2442">
        <v>1329604</v>
      </c>
      <c r="N51" s="2443">
        <v>683732</v>
      </c>
    </row>
    <row r="52" spans="1:14" x14ac:dyDescent="0.25">
      <c r="A52" s="2413">
        <v>5021</v>
      </c>
      <c r="B52" s="2444" t="s">
        <v>66</v>
      </c>
      <c r="C52" s="2392">
        <f t="shared" si="20"/>
        <v>350000</v>
      </c>
      <c r="D52" s="2393">
        <f>SUM(E52:J52)</f>
        <v>0</v>
      </c>
      <c r="E52" s="2394">
        <v>0</v>
      </c>
      <c r="F52" s="2394">
        <v>0</v>
      </c>
      <c r="G52" s="2394">
        <v>0</v>
      </c>
      <c r="H52" s="2394">
        <v>0</v>
      </c>
      <c r="I52" s="2394">
        <v>0</v>
      </c>
      <c r="J52" s="2394">
        <v>0</v>
      </c>
      <c r="K52" s="2393">
        <f t="shared" si="21"/>
        <v>350000</v>
      </c>
      <c r="L52" s="2394">
        <v>175000</v>
      </c>
      <c r="M52" s="2394">
        <v>175000</v>
      </c>
      <c r="N52" s="2420">
        <v>0</v>
      </c>
    </row>
    <row r="53" spans="1:14" x14ac:dyDescent="0.25">
      <c r="A53" s="2413">
        <v>5024</v>
      </c>
      <c r="B53" s="2444" t="s">
        <v>256</v>
      </c>
      <c r="C53" s="2392">
        <f t="shared" si="20"/>
        <v>0</v>
      </c>
      <c r="D53" s="2393">
        <f t="shared" ref="D53:D59" si="22">SUM(E53:J53)</f>
        <v>0</v>
      </c>
      <c r="E53" s="2394">
        <v>0</v>
      </c>
      <c r="F53" s="2394">
        <v>0</v>
      </c>
      <c r="G53" s="2394">
        <v>0</v>
      </c>
      <c r="H53" s="2394">
        <v>0</v>
      </c>
      <c r="I53" s="2394">
        <v>0</v>
      </c>
      <c r="J53" s="2394">
        <v>0</v>
      </c>
      <c r="K53" s="2393">
        <f t="shared" si="21"/>
        <v>0</v>
      </c>
      <c r="L53" s="2394">
        <v>0</v>
      </c>
      <c r="M53" s="2394">
        <v>0</v>
      </c>
      <c r="N53" s="2420">
        <v>0</v>
      </c>
    </row>
    <row r="54" spans="1:14" x14ac:dyDescent="0.25">
      <c r="A54" s="2413">
        <v>5027</v>
      </c>
      <c r="B54" s="2444" t="s">
        <v>727</v>
      </c>
      <c r="C54" s="2392">
        <f t="shared" si="20"/>
        <v>670000</v>
      </c>
      <c r="D54" s="2393">
        <f t="shared" si="22"/>
        <v>537000</v>
      </c>
      <c r="E54" s="2394">
        <v>41000</v>
      </c>
      <c r="F54" s="2394">
        <v>18750</v>
      </c>
      <c r="G54" s="2394">
        <v>127000</v>
      </c>
      <c r="H54" s="2394">
        <v>35750</v>
      </c>
      <c r="I54" s="2394">
        <v>47000</v>
      </c>
      <c r="J54" s="2394">
        <v>267500</v>
      </c>
      <c r="K54" s="2393">
        <f t="shared" si="21"/>
        <v>133000</v>
      </c>
      <c r="L54" s="2394">
        <v>65500</v>
      </c>
      <c r="M54" s="2394">
        <v>50500</v>
      </c>
      <c r="N54" s="2420">
        <v>17000</v>
      </c>
    </row>
    <row r="55" spans="1:14" x14ac:dyDescent="0.25">
      <c r="A55" s="2413">
        <v>5029</v>
      </c>
      <c r="B55" s="2444" t="s">
        <v>67</v>
      </c>
      <c r="C55" s="2392">
        <f t="shared" si="20"/>
        <v>0</v>
      </c>
      <c r="D55" s="2393">
        <f t="shared" si="22"/>
        <v>0</v>
      </c>
      <c r="E55" s="2394">
        <v>0</v>
      </c>
      <c r="F55" s="2394">
        <v>0</v>
      </c>
      <c r="G55" s="2394">
        <v>0</v>
      </c>
      <c r="H55" s="2394">
        <v>0</v>
      </c>
      <c r="I55" s="2394">
        <v>0</v>
      </c>
      <c r="J55" s="2394">
        <v>0</v>
      </c>
      <c r="K55" s="2393">
        <f t="shared" si="21"/>
        <v>0</v>
      </c>
      <c r="L55" s="2394">
        <v>0</v>
      </c>
      <c r="M55" s="2394">
        <v>0</v>
      </c>
      <c r="N55" s="2420">
        <v>0</v>
      </c>
    </row>
    <row r="56" spans="1:14" x14ac:dyDescent="0.25">
      <c r="A56" s="2413">
        <v>5031</v>
      </c>
      <c r="B56" s="2444" t="s">
        <v>68</v>
      </c>
      <c r="C56" s="2392">
        <f t="shared" si="20"/>
        <v>4592124.26</v>
      </c>
      <c r="D56" s="2393">
        <f t="shared" si="22"/>
        <v>3535470</v>
      </c>
      <c r="E56" s="2394">
        <v>299495</v>
      </c>
      <c r="F56" s="2394">
        <v>115612.5</v>
      </c>
      <c r="G56" s="2394">
        <v>661770</v>
      </c>
      <c r="H56" s="2394">
        <v>231482.5</v>
      </c>
      <c r="I56" s="2394">
        <v>371730</v>
      </c>
      <c r="J56" s="2394">
        <v>1855380</v>
      </c>
      <c r="K56" s="2393">
        <f t="shared" si="21"/>
        <v>1056654.26</v>
      </c>
      <c r="L56" s="2394">
        <v>556801</v>
      </c>
      <c r="M56" s="2394">
        <v>331771</v>
      </c>
      <c r="N56" s="2420">
        <v>168082.26</v>
      </c>
    </row>
    <row r="57" spans="1:14" x14ac:dyDescent="0.25">
      <c r="A57" s="2413">
        <v>5032</v>
      </c>
      <c r="B57" s="2444" t="s">
        <v>69</v>
      </c>
      <c r="C57" s="2392">
        <f t="shared" si="20"/>
        <v>1653164.7335999999</v>
      </c>
      <c r="D57" s="2393">
        <f t="shared" si="22"/>
        <v>1272769.2</v>
      </c>
      <c r="E57" s="2394">
        <v>107818.2</v>
      </c>
      <c r="F57" s="2394">
        <v>41620.5</v>
      </c>
      <c r="G57" s="2394">
        <v>238237.2</v>
      </c>
      <c r="H57" s="2394">
        <v>83333.7</v>
      </c>
      <c r="I57" s="2394">
        <v>133822.79999999999</v>
      </c>
      <c r="J57" s="2394">
        <v>667936.79999999993</v>
      </c>
      <c r="K57" s="2393">
        <f t="shared" si="21"/>
        <v>380395.53359999997</v>
      </c>
      <c r="L57" s="2394">
        <v>200448.36</v>
      </c>
      <c r="M57" s="2394">
        <v>119437.56</v>
      </c>
      <c r="N57" s="2420">
        <v>60509.613600000004</v>
      </c>
    </row>
    <row r="58" spans="1:14" x14ac:dyDescent="0.25">
      <c r="A58" s="2445"/>
      <c r="B58" s="2446" t="s">
        <v>974</v>
      </c>
      <c r="C58" s="2392">
        <f t="shared" si="20"/>
        <v>551054.91119999997</v>
      </c>
      <c r="D58" s="2393">
        <f t="shared" si="22"/>
        <v>424256.4</v>
      </c>
      <c r="E58" s="2410">
        <v>35939.4</v>
      </c>
      <c r="F58" s="2410">
        <v>13873.5</v>
      </c>
      <c r="G58" s="2410">
        <v>79412.400000000009</v>
      </c>
      <c r="H58" s="2410">
        <v>27777.9</v>
      </c>
      <c r="I58" s="2410">
        <v>44607.6</v>
      </c>
      <c r="J58" s="2410">
        <v>222645.6</v>
      </c>
      <c r="K58" s="2393">
        <f t="shared" si="21"/>
        <v>126798.51119999998</v>
      </c>
      <c r="L58" s="2410">
        <v>66816.12</v>
      </c>
      <c r="M58" s="2410">
        <v>39812.519999999997</v>
      </c>
      <c r="N58" s="2411">
        <v>20169.871200000001</v>
      </c>
    </row>
    <row r="59" spans="1:14" x14ac:dyDescent="0.25">
      <c r="A59" s="2413">
        <v>5038</v>
      </c>
      <c r="B59" s="2444" t="s">
        <v>70</v>
      </c>
      <c r="C59" s="2392">
        <f t="shared" si="20"/>
        <v>81662.123567999995</v>
      </c>
      <c r="D59" s="2393">
        <f t="shared" si="22"/>
        <v>63910.428</v>
      </c>
      <c r="E59" s="2394">
        <v>5031.4920000000002</v>
      </c>
      <c r="F59" s="2394">
        <v>1942.2839999999999</v>
      </c>
      <c r="G59" s="2394">
        <v>11117.712</v>
      </c>
      <c r="H59" s="2394">
        <v>3888.8999999999996</v>
      </c>
      <c r="I59" s="2394">
        <v>6245.04</v>
      </c>
      <c r="J59" s="2394">
        <v>35685</v>
      </c>
      <c r="K59" s="2393">
        <f t="shared" si="21"/>
        <v>17751.695567999999</v>
      </c>
      <c r="L59" s="2394">
        <v>9354.2207999999991</v>
      </c>
      <c r="M59" s="2394">
        <v>5573.7168000000001</v>
      </c>
      <c r="N59" s="2420">
        <v>2823.7579679999999</v>
      </c>
    </row>
    <row r="60" spans="1:14" ht="15.75" thickBot="1" x14ac:dyDescent="0.3">
      <c r="A60" s="2447" t="s">
        <v>71</v>
      </c>
      <c r="B60" s="2448" t="s">
        <v>122</v>
      </c>
      <c r="C60" s="2430">
        <f>SUM(C51:C59)</f>
        <v>27397206.028367996</v>
      </c>
      <c r="D60" s="2431">
        <f>SUM(D51:D59)</f>
        <v>21092066.027999997</v>
      </c>
      <c r="E60" s="2449">
        <f>SUM(E51:E59)</f>
        <v>1687264.0919999999</v>
      </c>
      <c r="F60" s="2449">
        <f t="shared" ref="F60:J60" si="23">SUM(F51:F59)</f>
        <v>654248.78399999999</v>
      </c>
      <c r="G60" s="2449">
        <f t="shared" si="23"/>
        <v>3764617.3119999999</v>
      </c>
      <c r="H60" s="2449">
        <f t="shared" si="23"/>
        <v>1308162.9999999998</v>
      </c>
      <c r="I60" s="2449">
        <f t="shared" si="23"/>
        <v>2090325.4400000002</v>
      </c>
      <c r="J60" s="2449">
        <f t="shared" si="23"/>
        <v>11587447.4</v>
      </c>
      <c r="K60" s="2431">
        <f>SUM(L60:N60)</f>
        <v>6305140.0003680009</v>
      </c>
      <c r="L60" s="2450">
        <f>SUM(L51:L59)</f>
        <v>3301123.7007999998</v>
      </c>
      <c r="M60" s="2451">
        <f t="shared" ref="M60:N60" si="24">SUM(M51:M59)</f>
        <v>2051698.7968000001</v>
      </c>
      <c r="N60" s="2452">
        <f t="shared" si="24"/>
        <v>952317.50276800012</v>
      </c>
    </row>
    <row r="61" spans="1:14" x14ac:dyDescent="0.25">
      <c r="A61" s="2453">
        <v>5178</v>
      </c>
      <c r="B61" s="2444" t="s">
        <v>580</v>
      </c>
      <c r="C61" s="2388">
        <f>SUM(C62:C68)</f>
        <v>3090000</v>
      </c>
      <c r="D61" s="2383">
        <f>SUM(D62:D68)</f>
        <v>2770000</v>
      </c>
      <c r="E61" s="2384">
        <v>0</v>
      </c>
      <c r="F61" s="2384">
        <v>0</v>
      </c>
      <c r="G61" s="2385">
        <v>1300000</v>
      </c>
      <c r="H61" s="2385">
        <v>450000</v>
      </c>
      <c r="I61" s="2385">
        <v>350000</v>
      </c>
      <c r="J61" s="2427">
        <v>670000</v>
      </c>
      <c r="K61" s="2383">
        <f>SUM(L61:N61)</f>
        <v>320000</v>
      </c>
      <c r="L61" s="2454">
        <f>SUM(L62:L68)</f>
        <v>0</v>
      </c>
      <c r="M61" s="2455">
        <f t="shared" ref="M61:N61" si="25">SUM(M62:M68)</f>
        <v>0</v>
      </c>
      <c r="N61" s="2456">
        <f t="shared" si="25"/>
        <v>320000</v>
      </c>
    </row>
    <row r="62" spans="1:14" x14ac:dyDescent="0.25">
      <c r="A62" s="2457"/>
      <c r="B62" s="2458" t="s">
        <v>951</v>
      </c>
      <c r="C62" s="2392">
        <f t="shared" ref="C62:C72" si="26">SUM(D62,K62)</f>
        <v>350000</v>
      </c>
      <c r="D62" s="2393">
        <f t="shared" ref="D62:D125" si="27">SUM(E62:J62)</f>
        <v>350000</v>
      </c>
      <c r="E62" s="2459"/>
      <c r="F62" s="2459"/>
      <c r="G62" s="2459"/>
      <c r="H62" s="2459"/>
      <c r="I62" s="2459">
        <v>350000</v>
      </c>
      <c r="J62" s="2459"/>
      <c r="K62" s="2393">
        <f t="shared" ref="K62:K125" si="28">SUM(L62:N62)</f>
        <v>0</v>
      </c>
      <c r="L62" s="2460"/>
      <c r="M62" s="2461"/>
      <c r="N62" s="2462"/>
    </row>
    <row r="63" spans="1:14" x14ac:dyDescent="0.25">
      <c r="A63" s="2457"/>
      <c r="B63" s="2458" t="s">
        <v>1899</v>
      </c>
      <c r="C63" s="2392">
        <f t="shared" si="26"/>
        <v>450000</v>
      </c>
      <c r="D63" s="2393">
        <f t="shared" si="27"/>
        <v>450000</v>
      </c>
      <c r="E63" s="2459"/>
      <c r="F63" s="2459"/>
      <c r="G63" s="2401"/>
      <c r="H63" s="2401">
        <v>450000</v>
      </c>
      <c r="I63" s="2401"/>
      <c r="J63" s="2460"/>
      <c r="K63" s="2393">
        <f t="shared" si="28"/>
        <v>0</v>
      </c>
      <c r="L63" s="2460"/>
      <c r="M63" s="2461"/>
      <c r="N63" s="2462"/>
    </row>
    <row r="64" spans="1:14" x14ac:dyDescent="0.25">
      <c r="A64" s="2457"/>
      <c r="B64" s="2458" t="s">
        <v>952</v>
      </c>
      <c r="C64" s="2392">
        <f t="shared" si="26"/>
        <v>1300000</v>
      </c>
      <c r="D64" s="2393">
        <f t="shared" si="27"/>
        <v>1300000</v>
      </c>
      <c r="E64" s="2459"/>
      <c r="F64" s="2459"/>
      <c r="G64" s="2401">
        <v>1300000</v>
      </c>
      <c r="H64" s="2401"/>
      <c r="I64" s="2401"/>
      <c r="J64" s="2460"/>
      <c r="K64" s="2393">
        <f t="shared" si="28"/>
        <v>0</v>
      </c>
      <c r="L64" s="2460"/>
      <c r="M64" s="2461"/>
      <c r="N64" s="2462"/>
    </row>
    <row r="65" spans="1:14" x14ac:dyDescent="0.25">
      <c r="A65" s="2457"/>
      <c r="B65" s="2458" t="s">
        <v>887</v>
      </c>
      <c r="C65" s="2392">
        <f t="shared" si="26"/>
        <v>420000</v>
      </c>
      <c r="D65" s="2393">
        <f t="shared" si="27"/>
        <v>420000</v>
      </c>
      <c r="E65" s="2459"/>
      <c r="F65" s="2459"/>
      <c r="G65" s="2401"/>
      <c r="H65" s="2401"/>
      <c r="I65" s="2401"/>
      <c r="J65" s="2460">
        <v>420000</v>
      </c>
      <c r="K65" s="2393">
        <f t="shared" si="28"/>
        <v>0</v>
      </c>
      <c r="L65" s="2460"/>
      <c r="M65" s="2461"/>
      <c r="N65" s="2462"/>
    </row>
    <row r="66" spans="1:14" x14ac:dyDescent="0.25">
      <c r="A66" s="2457"/>
      <c r="B66" s="2458" t="s">
        <v>1718</v>
      </c>
      <c r="C66" s="2392">
        <f t="shared" si="26"/>
        <v>250000</v>
      </c>
      <c r="D66" s="2393">
        <f t="shared" si="27"/>
        <v>250000</v>
      </c>
      <c r="E66" s="2459"/>
      <c r="F66" s="2459"/>
      <c r="G66" s="2401"/>
      <c r="H66" s="2401"/>
      <c r="I66" s="2401"/>
      <c r="J66" s="2460">
        <v>250000</v>
      </c>
      <c r="K66" s="2393">
        <f t="shared" si="28"/>
        <v>0</v>
      </c>
      <c r="L66" s="2460"/>
      <c r="M66" s="2461"/>
      <c r="N66" s="2462"/>
    </row>
    <row r="67" spans="1:14" x14ac:dyDescent="0.25">
      <c r="A67" s="2457"/>
      <c r="B67" s="2458" t="s">
        <v>1717</v>
      </c>
      <c r="C67" s="2392">
        <f t="shared" si="26"/>
        <v>170000</v>
      </c>
      <c r="D67" s="2393">
        <f t="shared" si="27"/>
        <v>0</v>
      </c>
      <c r="E67" s="2459"/>
      <c r="F67" s="2459"/>
      <c r="G67" s="2401"/>
      <c r="H67" s="2401"/>
      <c r="I67" s="2401"/>
      <c r="J67" s="2460"/>
      <c r="K67" s="2393">
        <f t="shared" si="28"/>
        <v>170000</v>
      </c>
      <c r="L67" s="2460"/>
      <c r="M67" s="2461"/>
      <c r="N67" s="2462">
        <v>170000</v>
      </c>
    </row>
    <row r="68" spans="1:14" x14ac:dyDescent="0.25">
      <c r="A68" s="2457"/>
      <c r="B68" s="2458" t="s">
        <v>1721</v>
      </c>
      <c r="C68" s="2392">
        <f t="shared" si="26"/>
        <v>150000</v>
      </c>
      <c r="D68" s="2393">
        <f t="shared" si="27"/>
        <v>0</v>
      </c>
      <c r="E68" s="2459"/>
      <c r="F68" s="2459"/>
      <c r="G68" s="2401"/>
      <c r="H68" s="2401"/>
      <c r="I68" s="2401"/>
      <c r="J68" s="2460">
        <v>0</v>
      </c>
      <c r="K68" s="2393">
        <f>SUM(L68:N68)</f>
        <v>150000</v>
      </c>
      <c r="L68" s="2460"/>
      <c r="M68" s="2461"/>
      <c r="N68" s="2462">
        <v>150000</v>
      </c>
    </row>
    <row r="69" spans="1:14" x14ac:dyDescent="0.25">
      <c r="A69" s="2453">
        <v>5132</v>
      </c>
      <c r="B69" s="2444" t="s">
        <v>73</v>
      </c>
      <c r="C69" s="2393">
        <f t="shared" si="26"/>
        <v>155000</v>
      </c>
      <c r="D69" s="2393">
        <f>SUM(E69:J69)</f>
        <v>116000</v>
      </c>
      <c r="E69" s="2463">
        <v>5000</v>
      </c>
      <c r="F69" s="2389">
        <v>7000</v>
      </c>
      <c r="G69" s="2389">
        <v>24000</v>
      </c>
      <c r="H69" s="2389"/>
      <c r="I69" s="2389">
        <v>10000</v>
      </c>
      <c r="J69" s="2390">
        <v>70000</v>
      </c>
      <c r="K69" s="2393">
        <f t="shared" si="28"/>
        <v>39000</v>
      </c>
      <c r="L69" s="2389">
        <v>10000</v>
      </c>
      <c r="M69" s="2389">
        <v>19000</v>
      </c>
      <c r="N69" s="2390">
        <v>10000</v>
      </c>
    </row>
    <row r="70" spans="1:14" x14ac:dyDescent="0.25">
      <c r="A70" s="2453">
        <v>5134</v>
      </c>
      <c r="B70" s="2444" t="s">
        <v>74</v>
      </c>
      <c r="C70" s="2393">
        <f t="shared" si="26"/>
        <v>217000</v>
      </c>
      <c r="D70" s="2393">
        <f t="shared" si="27"/>
        <v>196000</v>
      </c>
      <c r="E70" s="2463">
        <v>14200</v>
      </c>
      <c r="F70" s="2389">
        <v>5100</v>
      </c>
      <c r="G70" s="2389">
        <v>42500</v>
      </c>
      <c r="H70" s="2389"/>
      <c r="I70" s="2389">
        <v>14200</v>
      </c>
      <c r="J70" s="2390">
        <v>120000</v>
      </c>
      <c r="K70" s="2393">
        <f t="shared" si="28"/>
        <v>21000</v>
      </c>
      <c r="L70" s="2389">
        <v>5000</v>
      </c>
      <c r="M70" s="2389">
        <v>11000</v>
      </c>
      <c r="N70" s="2390">
        <v>5000</v>
      </c>
    </row>
    <row r="71" spans="1:14" x14ac:dyDescent="0.25">
      <c r="A71" s="2453">
        <v>5136</v>
      </c>
      <c r="B71" s="2444" t="s">
        <v>75</v>
      </c>
      <c r="C71" s="2393">
        <f t="shared" si="26"/>
        <v>5000</v>
      </c>
      <c r="D71" s="2393">
        <f t="shared" si="27"/>
        <v>3000</v>
      </c>
      <c r="E71" s="2463"/>
      <c r="F71" s="2389"/>
      <c r="G71" s="2389"/>
      <c r="H71" s="2389"/>
      <c r="I71" s="2389"/>
      <c r="J71" s="2390">
        <v>3000</v>
      </c>
      <c r="K71" s="2393">
        <f t="shared" si="28"/>
        <v>2000</v>
      </c>
      <c r="L71" s="2389">
        <v>750</v>
      </c>
      <c r="M71" s="2389">
        <v>750</v>
      </c>
      <c r="N71" s="2390">
        <v>500</v>
      </c>
    </row>
    <row r="72" spans="1:14" x14ac:dyDescent="0.25">
      <c r="A72" s="2453">
        <v>5137</v>
      </c>
      <c r="B72" s="2444" t="s">
        <v>76</v>
      </c>
      <c r="C72" s="2393">
        <f t="shared" si="26"/>
        <v>760000</v>
      </c>
      <c r="D72" s="2393">
        <f t="shared" si="27"/>
        <v>566000</v>
      </c>
      <c r="E72" s="2463">
        <v>36000</v>
      </c>
      <c r="F72" s="2389">
        <v>1500</v>
      </c>
      <c r="G72" s="2389">
        <v>56000</v>
      </c>
      <c r="H72" s="2389"/>
      <c r="I72" s="2389">
        <v>256000</v>
      </c>
      <c r="J72" s="2390">
        <v>216500</v>
      </c>
      <c r="K72" s="2393">
        <f t="shared" si="28"/>
        <v>194000</v>
      </c>
      <c r="L72" s="2389">
        <v>159000</v>
      </c>
      <c r="M72" s="2389">
        <v>29000</v>
      </c>
      <c r="N72" s="2390">
        <v>6000</v>
      </c>
    </row>
    <row r="73" spans="1:14" x14ac:dyDescent="0.25">
      <c r="A73" s="2413">
        <v>5139</v>
      </c>
      <c r="B73" s="2426" t="s">
        <v>77</v>
      </c>
      <c r="C73" s="2388">
        <f>SUM(C74:C96)</f>
        <v>3897091</v>
      </c>
      <c r="D73" s="2393">
        <f>SUM(D74:D96)</f>
        <v>1262491</v>
      </c>
      <c r="E73" s="2463">
        <f t="shared" ref="E73:J73" si="29">SUM(E74:E96)</f>
        <v>170900</v>
      </c>
      <c r="F73" s="2389">
        <f t="shared" si="29"/>
        <v>21950</v>
      </c>
      <c r="G73" s="2389">
        <f t="shared" si="29"/>
        <v>155944</v>
      </c>
      <c r="H73" s="2389">
        <f t="shared" si="29"/>
        <v>0</v>
      </c>
      <c r="I73" s="2389">
        <f t="shared" si="29"/>
        <v>55900</v>
      </c>
      <c r="J73" s="2390">
        <f t="shared" si="29"/>
        <v>857797</v>
      </c>
      <c r="K73" s="2393">
        <f>SUM(K74:K96)</f>
        <v>2634600</v>
      </c>
      <c r="L73" s="2427">
        <f>SUM(L74:L96)</f>
        <v>1823850</v>
      </c>
      <c r="M73" s="2427">
        <f t="shared" ref="M73:N73" si="30">SUM(M74:M96)</f>
        <v>781350</v>
      </c>
      <c r="N73" s="2390">
        <f t="shared" si="30"/>
        <v>29400</v>
      </c>
    </row>
    <row r="74" spans="1:14" x14ac:dyDescent="0.25">
      <c r="A74" s="2457"/>
      <c r="B74" s="2458" t="s">
        <v>343</v>
      </c>
      <c r="C74" s="2392">
        <f t="shared" ref="C74:C108" si="31">SUM(D74,K74)</f>
        <v>45000</v>
      </c>
      <c r="D74" s="2393">
        <f t="shared" si="27"/>
        <v>35000</v>
      </c>
      <c r="E74" s="2394">
        <v>4000</v>
      </c>
      <c r="F74" s="2394">
        <v>2000</v>
      </c>
      <c r="G74" s="2394">
        <v>5000</v>
      </c>
      <c r="H74" s="2394"/>
      <c r="I74" s="2394">
        <v>6000</v>
      </c>
      <c r="J74" s="2394">
        <v>18000</v>
      </c>
      <c r="K74" s="2393">
        <f t="shared" si="28"/>
        <v>10000</v>
      </c>
      <c r="L74" s="2394">
        <v>2500</v>
      </c>
      <c r="M74" s="2394">
        <v>5000</v>
      </c>
      <c r="N74" s="2464">
        <v>2500</v>
      </c>
    </row>
    <row r="75" spans="1:14" x14ac:dyDescent="0.25">
      <c r="A75" s="2457"/>
      <c r="B75" s="2458" t="s">
        <v>344</v>
      </c>
      <c r="C75" s="2392">
        <f t="shared" si="31"/>
        <v>140000</v>
      </c>
      <c r="D75" s="2393">
        <f t="shared" si="27"/>
        <v>0</v>
      </c>
      <c r="E75" s="2394">
        <v>0</v>
      </c>
      <c r="F75" s="2394">
        <v>0</v>
      </c>
      <c r="G75" s="2394">
        <v>0</v>
      </c>
      <c r="H75" s="2394"/>
      <c r="I75" s="2394">
        <v>0</v>
      </c>
      <c r="J75" s="2394">
        <v>0</v>
      </c>
      <c r="K75" s="2393">
        <f t="shared" si="28"/>
        <v>140000</v>
      </c>
      <c r="L75" s="2394">
        <v>0</v>
      </c>
      <c r="M75" s="2394">
        <v>140000</v>
      </c>
      <c r="N75" s="2464">
        <v>0</v>
      </c>
    </row>
    <row r="76" spans="1:14" x14ac:dyDescent="0.25">
      <c r="A76" s="2457"/>
      <c r="B76" s="2458" t="s">
        <v>2190</v>
      </c>
      <c r="C76" s="2392">
        <f t="shared" si="31"/>
        <v>400000</v>
      </c>
      <c r="D76" s="2393">
        <f t="shared" si="27"/>
        <v>0</v>
      </c>
      <c r="E76" s="2394">
        <v>0</v>
      </c>
      <c r="F76" s="2394">
        <v>0</v>
      </c>
      <c r="G76" s="2394">
        <v>0</v>
      </c>
      <c r="H76" s="2394"/>
      <c r="I76" s="2394">
        <v>0</v>
      </c>
      <c r="J76" s="2394">
        <v>0</v>
      </c>
      <c r="K76" s="2393">
        <f t="shared" si="28"/>
        <v>400000</v>
      </c>
      <c r="L76" s="2394">
        <v>0</v>
      </c>
      <c r="M76" s="2394">
        <v>400000</v>
      </c>
      <c r="N76" s="2464">
        <v>0</v>
      </c>
    </row>
    <row r="77" spans="1:14" x14ac:dyDescent="0.25">
      <c r="A77" s="2457"/>
      <c r="B77" s="2458" t="s">
        <v>345</v>
      </c>
      <c r="C77" s="2392">
        <f t="shared" si="31"/>
        <v>50000</v>
      </c>
      <c r="D77" s="2393">
        <f t="shared" si="27"/>
        <v>0</v>
      </c>
      <c r="E77" s="2394">
        <v>0</v>
      </c>
      <c r="F77" s="2394">
        <v>0</v>
      </c>
      <c r="G77" s="2394">
        <v>0</v>
      </c>
      <c r="H77" s="2394"/>
      <c r="I77" s="2394">
        <v>0</v>
      </c>
      <c r="J77" s="2394">
        <v>0</v>
      </c>
      <c r="K77" s="2393">
        <f t="shared" si="28"/>
        <v>50000</v>
      </c>
      <c r="L77" s="2394">
        <v>50000</v>
      </c>
      <c r="M77" s="2394">
        <v>0</v>
      </c>
      <c r="N77" s="2464">
        <v>0</v>
      </c>
    </row>
    <row r="78" spans="1:14" x14ac:dyDescent="0.25">
      <c r="A78" s="2457"/>
      <c r="B78" s="2458" t="s">
        <v>346</v>
      </c>
      <c r="C78" s="2392">
        <f t="shared" si="31"/>
        <v>1000000</v>
      </c>
      <c r="D78" s="2393">
        <f t="shared" si="27"/>
        <v>0</v>
      </c>
      <c r="E78" s="2394">
        <v>0</v>
      </c>
      <c r="F78" s="2394">
        <v>0</v>
      </c>
      <c r="G78" s="2394">
        <v>0</v>
      </c>
      <c r="H78" s="2394"/>
      <c r="I78" s="2394">
        <v>0</v>
      </c>
      <c r="J78" s="2394">
        <v>0</v>
      </c>
      <c r="K78" s="2393">
        <f t="shared" si="28"/>
        <v>1000000</v>
      </c>
      <c r="L78" s="2394">
        <v>1000000</v>
      </c>
      <c r="M78" s="2394">
        <v>0</v>
      </c>
      <c r="N78" s="2464">
        <v>0</v>
      </c>
    </row>
    <row r="79" spans="1:14" x14ac:dyDescent="0.25">
      <c r="A79" s="2457"/>
      <c r="B79" s="2458" t="s">
        <v>498</v>
      </c>
      <c r="C79" s="2392">
        <f t="shared" si="31"/>
        <v>87044</v>
      </c>
      <c r="D79" s="2393">
        <f t="shared" si="27"/>
        <v>47044</v>
      </c>
      <c r="E79" s="2394">
        <v>7500</v>
      </c>
      <c r="F79" s="2394">
        <v>1000</v>
      </c>
      <c r="G79" s="2394">
        <v>6544</v>
      </c>
      <c r="H79" s="2394"/>
      <c r="I79" s="2394">
        <v>9500</v>
      </c>
      <c r="J79" s="2394">
        <v>22500</v>
      </c>
      <c r="K79" s="2393">
        <f t="shared" si="28"/>
        <v>40000</v>
      </c>
      <c r="L79" s="2394">
        <v>22750</v>
      </c>
      <c r="M79" s="2394">
        <v>12750</v>
      </c>
      <c r="N79" s="2464">
        <v>4500</v>
      </c>
    </row>
    <row r="80" spans="1:14" x14ac:dyDescent="0.25">
      <c r="A80" s="2457"/>
      <c r="B80" s="2458" t="s">
        <v>550</v>
      </c>
      <c r="C80" s="2392">
        <f t="shared" si="31"/>
        <v>200000</v>
      </c>
      <c r="D80" s="2393">
        <f t="shared" si="27"/>
        <v>200000</v>
      </c>
      <c r="E80" s="2394">
        <v>0</v>
      </c>
      <c r="F80" s="2394">
        <v>0</v>
      </c>
      <c r="G80" s="2394">
        <v>0</v>
      </c>
      <c r="H80" s="2394"/>
      <c r="I80" s="2394">
        <v>0</v>
      </c>
      <c r="J80" s="2394">
        <v>200000</v>
      </c>
      <c r="K80" s="2393">
        <f t="shared" si="28"/>
        <v>0</v>
      </c>
      <c r="L80" s="2394">
        <v>0</v>
      </c>
      <c r="M80" s="2394">
        <v>0</v>
      </c>
      <c r="N80" s="2464">
        <v>0</v>
      </c>
    </row>
    <row r="81" spans="1:14" x14ac:dyDescent="0.25">
      <c r="A81" s="2457"/>
      <c r="B81" s="2458" t="s">
        <v>347</v>
      </c>
      <c r="C81" s="2392">
        <f t="shared" si="31"/>
        <v>276000</v>
      </c>
      <c r="D81" s="2393">
        <f t="shared" si="27"/>
        <v>276000</v>
      </c>
      <c r="E81" s="2394">
        <v>20000</v>
      </c>
      <c r="F81" s="2394">
        <v>6000</v>
      </c>
      <c r="G81" s="2394">
        <v>0</v>
      </c>
      <c r="H81" s="2394"/>
      <c r="I81" s="2394">
        <v>0</v>
      </c>
      <c r="J81" s="2394">
        <v>250000</v>
      </c>
      <c r="K81" s="2393">
        <f t="shared" si="28"/>
        <v>0</v>
      </c>
      <c r="L81" s="2394">
        <v>0</v>
      </c>
      <c r="M81" s="2394">
        <v>0</v>
      </c>
      <c r="N81" s="2464">
        <v>0</v>
      </c>
    </row>
    <row r="82" spans="1:14" x14ac:dyDescent="0.25">
      <c r="A82" s="2457"/>
      <c r="B82" s="2458" t="s">
        <v>551</v>
      </c>
      <c r="C82" s="2392">
        <f t="shared" si="31"/>
        <v>5047</v>
      </c>
      <c r="D82" s="2393">
        <f t="shared" si="27"/>
        <v>5047</v>
      </c>
      <c r="E82" s="2394">
        <v>0</v>
      </c>
      <c r="F82" s="2394">
        <v>0</v>
      </c>
      <c r="G82" s="2394">
        <v>0</v>
      </c>
      <c r="H82" s="2394"/>
      <c r="I82" s="2394">
        <v>0</v>
      </c>
      <c r="J82" s="2394">
        <v>5047</v>
      </c>
      <c r="K82" s="2393">
        <f t="shared" si="28"/>
        <v>0</v>
      </c>
      <c r="L82" s="2394">
        <v>0</v>
      </c>
      <c r="M82" s="2394">
        <v>0</v>
      </c>
      <c r="N82" s="2464">
        <v>0</v>
      </c>
    </row>
    <row r="83" spans="1:14" x14ac:dyDescent="0.25">
      <c r="A83" s="2457"/>
      <c r="B83" s="2458" t="s">
        <v>552</v>
      </c>
      <c r="C83" s="2392">
        <f t="shared" si="31"/>
        <v>0</v>
      </c>
      <c r="D83" s="2393">
        <f t="shared" si="27"/>
        <v>0</v>
      </c>
      <c r="E83" s="2394">
        <v>0</v>
      </c>
      <c r="F83" s="2394">
        <v>0</v>
      </c>
      <c r="G83" s="2394">
        <v>0</v>
      </c>
      <c r="H83" s="2394"/>
      <c r="I83" s="2394">
        <v>0</v>
      </c>
      <c r="J83" s="2394">
        <v>0</v>
      </c>
      <c r="K83" s="2393">
        <f t="shared" si="28"/>
        <v>0</v>
      </c>
      <c r="L83" s="2394">
        <v>0</v>
      </c>
      <c r="M83" s="2394">
        <v>0</v>
      </c>
      <c r="N83" s="2464">
        <v>0</v>
      </c>
    </row>
    <row r="84" spans="1:14" x14ac:dyDescent="0.25">
      <c r="A84" s="2457"/>
      <c r="B84" s="2458" t="s">
        <v>553</v>
      </c>
      <c r="C84" s="2392">
        <f t="shared" si="31"/>
        <v>0</v>
      </c>
      <c r="D84" s="2393">
        <f t="shared" si="27"/>
        <v>0</v>
      </c>
      <c r="E84" s="2394">
        <v>0</v>
      </c>
      <c r="F84" s="2394">
        <v>0</v>
      </c>
      <c r="G84" s="2394">
        <v>0</v>
      </c>
      <c r="H84" s="2394"/>
      <c r="I84" s="2394">
        <v>0</v>
      </c>
      <c r="J84" s="2394">
        <v>0</v>
      </c>
      <c r="K84" s="2393">
        <f t="shared" si="28"/>
        <v>0</v>
      </c>
      <c r="L84" s="2394">
        <v>0</v>
      </c>
      <c r="M84" s="2394">
        <v>0</v>
      </c>
      <c r="N84" s="2464">
        <v>0</v>
      </c>
    </row>
    <row r="85" spans="1:14" x14ac:dyDescent="0.25">
      <c r="A85" s="2457"/>
      <c r="B85" s="2458" t="s">
        <v>889</v>
      </c>
      <c r="C85" s="2392">
        <f t="shared" si="31"/>
        <v>106000</v>
      </c>
      <c r="D85" s="2393">
        <f t="shared" si="27"/>
        <v>90200</v>
      </c>
      <c r="E85" s="2394">
        <v>50200</v>
      </c>
      <c r="F85" s="2394">
        <v>2100</v>
      </c>
      <c r="G85" s="2394">
        <v>2200</v>
      </c>
      <c r="H85" s="2394"/>
      <c r="I85" s="2394">
        <v>5200</v>
      </c>
      <c r="J85" s="2394">
        <v>30500</v>
      </c>
      <c r="K85" s="2393">
        <f t="shared" si="28"/>
        <v>15800</v>
      </c>
      <c r="L85" s="2394">
        <v>10300</v>
      </c>
      <c r="M85" s="2394">
        <v>5300</v>
      </c>
      <c r="N85" s="2464">
        <v>200</v>
      </c>
    </row>
    <row r="86" spans="1:14" x14ac:dyDescent="0.25">
      <c r="A86" s="2457"/>
      <c r="B86" s="2458" t="s">
        <v>890</v>
      </c>
      <c r="C86" s="2392">
        <f t="shared" si="31"/>
        <v>72000</v>
      </c>
      <c r="D86" s="2393">
        <f t="shared" si="27"/>
        <v>32000</v>
      </c>
      <c r="E86" s="2394">
        <v>2000</v>
      </c>
      <c r="F86" s="2394">
        <v>0</v>
      </c>
      <c r="G86" s="2394">
        <v>0</v>
      </c>
      <c r="H86" s="2394"/>
      <c r="I86" s="2394">
        <v>5000</v>
      </c>
      <c r="J86" s="2394">
        <v>25000</v>
      </c>
      <c r="K86" s="2393">
        <f t="shared" si="28"/>
        <v>40000</v>
      </c>
      <c r="L86" s="2394">
        <v>30000</v>
      </c>
      <c r="M86" s="2394">
        <v>10000</v>
      </c>
      <c r="N86" s="2464">
        <v>0</v>
      </c>
    </row>
    <row r="87" spans="1:14" x14ac:dyDescent="0.25">
      <c r="A87" s="2457"/>
      <c r="B87" s="2458" t="s">
        <v>891</v>
      </c>
      <c r="C87" s="2392">
        <f t="shared" si="31"/>
        <v>165000</v>
      </c>
      <c r="D87" s="2393">
        <f t="shared" si="27"/>
        <v>68000</v>
      </c>
      <c r="E87" s="2394">
        <v>10500</v>
      </c>
      <c r="F87" s="2394">
        <v>5250</v>
      </c>
      <c r="G87" s="2394">
        <v>5500</v>
      </c>
      <c r="H87" s="2394"/>
      <c r="I87" s="2394">
        <v>5500</v>
      </c>
      <c r="J87" s="2394">
        <v>41250</v>
      </c>
      <c r="K87" s="2393">
        <f t="shared" si="28"/>
        <v>97000</v>
      </c>
      <c r="L87" s="2394">
        <v>40750</v>
      </c>
      <c r="M87" s="2394">
        <v>40750</v>
      </c>
      <c r="N87" s="2464">
        <v>15500</v>
      </c>
    </row>
    <row r="88" spans="1:14" x14ac:dyDescent="0.25">
      <c r="A88" s="2457"/>
      <c r="B88" s="2458" t="s">
        <v>892</v>
      </c>
      <c r="C88" s="2392">
        <f t="shared" si="31"/>
        <v>90000</v>
      </c>
      <c r="D88" s="2393">
        <f t="shared" si="27"/>
        <v>90000</v>
      </c>
      <c r="E88" s="2394">
        <v>0</v>
      </c>
      <c r="F88" s="2394">
        <v>0</v>
      </c>
      <c r="G88" s="2394">
        <v>80000</v>
      </c>
      <c r="H88" s="2394"/>
      <c r="I88" s="2394">
        <v>10000</v>
      </c>
      <c r="J88" s="2394">
        <v>0</v>
      </c>
      <c r="K88" s="2393">
        <f t="shared" si="28"/>
        <v>0</v>
      </c>
      <c r="L88" s="2394">
        <v>0</v>
      </c>
      <c r="M88" s="2394">
        <v>0</v>
      </c>
      <c r="N88" s="2464">
        <v>0</v>
      </c>
    </row>
    <row r="89" spans="1:14" x14ac:dyDescent="0.25">
      <c r="A89" s="2457"/>
      <c r="B89" s="2458" t="s">
        <v>893</v>
      </c>
      <c r="C89" s="2392">
        <f t="shared" si="31"/>
        <v>50000</v>
      </c>
      <c r="D89" s="2393">
        <f t="shared" si="27"/>
        <v>39200</v>
      </c>
      <c r="E89" s="2394">
        <v>5200</v>
      </c>
      <c r="F89" s="2394">
        <v>5100</v>
      </c>
      <c r="G89" s="2394">
        <v>5200</v>
      </c>
      <c r="H89" s="2394"/>
      <c r="I89" s="2394">
        <v>3200</v>
      </c>
      <c r="J89" s="2394">
        <v>20500</v>
      </c>
      <c r="K89" s="2393">
        <f t="shared" si="28"/>
        <v>10800</v>
      </c>
      <c r="L89" s="2394">
        <v>5300</v>
      </c>
      <c r="M89" s="2394">
        <v>5300</v>
      </c>
      <c r="N89" s="2464">
        <v>200</v>
      </c>
    </row>
    <row r="90" spans="1:14" x14ac:dyDescent="0.25">
      <c r="A90" s="2457"/>
      <c r="B90" s="2458" t="s">
        <v>894</v>
      </c>
      <c r="C90" s="2392">
        <f t="shared" si="31"/>
        <v>110000</v>
      </c>
      <c r="D90" s="2393">
        <f t="shared" si="27"/>
        <v>84000</v>
      </c>
      <c r="E90" s="2394">
        <v>21500</v>
      </c>
      <c r="F90" s="2394">
        <v>500</v>
      </c>
      <c r="G90" s="2394">
        <v>11500</v>
      </c>
      <c r="H90" s="2394"/>
      <c r="I90" s="2394">
        <v>11500</v>
      </c>
      <c r="J90" s="2394">
        <v>39000</v>
      </c>
      <c r="K90" s="2393">
        <f t="shared" si="28"/>
        <v>26000</v>
      </c>
      <c r="L90" s="2394">
        <v>12250</v>
      </c>
      <c r="M90" s="2394">
        <v>12250</v>
      </c>
      <c r="N90" s="2464">
        <v>1500</v>
      </c>
    </row>
    <row r="91" spans="1:14" x14ac:dyDescent="0.25">
      <c r="A91" s="2457"/>
      <c r="B91" s="2458" t="s">
        <v>895</v>
      </c>
      <c r="C91" s="2392">
        <f t="shared" si="31"/>
        <v>855000</v>
      </c>
      <c r="D91" s="2393">
        <f t="shared" si="27"/>
        <v>50000</v>
      </c>
      <c r="E91" s="2394">
        <v>0</v>
      </c>
      <c r="F91" s="2394">
        <v>0</v>
      </c>
      <c r="G91" s="2394">
        <v>0</v>
      </c>
      <c r="H91" s="2394"/>
      <c r="I91" s="2394">
        <v>0</v>
      </c>
      <c r="J91" s="2394">
        <v>50000</v>
      </c>
      <c r="K91" s="2393">
        <f t="shared" si="28"/>
        <v>805000</v>
      </c>
      <c r="L91" s="2394">
        <v>650000</v>
      </c>
      <c r="M91" s="2394">
        <v>150000</v>
      </c>
      <c r="N91" s="2464">
        <v>5000</v>
      </c>
    </row>
    <row r="92" spans="1:14" x14ac:dyDescent="0.25">
      <c r="A92" s="2457"/>
      <c r="B92" s="2458" t="s">
        <v>896</v>
      </c>
      <c r="C92" s="2392">
        <f t="shared" si="31"/>
        <v>71000</v>
      </c>
      <c r="D92" s="2393">
        <f t="shared" si="27"/>
        <v>71000</v>
      </c>
      <c r="E92" s="2394">
        <v>20000</v>
      </c>
      <c r="F92" s="2394">
        <v>0</v>
      </c>
      <c r="G92" s="2394">
        <v>0</v>
      </c>
      <c r="H92" s="2394"/>
      <c r="I92" s="2394">
        <v>0</v>
      </c>
      <c r="J92" s="2394">
        <v>51000</v>
      </c>
      <c r="K92" s="2393">
        <f t="shared" si="28"/>
        <v>0</v>
      </c>
      <c r="L92" s="2394">
        <v>0</v>
      </c>
      <c r="M92" s="2394">
        <v>0</v>
      </c>
      <c r="N92" s="2464">
        <v>0</v>
      </c>
    </row>
    <row r="93" spans="1:14" x14ac:dyDescent="0.25">
      <c r="A93" s="2457"/>
      <c r="B93" s="2458" t="s">
        <v>897</v>
      </c>
      <c r="C93" s="2392">
        <f t="shared" si="31"/>
        <v>70000</v>
      </c>
      <c r="D93" s="2393">
        <f t="shared" si="27"/>
        <v>70000</v>
      </c>
      <c r="E93" s="2394">
        <v>0</v>
      </c>
      <c r="F93" s="2394">
        <v>0</v>
      </c>
      <c r="G93" s="2394">
        <v>40000</v>
      </c>
      <c r="H93" s="2394"/>
      <c r="I93" s="2394">
        <v>0</v>
      </c>
      <c r="J93" s="2394">
        <v>30000</v>
      </c>
      <c r="K93" s="2393">
        <f t="shared" si="28"/>
        <v>0</v>
      </c>
      <c r="L93" s="2394">
        <v>0</v>
      </c>
      <c r="M93" s="2394">
        <v>0</v>
      </c>
      <c r="N93" s="2464">
        <v>0</v>
      </c>
    </row>
    <row r="94" spans="1:14" x14ac:dyDescent="0.25">
      <c r="A94" s="2457"/>
      <c r="B94" s="2458" t="s">
        <v>898</v>
      </c>
      <c r="C94" s="2392">
        <f t="shared" si="31"/>
        <v>80000</v>
      </c>
      <c r="D94" s="2393">
        <f t="shared" si="27"/>
        <v>80000</v>
      </c>
      <c r="E94" s="2394">
        <v>30000</v>
      </c>
      <c r="F94" s="2394">
        <v>0</v>
      </c>
      <c r="G94" s="2394">
        <v>0</v>
      </c>
      <c r="H94" s="2394"/>
      <c r="I94" s="2394">
        <v>0</v>
      </c>
      <c r="J94" s="2394">
        <v>50000</v>
      </c>
      <c r="K94" s="2393">
        <f t="shared" si="28"/>
        <v>0</v>
      </c>
      <c r="L94" s="2394">
        <v>0</v>
      </c>
      <c r="M94" s="2394">
        <v>0</v>
      </c>
      <c r="N94" s="2464">
        <v>0</v>
      </c>
    </row>
    <row r="95" spans="1:14" x14ac:dyDescent="0.25">
      <c r="A95" s="2457"/>
      <c r="B95" s="2458" t="s">
        <v>899</v>
      </c>
      <c r="C95" s="2392">
        <f t="shared" si="31"/>
        <v>25000</v>
      </c>
      <c r="D95" s="2393">
        <f t="shared" si="27"/>
        <v>25000</v>
      </c>
      <c r="E95" s="2394">
        <v>0</v>
      </c>
      <c r="F95" s="2394">
        <v>0</v>
      </c>
      <c r="G95" s="2394">
        <v>0</v>
      </c>
      <c r="H95" s="2394"/>
      <c r="I95" s="2394">
        <v>0</v>
      </c>
      <c r="J95" s="2394">
        <v>25000</v>
      </c>
      <c r="K95" s="2393">
        <f t="shared" si="28"/>
        <v>0</v>
      </c>
      <c r="L95" s="2394">
        <v>0</v>
      </c>
      <c r="M95" s="2394">
        <v>0</v>
      </c>
      <c r="N95" s="2464">
        <v>0</v>
      </c>
    </row>
    <row r="96" spans="1:14" x14ac:dyDescent="0.25">
      <c r="A96" s="2457"/>
      <c r="B96" s="2458"/>
      <c r="C96" s="2392">
        <f t="shared" si="31"/>
        <v>0</v>
      </c>
      <c r="D96" s="2393">
        <f t="shared" si="27"/>
        <v>0</v>
      </c>
      <c r="E96" s="2394">
        <v>0</v>
      </c>
      <c r="F96" s="2394">
        <v>0</v>
      </c>
      <c r="G96" s="2394">
        <v>0</v>
      </c>
      <c r="H96" s="2394"/>
      <c r="I96" s="2394">
        <v>0</v>
      </c>
      <c r="J96" s="2394">
        <v>0</v>
      </c>
      <c r="K96" s="2393">
        <f t="shared" si="28"/>
        <v>0</v>
      </c>
      <c r="L96" s="2394">
        <v>0</v>
      </c>
      <c r="M96" s="2394">
        <v>0</v>
      </c>
      <c r="N96" s="2464">
        <v>0</v>
      </c>
    </row>
    <row r="97" spans="1:14" x14ac:dyDescent="0.25">
      <c r="A97" s="2453">
        <v>5151</v>
      </c>
      <c r="B97" s="2444" t="s">
        <v>900</v>
      </c>
      <c r="C97" s="2393">
        <f t="shared" si="31"/>
        <v>12000</v>
      </c>
      <c r="D97" s="2393">
        <f>SUM(E97:J97)</f>
        <v>12000</v>
      </c>
      <c r="E97" s="2463">
        <v>0</v>
      </c>
      <c r="F97" s="2389">
        <v>0</v>
      </c>
      <c r="G97" s="2389">
        <v>4000</v>
      </c>
      <c r="H97" s="2389"/>
      <c r="I97" s="2389">
        <v>2000</v>
      </c>
      <c r="J97" s="2390">
        <v>6000</v>
      </c>
      <c r="K97" s="2393">
        <f t="shared" si="28"/>
        <v>0</v>
      </c>
      <c r="L97" s="2389"/>
      <c r="M97" s="2389"/>
      <c r="N97" s="2390"/>
    </row>
    <row r="98" spans="1:14" x14ac:dyDescent="0.25">
      <c r="A98" s="2453">
        <v>5151</v>
      </c>
      <c r="B98" s="2444" t="s">
        <v>901</v>
      </c>
      <c r="C98" s="2393">
        <f t="shared" si="31"/>
        <v>24900000</v>
      </c>
      <c r="D98" s="2393">
        <f t="shared" si="27"/>
        <v>0</v>
      </c>
      <c r="E98" s="2384"/>
      <c r="F98" s="2384"/>
      <c r="G98" s="2385"/>
      <c r="H98" s="2385"/>
      <c r="I98" s="2385"/>
      <c r="J98" s="2427"/>
      <c r="K98" s="2393">
        <f t="shared" si="28"/>
        <v>24900000</v>
      </c>
      <c r="L98" s="2427">
        <v>9800000</v>
      </c>
      <c r="M98" s="2465"/>
      <c r="N98" s="2386">
        <v>15100000</v>
      </c>
    </row>
    <row r="99" spans="1:14" x14ac:dyDescent="0.25">
      <c r="A99" s="2453">
        <v>5153</v>
      </c>
      <c r="B99" s="2444" t="s">
        <v>79</v>
      </c>
      <c r="C99" s="2393">
        <f t="shared" si="31"/>
        <v>1050000</v>
      </c>
      <c r="D99" s="2393">
        <f t="shared" si="27"/>
        <v>262000</v>
      </c>
      <c r="E99" s="2463">
        <v>22000</v>
      </c>
      <c r="F99" s="2389">
        <v>5500</v>
      </c>
      <c r="G99" s="2389">
        <v>22000</v>
      </c>
      <c r="H99" s="2389"/>
      <c r="I99" s="2389">
        <v>22000</v>
      </c>
      <c r="J99" s="2390">
        <v>190500</v>
      </c>
      <c r="K99" s="2393">
        <f t="shared" si="28"/>
        <v>788000</v>
      </c>
      <c r="L99" s="2389">
        <v>33000</v>
      </c>
      <c r="M99" s="2389">
        <v>733000</v>
      </c>
      <c r="N99" s="2390">
        <v>22000</v>
      </c>
    </row>
    <row r="100" spans="1:14" x14ac:dyDescent="0.25">
      <c r="A100" s="2453">
        <v>5154</v>
      </c>
      <c r="B100" s="2444" t="s">
        <v>80</v>
      </c>
      <c r="C100" s="2393">
        <f t="shared" si="31"/>
        <v>3860000</v>
      </c>
      <c r="D100" s="2393">
        <f t="shared" si="27"/>
        <v>128000</v>
      </c>
      <c r="E100" s="2463">
        <v>8000</v>
      </c>
      <c r="F100" s="2389">
        <v>2000</v>
      </c>
      <c r="G100" s="2389">
        <v>8000</v>
      </c>
      <c r="H100" s="2389"/>
      <c r="I100" s="2389">
        <v>58000</v>
      </c>
      <c r="J100" s="2390">
        <v>52000</v>
      </c>
      <c r="K100" s="2393">
        <f t="shared" si="28"/>
        <v>3732000</v>
      </c>
      <c r="L100" s="2389">
        <v>612000</v>
      </c>
      <c r="M100" s="2389">
        <v>2012000</v>
      </c>
      <c r="N100" s="2390">
        <v>1108000</v>
      </c>
    </row>
    <row r="101" spans="1:14" x14ac:dyDescent="0.25">
      <c r="A101" s="2453">
        <v>5156</v>
      </c>
      <c r="B101" s="2444" t="s">
        <v>902</v>
      </c>
      <c r="C101" s="2393">
        <f t="shared" si="31"/>
        <v>2310000</v>
      </c>
      <c r="D101" s="2393">
        <f t="shared" si="27"/>
        <v>2160000</v>
      </c>
      <c r="E101" s="2463">
        <v>198000</v>
      </c>
      <c r="F101" s="2389">
        <v>10000</v>
      </c>
      <c r="G101" s="2389">
        <v>1003000</v>
      </c>
      <c r="H101" s="2389"/>
      <c r="I101" s="2389">
        <v>112000</v>
      </c>
      <c r="J101" s="2390">
        <v>837000</v>
      </c>
      <c r="K101" s="2393">
        <f t="shared" si="28"/>
        <v>150000</v>
      </c>
      <c r="L101" s="2389">
        <v>123750</v>
      </c>
      <c r="M101" s="2389">
        <v>3750</v>
      </c>
      <c r="N101" s="2390">
        <v>22500</v>
      </c>
    </row>
    <row r="102" spans="1:14" x14ac:dyDescent="0.25">
      <c r="A102" s="2453">
        <v>5161</v>
      </c>
      <c r="B102" s="2444" t="s">
        <v>82</v>
      </c>
      <c r="C102" s="2393">
        <f t="shared" si="31"/>
        <v>55000</v>
      </c>
      <c r="D102" s="2393">
        <f t="shared" si="27"/>
        <v>7600</v>
      </c>
      <c r="E102" s="2463">
        <v>700</v>
      </c>
      <c r="F102" s="2389">
        <v>200</v>
      </c>
      <c r="G102" s="2389">
        <v>700</v>
      </c>
      <c r="H102" s="2389"/>
      <c r="I102" s="2389">
        <v>1000</v>
      </c>
      <c r="J102" s="2390">
        <v>5000</v>
      </c>
      <c r="K102" s="2393">
        <f t="shared" si="28"/>
        <v>47400</v>
      </c>
      <c r="L102" s="2389">
        <v>23200</v>
      </c>
      <c r="M102" s="2389">
        <v>23200</v>
      </c>
      <c r="N102" s="2390">
        <v>1000</v>
      </c>
    </row>
    <row r="103" spans="1:14" x14ac:dyDescent="0.25">
      <c r="A103" s="2453">
        <v>5162</v>
      </c>
      <c r="B103" s="2444" t="s">
        <v>83</v>
      </c>
      <c r="C103" s="2393">
        <f t="shared" si="31"/>
        <v>113800</v>
      </c>
      <c r="D103" s="2393">
        <f t="shared" si="27"/>
        <v>81000</v>
      </c>
      <c r="E103" s="2463">
        <v>5000</v>
      </c>
      <c r="F103" s="2389">
        <v>2000</v>
      </c>
      <c r="G103" s="2389">
        <v>15000</v>
      </c>
      <c r="H103" s="2389"/>
      <c r="I103" s="2389">
        <v>10500</v>
      </c>
      <c r="J103" s="2390">
        <v>48500</v>
      </c>
      <c r="K103" s="2393">
        <f t="shared" si="28"/>
        <v>32800</v>
      </c>
      <c r="L103" s="2389">
        <v>16550</v>
      </c>
      <c r="M103" s="2389">
        <v>12550</v>
      </c>
      <c r="N103" s="2390">
        <v>3700</v>
      </c>
    </row>
    <row r="104" spans="1:14" x14ac:dyDescent="0.25">
      <c r="A104" s="2453">
        <v>5163</v>
      </c>
      <c r="B104" s="2444" t="s">
        <v>903</v>
      </c>
      <c r="C104" s="2466">
        <f t="shared" si="31"/>
        <v>308000</v>
      </c>
      <c r="D104" s="2393">
        <f t="shared" si="27"/>
        <v>270000</v>
      </c>
      <c r="E104" s="2463">
        <v>23500</v>
      </c>
      <c r="F104" s="2389">
        <v>1000</v>
      </c>
      <c r="G104" s="2389">
        <v>163500</v>
      </c>
      <c r="H104" s="2389"/>
      <c r="I104" s="2389">
        <v>28500</v>
      </c>
      <c r="J104" s="2390">
        <v>53500</v>
      </c>
      <c r="K104" s="2393">
        <f t="shared" si="28"/>
        <v>38000</v>
      </c>
      <c r="L104" s="2467">
        <v>14250</v>
      </c>
      <c r="M104" s="2467">
        <v>14250</v>
      </c>
      <c r="N104" s="2468">
        <v>9500</v>
      </c>
    </row>
    <row r="105" spans="1:14" x14ac:dyDescent="0.25">
      <c r="A105" s="2453">
        <v>5164</v>
      </c>
      <c r="B105" s="2444" t="s">
        <v>85</v>
      </c>
      <c r="C105" s="2393">
        <f t="shared" si="31"/>
        <v>11468000</v>
      </c>
      <c r="D105" s="2393">
        <f t="shared" si="27"/>
        <v>100000</v>
      </c>
      <c r="E105" s="2463">
        <v>40000</v>
      </c>
      <c r="F105" s="2389">
        <v>0</v>
      </c>
      <c r="G105" s="2389">
        <v>30000</v>
      </c>
      <c r="H105" s="2389"/>
      <c r="I105" s="2389">
        <v>30000</v>
      </c>
      <c r="J105" s="2390">
        <v>0</v>
      </c>
      <c r="K105" s="2393">
        <f t="shared" si="28"/>
        <v>11368000</v>
      </c>
      <c r="L105" s="2469">
        <v>3972000</v>
      </c>
      <c r="M105" s="2470">
        <v>7146000</v>
      </c>
      <c r="N105" s="2471">
        <v>250000</v>
      </c>
    </row>
    <row r="106" spans="1:14" x14ac:dyDescent="0.25">
      <c r="A106" s="2453">
        <v>5166</v>
      </c>
      <c r="B106" s="2444" t="s">
        <v>86</v>
      </c>
      <c r="C106" s="2393">
        <f t="shared" si="31"/>
        <v>200000</v>
      </c>
      <c r="D106" s="2393">
        <f t="shared" si="27"/>
        <v>46000</v>
      </c>
      <c r="E106" s="2463">
        <v>8000</v>
      </c>
      <c r="F106" s="2389">
        <v>2000</v>
      </c>
      <c r="G106" s="2389">
        <v>8000</v>
      </c>
      <c r="H106" s="2389"/>
      <c r="I106" s="2389">
        <v>8000</v>
      </c>
      <c r="J106" s="2390">
        <v>20000</v>
      </c>
      <c r="K106" s="2393">
        <f t="shared" si="28"/>
        <v>154000</v>
      </c>
      <c r="L106" s="2389">
        <v>63000</v>
      </c>
      <c r="M106" s="2389">
        <v>63000</v>
      </c>
      <c r="N106" s="2390">
        <v>28000</v>
      </c>
    </row>
    <row r="107" spans="1:14" x14ac:dyDescent="0.25">
      <c r="A107" s="2453">
        <v>5167</v>
      </c>
      <c r="B107" s="2444" t="s">
        <v>87</v>
      </c>
      <c r="C107" s="2393">
        <f t="shared" si="31"/>
        <v>90000</v>
      </c>
      <c r="D107" s="2393">
        <f t="shared" si="27"/>
        <v>67000</v>
      </c>
      <c r="E107" s="2463">
        <v>7000</v>
      </c>
      <c r="F107" s="2389">
        <v>1000</v>
      </c>
      <c r="G107" s="2389">
        <v>12000</v>
      </c>
      <c r="H107" s="2389"/>
      <c r="I107" s="2389">
        <v>12000</v>
      </c>
      <c r="J107" s="2390">
        <v>35000</v>
      </c>
      <c r="K107" s="2393">
        <f t="shared" si="28"/>
        <v>23000</v>
      </c>
      <c r="L107" s="2389">
        <v>13000</v>
      </c>
      <c r="M107" s="2389">
        <v>8000</v>
      </c>
      <c r="N107" s="2390">
        <v>2000</v>
      </c>
    </row>
    <row r="108" spans="1:14" x14ac:dyDescent="0.25">
      <c r="A108" s="2453">
        <v>5168</v>
      </c>
      <c r="B108" s="2444" t="s">
        <v>2191</v>
      </c>
      <c r="C108" s="2393">
        <f t="shared" si="31"/>
        <v>255000</v>
      </c>
      <c r="D108" s="2393">
        <f>SUM(E108:J108)</f>
        <v>125000</v>
      </c>
      <c r="E108" s="2463">
        <v>5000</v>
      </c>
      <c r="F108" s="2389">
        <v>1000</v>
      </c>
      <c r="G108" s="2389">
        <v>50000</v>
      </c>
      <c r="H108" s="2389"/>
      <c r="I108" s="2389">
        <v>6500</v>
      </c>
      <c r="J108" s="2390">
        <v>62500</v>
      </c>
      <c r="K108" s="2393">
        <f t="shared" si="28"/>
        <v>130000</v>
      </c>
      <c r="L108" s="2463">
        <v>57500</v>
      </c>
      <c r="M108" s="2389">
        <v>17500</v>
      </c>
      <c r="N108" s="2390">
        <v>55000</v>
      </c>
    </row>
    <row r="109" spans="1:14" x14ac:dyDescent="0.25">
      <c r="A109" s="2413">
        <v>5169</v>
      </c>
      <c r="B109" s="2426" t="s">
        <v>89</v>
      </c>
      <c r="C109" s="2393">
        <f>SUM(C110:C126)</f>
        <v>10884500</v>
      </c>
      <c r="D109" s="2393">
        <f>SUM(D110:D126)</f>
        <v>7734200</v>
      </c>
      <c r="E109" s="2463">
        <f>SUM(E110:E126)</f>
        <v>75300</v>
      </c>
      <c r="F109" s="2389">
        <f t="shared" ref="F109:J109" si="32">SUM(F110:F126)</f>
        <v>18000</v>
      </c>
      <c r="G109" s="2389">
        <f t="shared" si="32"/>
        <v>3355200</v>
      </c>
      <c r="H109" s="2389">
        <f t="shared" si="32"/>
        <v>0</v>
      </c>
      <c r="I109" s="2389">
        <f t="shared" si="32"/>
        <v>1259200</v>
      </c>
      <c r="J109" s="2390">
        <f t="shared" si="32"/>
        <v>3026500</v>
      </c>
      <c r="K109" s="2383">
        <f>SUM(K110:K126)</f>
        <v>3150300</v>
      </c>
      <c r="L109" s="2463">
        <f>SUM(L110:L126)</f>
        <v>360500</v>
      </c>
      <c r="M109" s="2389">
        <f t="shared" ref="M109:N109" si="33">SUM(M110:M126)</f>
        <v>2658300</v>
      </c>
      <c r="N109" s="2390">
        <f t="shared" si="33"/>
        <v>131500</v>
      </c>
    </row>
    <row r="110" spans="1:14" x14ac:dyDescent="0.25">
      <c r="A110" s="2457"/>
      <c r="B110" s="2458" t="s">
        <v>904</v>
      </c>
      <c r="C110" s="2392">
        <f t="shared" ref="C110:C126" si="34">SUM(D110,K110)</f>
        <v>800000</v>
      </c>
      <c r="D110" s="2393">
        <f t="shared" si="27"/>
        <v>0</v>
      </c>
      <c r="E110" s="2394">
        <v>0</v>
      </c>
      <c r="F110" s="2394">
        <v>0</v>
      </c>
      <c r="G110" s="2394">
        <v>0</v>
      </c>
      <c r="H110" s="2394"/>
      <c r="I110" s="2394">
        <v>0</v>
      </c>
      <c r="J110" s="2394">
        <v>0</v>
      </c>
      <c r="K110" s="2393">
        <f t="shared" si="28"/>
        <v>800000</v>
      </c>
      <c r="L110" s="2394">
        <v>0</v>
      </c>
      <c r="M110" s="2394">
        <v>800000</v>
      </c>
      <c r="N110" s="2464">
        <v>0</v>
      </c>
    </row>
    <row r="111" spans="1:14" x14ac:dyDescent="0.25">
      <c r="A111" s="2457"/>
      <c r="B111" s="2458" t="s">
        <v>1166</v>
      </c>
      <c r="C111" s="2466">
        <f t="shared" si="34"/>
        <v>1640000</v>
      </c>
      <c r="D111" s="2393">
        <f t="shared" si="27"/>
        <v>150000</v>
      </c>
      <c r="E111" s="2394">
        <v>0</v>
      </c>
      <c r="F111" s="2394">
        <v>0</v>
      </c>
      <c r="G111" s="2394">
        <v>0</v>
      </c>
      <c r="H111" s="2394"/>
      <c r="I111" s="2394">
        <v>0</v>
      </c>
      <c r="J111" s="2394">
        <v>150000</v>
      </c>
      <c r="K111" s="2393">
        <f t="shared" si="28"/>
        <v>1490000</v>
      </c>
      <c r="L111" s="2472">
        <v>115000</v>
      </c>
      <c r="M111" s="2472">
        <v>1300000</v>
      </c>
      <c r="N111" s="2473">
        <v>75000</v>
      </c>
    </row>
    <row r="112" spans="1:14" x14ac:dyDescent="0.25">
      <c r="A112" s="2457"/>
      <c r="B112" s="2458" t="s">
        <v>905</v>
      </c>
      <c r="C112" s="2392">
        <f t="shared" si="34"/>
        <v>234000</v>
      </c>
      <c r="D112" s="2393">
        <f t="shared" si="27"/>
        <v>124000</v>
      </c>
      <c r="E112" s="2394">
        <v>13000</v>
      </c>
      <c r="F112" s="2394">
        <v>4000</v>
      </c>
      <c r="G112" s="2394">
        <v>15000</v>
      </c>
      <c r="H112" s="2394"/>
      <c r="I112" s="2394">
        <v>9000</v>
      </c>
      <c r="J112" s="2394">
        <v>83000</v>
      </c>
      <c r="K112" s="2393">
        <f t="shared" si="28"/>
        <v>110000</v>
      </c>
      <c r="L112" s="2394">
        <v>27500</v>
      </c>
      <c r="M112" s="2394">
        <v>57500</v>
      </c>
      <c r="N112" s="2464">
        <v>25000</v>
      </c>
    </row>
    <row r="113" spans="1:14" x14ac:dyDescent="0.25">
      <c r="A113" s="2457"/>
      <c r="B113" s="2458" t="s">
        <v>906</v>
      </c>
      <c r="C113" s="2392">
        <f t="shared" si="34"/>
        <v>200000</v>
      </c>
      <c r="D113" s="2393">
        <f t="shared" si="27"/>
        <v>0</v>
      </c>
      <c r="E113" s="2394">
        <v>0</v>
      </c>
      <c r="F113" s="2394">
        <v>0</v>
      </c>
      <c r="G113" s="2394">
        <v>0</v>
      </c>
      <c r="H113" s="2394"/>
      <c r="I113" s="2394">
        <v>0</v>
      </c>
      <c r="J113" s="2394">
        <v>0</v>
      </c>
      <c r="K113" s="2393">
        <f t="shared" si="28"/>
        <v>200000</v>
      </c>
      <c r="L113" s="2394">
        <v>90000</v>
      </c>
      <c r="M113" s="2394">
        <v>90000</v>
      </c>
      <c r="N113" s="2464">
        <v>20000</v>
      </c>
    </row>
    <row r="114" spans="1:14" x14ac:dyDescent="0.25">
      <c r="A114" s="2457"/>
      <c r="B114" s="2458" t="s">
        <v>907</v>
      </c>
      <c r="C114" s="2392">
        <f t="shared" si="34"/>
        <v>50000</v>
      </c>
      <c r="D114" s="2393">
        <f t="shared" si="27"/>
        <v>0</v>
      </c>
      <c r="E114" s="2394">
        <v>0</v>
      </c>
      <c r="F114" s="2394">
        <v>0</v>
      </c>
      <c r="G114" s="2394">
        <v>0</v>
      </c>
      <c r="H114" s="2394"/>
      <c r="I114" s="2394">
        <v>0</v>
      </c>
      <c r="J114" s="2394">
        <v>0</v>
      </c>
      <c r="K114" s="2393">
        <f t="shared" si="28"/>
        <v>50000</v>
      </c>
      <c r="L114" s="2394">
        <v>0</v>
      </c>
      <c r="M114" s="2394">
        <v>50000</v>
      </c>
      <c r="N114" s="2464">
        <v>0</v>
      </c>
    </row>
    <row r="115" spans="1:14" x14ac:dyDescent="0.25">
      <c r="A115" s="2457"/>
      <c r="B115" s="2458" t="s">
        <v>908</v>
      </c>
      <c r="C115" s="2392">
        <f t="shared" si="34"/>
        <v>56000</v>
      </c>
      <c r="D115" s="2393">
        <f t="shared" si="27"/>
        <v>45200</v>
      </c>
      <c r="E115" s="2394">
        <v>1300</v>
      </c>
      <c r="F115" s="2394">
        <v>1000</v>
      </c>
      <c r="G115" s="2394">
        <v>12200</v>
      </c>
      <c r="H115" s="2394"/>
      <c r="I115" s="2394">
        <v>5200</v>
      </c>
      <c r="J115" s="2394">
        <v>25500</v>
      </c>
      <c r="K115" s="2393">
        <f t="shared" si="28"/>
        <v>10800</v>
      </c>
      <c r="L115" s="2394">
        <v>6000</v>
      </c>
      <c r="M115" s="2394">
        <v>4300</v>
      </c>
      <c r="N115" s="2464">
        <v>500</v>
      </c>
    </row>
    <row r="116" spans="1:14" x14ac:dyDescent="0.25">
      <c r="A116" s="2457"/>
      <c r="B116" s="2458" t="s">
        <v>909</v>
      </c>
      <c r="C116" s="2392">
        <f t="shared" si="34"/>
        <v>0</v>
      </c>
      <c r="D116" s="2393">
        <f t="shared" si="27"/>
        <v>0</v>
      </c>
      <c r="E116" s="2394">
        <v>0</v>
      </c>
      <c r="F116" s="2394">
        <v>0</v>
      </c>
      <c r="G116" s="2394">
        <v>0</v>
      </c>
      <c r="H116" s="2394"/>
      <c r="I116" s="2394">
        <v>0</v>
      </c>
      <c r="J116" s="2394">
        <v>0</v>
      </c>
      <c r="K116" s="2393">
        <f t="shared" si="28"/>
        <v>0</v>
      </c>
      <c r="L116" s="2394">
        <v>0</v>
      </c>
      <c r="M116" s="2394">
        <v>0</v>
      </c>
      <c r="N116" s="2464">
        <v>0</v>
      </c>
    </row>
    <row r="117" spans="1:14" x14ac:dyDescent="0.25">
      <c r="A117" s="2457"/>
      <c r="B117" s="2458" t="s">
        <v>1725</v>
      </c>
      <c r="C117" s="2392">
        <f t="shared" si="34"/>
        <v>1550000</v>
      </c>
      <c r="D117" s="2393">
        <f t="shared" si="27"/>
        <v>1550000</v>
      </c>
      <c r="E117" s="2394">
        <v>0</v>
      </c>
      <c r="F117" s="2394">
        <v>0</v>
      </c>
      <c r="G117" s="2394">
        <v>0</v>
      </c>
      <c r="H117" s="2394"/>
      <c r="I117" s="2394">
        <v>0</v>
      </c>
      <c r="J117" s="2394">
        <v>1550000</v>
      </c>
      <c r="K117" s="2393">
        <f t="shared" si="28"/>
        <v>0</v>
      </c>
      <c r="L117" s="2394">
        <v>0</v>
      </c>
      <c r="M117" s="2394">
        <v>0</v>
      </c>
      <c r="N117" s="2464">
        <v>0</v>
      </c>
    </row>
    <row r="118" spans="1:14" x14ac:dyDescent="0.25">
      <c r="A118" s="2457"/>
      <c r="B118" s="2458" t="s">
        <v>911</v>
      </c>
      <c r="C118" s="2392">
        <f t="shared" si="34"/>
        <v>3700000</v>
      </c>
      <c r="D118" s="2393">
        <f t="shared" si="27"/>
        <v>3700000</v>
      </c>
      <c r="E118" s="2394">
        <v>0</v>
      </c>
      <c r="F118" s="2394">
        <v>0</v>
      </c>
      <c r="G118" s="2472">
        <v>2700000</v>
      </c>
      <c r="H118" s="2394"/>
      <c r="I118" s="2394">
        <v>1000000</v>
      </c>
      <c r="J118" s="2394">
        <v>0</v>
      </c>
      <c r="K118" s="2393">
        <f t="shared" si="28"/>
        <v>0</v>
      </c>
      <c r="L118" s="2394">
        <v>0</v>
      </c>
      <c r="M118" s="2394">
        <v>0</v>
      </c>
      <c r="N118" s="2464">
        <v>0</v>
      </c>
    </row>
    <row r="119" spans="1:14" x14ac:dyDescent="0.25">
      <c r="A119" s="2457"/>
      <c r="B119" s="2458" t="s">
        <v>912</v>
      </c>
      <c r="C119" s="2392">
        <f t="shared" si="34"/>
        <v>550000</v>
      </c>
      <c r="D119" s="2393">
        <f>SUM(E119:J119)</f>
        <v>550000</v>
      </c>
      <c r="E119" s="2394">
        <v>0</v>
      </c>
      <c r="F119" s="2394">
        <v>0</v>
      </c>
      <c r="G119" s="2472">
        <v>350000</v>
      </c>
      <c r="H119" s="2394"/>
      <c r="I119" s="2394">
        <v>200000</v>
      </c>
      <c r="J119" s="2394">
        <v>0</v>
      </c>
      <c r="K119" s="2393">
        <f t="shared" si="28"/>
        <v>0</v>
      </c>
      <c r="L119" s="2394">
        <v>0</v>
      </c>
      <c r="M119" s="2394">
        <v>0</v>
      </c>
      <c r="N119" s="2464">
        <v>0</v>
      </c>
    </row>
    <row r="120" spans="1:14" x14ac:dyDescent="0.25">
      <c r="A120" s="2457"/>
      <c r="B120" s="2458" t="s">
        <v>913</v>
      </c>
      <c r="C120" s="2392">
        <f t="shared" si="34"/>
        <v>250000</v>
      </c>
      <c r="D120" s="2393">
        <f t="shared" si="27"/>
        <v>250000</v>
      </c>
      <c r="E120" s="2394">
        <v>0</v>
      </c>
      <c r="F120" s="2394">
        <v>0</v>
      </c>
      <c r="G120" s="2472">
        <v>250000</v>
      </c>
      <c r="H120" s="2394"/>
      <c r="I120" s="2394">
        <v>0</v>
      </c>
      <c r="J120" s="2394">
        <v>0</v>
      </c>
      <c r="K120" s="2393">
        <f t="shared" si="28"/>
        <v>0</v>
      </c>
      <c r="L120" s="2394">
        <v>0</v>
      </c>
      <c r="M120" s="2394">
        <v>0</v>
      </c>
      <c r="N120" s="2464">
        <v>0</v>
      </c>
    </row>
    <row r="121" spans="1:14" x14ac:dyDescent="0.25">
      <c r="A121" s="2457"/>
      <c r="B121" s="2458" t="s">
        <v>914</v>
      </c>
      <c r="C121" s="2392">
        <f t="shared" si="34"/>
        <v>150000</v>
      </c>
      <c r="D121" s="2393">
        <f t="shared" si="27"/>
        <v>150000</v>
      </c>
      <c r="E121" s="2394">
        <v>0</v>
      </c>
      <c r="F121" s="2394">
        <v>0</v>
      </c>
      <c r="G121" s="2394">
        <v>0</v>
      </c>
      <c r="H121" s="2394"/>
      <c r="I121" s="2394">
        <v>0</v>
      </c>
      <c r="J121" s="2394">
        <v>150000</v>
      </c>
      <c r="K121" s="2393">
        <f t="shared" si="28"/>
        <v>0</v>
      </c>
      <c r="L121" s="2394">
        <v>0</v>
      </c>
      <c r="M121" s="2394">
        <v>0</v>
      </c>
      <c r="N121" s="2464">
        <v>0</v>
      </c>
    </row>
    <row r="122" spans="1:14" x14ac:dyDescent="0.25">
      <c r="A122" s="2457"/>
      <c r="B122" s="2458" t="s">
        <v>915</v>
      </c>
      <c r="C122" s="2392">
        <f t="shared" si="34"/>
        <v>22500</v>
      </c>
      <c r="D122" s="2393">
        <f t="shared" si="27"/>
        <v>17000</v>
      </c>
      <c r="E122" s="2394">
        <v>2000</v>
      </c>
      <c r="F122" s="2394">
        <v>1000</v>
      </c>
      <c r="G122" s="2394">
        <v>4000</v>
      </c>
      <c r="H122" s="2394"/>
      <c r="I122" s="2394">
        <v>2000</v>
      </c>
      <c r="J122" s="2394">
        <v>8000</v>
      </c>
      <c r="K122" s="2393">
        <f t="shared" si="28"/>
        <v>5500</v>
      </c>
      <c r="L122" s="2394">
        <v>2500</v>
      </c>
      <c r="M122" s="2394">
        <v>2000</v>
      </c>
      <c r="N122" s="2464">
        <v>1000</v>
      </c>
    </row>
    <row r="123" spans="1:14" x14ac:dyDescent="0.25">
      <c r="A123" s="2457"/>
      <c r="B123" s="2458" t="s">
        <v>916</v>
      </c>
      <c r="C123" s="2392">
        <f t="shared" si="34"/>
        <v>8000</v>
      </c>
      <c r="D123" s="2393">
        <f t="shared" si="27"/>
        <v>5000</v>
      </c>
      <c r="E123" s="2394">
        <v>0</v>
      </c>
      <c r="F123" s="2394">
        <v>0</v>
      </c>
      <c r="G123" s="2394">
        <v>0</v>
      </c>
      <c r="H123" s="2394"/>
      <c r="I123" s="2394">
        <v>0</v>
      </c>
      <c r="J123" s="2394">
        <v>5000</v>
      </c>
      <c r="K123" s="2393">
        <f t="shared" si="28"/>
        <v>3000</v>
      </c>
      <c r="L123" s="2394">
        <v>1000</v>
      </c>
      <c r="M123" s="2394">
        <v>1000</v>
      </c>
      <c r="N123" s="2464">
        <v>1000</v>
      </c>
    </row>
    <row r="124" spans="1:14" x14ac:dyDescent="0.25">
      <c r="A124" s="2457"/>
      <c r="B124" s="2458" t="s">
        <v>917</v>
      </c>
      <c r="C124" s="2392">
        <f t="shared" si="34"/>
        <v>720000</v>
      </c>
      <c r="D124" s="2393">
        <f t="shared" si="27"/>
        <v>354000</v>
      </c>
      <c r="E124" s="2394">
        <v>59000</v>
      </c>
      <c r="F124" s="2394">
        <v>12000</v>
      </c>
      <c r="G124" s="2394">
        <v>24000</v>
      </c>
      <c r="H124" s="2394"/>
      <c r="I124" s="2394">
        <v>34000</v>
      </c>
      <c r="J124" s="2394">
        <v>225000</v>
      </c>
      <c r="K124" s="2393">
        <f t="shared" si="28"/>
        <v>366000</v>
      </c>
      <c r="L124" s="2394">
        <v>73500</v>
      </c>
      <c r="M124" s="2394">
        <v>283500</v>
      </c>
      <c r="N124" s="2464">
        <v>9000</v>
      </c>
    </row>
    <row r="125" spans="1:14" x14ac:dyDescent="0.25">
      <c r="A125" s="2457"/>
      <c r="B125" s="2458" t="s">
        <v>918</v>
      </c>
      <c r="C125" s="2392">
        <f t="shared" si="34"/>
        <v>124000</v>
      </c>
      <c r="D125" s="2393">
        <f t="shared" si="27"/>
        <v>24000</v>
      </c>
      <c r="E125" s="2394">
        <v>0</v>
      </c>
      <c r="F125" s="2394">
        <v>0</v>
      </c>
      <c r="G125" s="2394">
        <v>0</v>
      </c>
      <c r="H125" s="2394"/>
      <c r="I125" s="2394">
        <v>9000</v>
      </c>
      <c r="J125" s="2394">
        <v>15000</v>
      </c>
      <c r="K125" s="2393">
        <f t="shared" si="28"/>
        <v>100000</v>
      </c>
      <c r="L125" s="2394">
        <v>40000</v>
      </c>
      <c r="M125" s="2394">
        <v>60000</v>
      </c>
      <c r="N125" s="2464">
        <v>0</v>
      </c>
    </row>
    <row r="126" spans="1:14" x14ac:dyDescent="0.25">
      <c r="A126" s="2457"/>
      <c r="B126" s="2458" t="s">
        <v>919</v>
      </c>
      <c r="C126" s="2392">
        <f t="shared" si="34"/>
        <v>830000</v>
      </c>
      <c r="D126" s="2393">
        <f t="shared" ref="D126:D142" si="35">SUM(E126:J126)</f>
        <v>815000</v>
      </c>
      <c r="E126" s="2394">
        <v>0</v>
      </c>
      <c r="F126" s="2394">
        <v>0</v>
      </c>
      <c r="G126" s="2394">
        <v>0</v>
      </c>
      <c r="H126" s="2394"/>
      <c r="I126" s="2394"/>
      <c r="J126" s="2394">
        <v>815000</v>
      </c>
      <c r="K126" s="2393">
        <f t="shared" ref="K126" si="36">SUM(L126:N126)</f>
        <v>15000</v>
      </c>
      <c r="L126" s="2394">
        <v>5000</v>
      </c>
      <c r="M126" s="2394">
        <v>10000</v>
      </c>
      <c r="N126" s="2464"/>
    </row>
    <row r="127" spans="1:14" x14ac:dyDescent="0.25">
      <c r="A127" s="2413">
        <v>5171</v>
      </c>
      <c r="B127" s="2426" t="s">
        <v>90</v>
      </c>
      <c r="C127" s="2388">
        <f>SUM(C128:C131)</f>
        <v>3180000</v>
      </c>
      <c r="D127" s="2393">
        <f>SUM(D128:D131)</f>
        <v>803000</v>
      </c>
      <c r="E127" s="2463">
        <f>SUM(E128:E131)</f>
        <v>49500</v>
      </c>
      <c r="F127" s="2389">
        <f t="shared" ref="F127:J127" si="37">SUM(F128:F131)</f>
        <v>3000</v>
      </c>
      <c r="G127" s="2389">
        <f t="shared" si="37"/>
        <v>308500</v>
      </c>
      <c r="H127" s="2389">
        <f t="shared" si="37"/>
        <v>0</v>
      </c>
      <c r="I127" s="2389">
        <f t="shared" si="37"/>
        <v>76000</v>
      </c>
      <c r="J127" s="2390">
        <f t="shared" si="37"/>
        <v>366000</v>
      </c>
      <c r="K127" s="2383">
        <f>SUM(K128:K131)</f>
        <v>2377000</v>
      </c>
      <c r="L127" s="2474">
        <f>SUM(L128:L131)</f>
        <v>1539000</v>
      </c>
      <c r="M127" s="2474">
        <f t="shared" ref="M127" si="38">SUM(M128:M131)</f>
        <v>608000</v>
      </c>
      <c r="N127" s="2475">
        <f>SUM(N128:N131)</f>
        <v>230000</v>
      </c>
    </row>
    <row r="128" spans="1:14" x14ac:dyDescent="0.25">
      <c r="A128" s="2457"/>
      <c r="B128" s="2458" t="s">
        <v>920</v>
      </c>
      <c r="C128" s="2392">
        <f t="shared" ref="C128:C140" si="39">SUM(D128,K128)</f>
        <v>782000</v>
      </c>
      <c r="D128" s="2393">
        <f>SUM(E128:J128)</f>
        <v>602000</v>
      </c>
      <c r="E128" s="2394">
        <v>41000</v>
      </c>
      <c r="F128" s="2394">
        <v>1000</v>
      </c>
      <c r="G128" s="2394">
        <v>300000</v>
      </c>
      <c r="H128" s="2394"/>
      <c r="I128" s="2394">
        <v>50000</v>
      </c>
      <c r="J128" s="2394">
        <v>210000</v>
      </c>
      <c r="K128" s="2393">
        <f t="shared" ref="K128:K140" si="40">SUM(L128:N128)</f>
        <v>180000</v>
      </c>
      <c r="L128" s="2394">
        <v>100000</v>
      </c>
      <c r="M128" s="2394"/>
      <c r="N128" s="2464">
        <v>80000</v>
      </c>
    </row>
    <row r="129" spans="1:14" x14ac:dyDescent="0.25">
      <c r="A129" s="2457"/>
      <c r="B129" s="2458" t="s">
        <v>921</v>
      </c>
      <c r="C129" s="2392">
        <f t="shared" si="39"/>
        <v>410000</v>
      </c>
      <c r="D129" s="2393">
        <f t="shared" si="35"/>
        <v>101000</v>
      </c>
      <c r="E129" s="2394">
        <v>3500</v>
      </c>
      <c r="F129" s="2394">
        <v>1000</v>
      </c>
      <c r="G129" s="2394">
        <v>3500</v>
      </c>
      <c r="H129" s="2394"/>
      <c r="I129" s="2394">
        <v>21000</v>
      </c>
      <c r="J129" s="2394">
        <v>72000</v>
      </c>
      <c r="K129" s="2393">
        <f t="shared" si="40"/>
        <v>309000</v>
      </c>
      <c r="L129" s="2394">
        <v>139000</v>
      </c>
      <c r="M129" s="2394">
        <v>100000</v>
      </c>
      <c r="N129" s="2464">
        <v>70000</v>
      </c>
    </row>
    <row r="130" spans="1:14" x14ac:dyDescent="0.25">
      <c r="A130" s="2457"/>
      <c r="B130" s="2458" t="s">
        <v>922</v>
      </c>
      <c r="C130" s="2392">
        <f t="shared" si="39"/>
        <v>488000</v>
      </c>
      <c r="D130" s="2393">
        <f t="shared" si="35"/>
        <v>100000</v>
      </c>
      <c r="E130" s="2394">
        <v>5000</v>
      </c>
      <c r="F130" s="2394">
        <v>1000</v>
      </c>
      <c r="G130" s="2394">
        <v>5000</v>
      </c>
      <c r="H130" s="2394"/>
      <c r="I130" s="2394">
        <v>5000</v>
      </c>
      <c r="J130" s="2394">
        <v>84000</v>
      </c>
      <c r="K130" s="2393">
        <f t="shared" si="40"/>
        <v>388000</v>
      </c>
      <c r="L130" s="2394">
        <v>100000</v>
      </c>
      <c r="M130" s="2394">
        <v>208000</v>
      </c>
      <c r="N130" s="2464">
        <v>80000</v>
      </c>
    </row>
    <row r="131" spans="1:14" x14ac:dyDescent="0.25">
      <c r="A131" s="2457"/>
      <c r="B131" s="2458" t="s">
        <v>923</v>
      </c>
      <c r="C131" s="2392">
        <f t="shared" si="39"/>
        <v>1500000</v>
      </c>
      <c r="D131" s="2393">
        <f>SUM(E131:J131)</f>
        <v>0</v>
      </c>
      <c r="E131" s="2394">
        <v>0</v>
      </c>
      <c r="F131" s="2394">
        <v>0</v>
      </c>
      <c r="G131" s="2394">
        <v>0</v>
      </c>
      <c r="H131" s="2394"/>
      <c r="I131" s="2394">
        <v>0</v>
      </c>
      <c r="J131" s="2394">
        <v>0</v>
      </c>
      <c r="K131" s="2393">
        <f t="shared" si="40"/>
        <v>1500000</v>
      </c>
      <c r="L131" s="2394">
        <v>1200000</v>
      </c>
      <c r="M131" s="2394">
        <v>300000</v>
      </c>
      <c r="N131" s="2464">
        <v>0</v>
      </c>
    </row>
    <row r="132" spans="1:14" x14ac:dyDescent="0.25">
      <c r="A132" s="2453">
        <v>5173</v>
      </c>
      <c r="B132" s="2444" t="s">
        <v>92</v>
      </c>
      <c r="C132" s="2393">
        <f t="shared" si="39"/>
        <v>20000</v>
      </c>
      <c r="D132" s="2393">
        <f t="shared" si="35"/>
        <v>12000</v>
      </c>
      <c r="E132" s="2463">
        <v>2000</v>
      </c>
      <c r="F132" s="2389">
        <v>1000</v>
      </c>
      <c r="G132" s="2389">
        <v>2000</v>
      </c>
      <c r="H132" s="2389"/>
      <c r="I132" s="2389">
        <v>2000</v>
      </c>
      <c r="J132" s="2390">
        <v>5000</v>
      </c>
      <c r="K132" s="2393">
        <f t="shared" si="40"/>
        <v>8000</v>
      </c>
      <c r="L132" s="2389">
        <v>3000</v>
      </c>
      <c r="M132" s="2389">
        <v>3000</v>
      </c>
      <c r="N132" s="2390">
        <v>2000</v>
      </c>
    </row>
    <row r="133" spans="1:14" x14ac:dyDescent="0.25">
      <c r="A133" s="2453" t="s">
        <v>925</v>
      </c>
      <c r="B133" s="2444" t="s">
        <v>926</v>
      </c>
      <c r="C133" s="2393">
        <f t="shared" si="39"/>
        <v>50000</v>
      </c>
      <c r="D133" s="2393">
        <f t="shared" si="35"/>
        <v>34000</v>
      </c>
      <c r="E133" s="2463">
        <v>4000</v>
      </c>
      <c r="F133" s="2389">
        <v>2000</v>
      </c>
      <c r="G133" s="2389">
        <v>4000</v>
      </c>
      <c r="H133" s="2389"/>
      <c r="I133" s="2389">
        <v>4000</v>
      </c>
      <c r="J133" s="2390">
        <v>20000</v>
      </c>
      <c r="K133" s="2393">
        <f>SUM(L133:N133)</f>
        <v>16000</v>
      </c>
      <c r="L133" s="2389">
        <v>6000</v>
      </c>
      <c r="M133" s="2389">
        <v>6000</v>
      </c>
      <c r="N133" s="2390">
        <v>4000</v>
      </c>
    </row>
    <row r="134" spans="1:14" x14ac:dyDescent="0.25">
      <c r="A134" s="2453" t="s">
        <v>927</v>
      </c>
      <c r="B134" s="2444" t="s">
        <v>928</v>
      </c>
      <c r="C134" s="2393">
        <f t="shared" si="39"/>
        <v>0</v>
      </c>
      <c r="D134" s="2393">
        <f t="shared" si="35"/>
        <v>0</v>
      </c>
      <c r="E134" s="2463">
        <v>0</v>
      </c>
      <c r="F134" s="2389">
        <v>0</v>
      </c>
      <c r="G134" s="2389">
        <v>0</v>
      </c>
      <c r="H134" s="2389"/>
      <c r="I134" s="2389">
        <v>0</v>
      </c>
      <c r="J134" s="2390">
        <v>0</v>
      </c>
      <c r="K134" s="2393">
        <f t="shared" si="40"/>
        <v>0</v>
      </c>
      <c r="L134" s="2389">
        <v>0</v>
      </c>
      <c r="M134" s="2389">
        <v>0</v>
      </c>
      <c r="N134" s="2390">
        <v>0</v>
      </c>
    </row>
    <row r="135" spans="1:14" x14ac:dyDescent="0.25">
      <c r="A135" s="2453" t="s">
        <v>929</v>
      </c>
      <c r="B135" s="2444" t="s">
        <v>930</v>
      </c>
      <c r="C135" s="2393">
        <f t="shared" si="39"/>
        <v>3024000</v>
      </c>
      <c r="D135" s="2393">
        <f t="shared" si="35"/>
        <v>2619000</v>
      </c>
      <c r="E135" s="2463">
        <v>265000</v>
      </c>
      <c r="F135" s="2389">
        <v>4000</v>
      </c>
      <c r="G135" s="2389">
        <v>1015000</v>
      </c>
      <c r="H135" s="2389"/>
      <c r="I135" s="2389">
        <v>235000</v>
      </c>
      <c r="J135" s="2390">
        <v>1100000</v>
      </c>
      <c r="K135" s="2393">
        <f t="shared" si="40"/>
        <v>405000</v>
      </c>
      <c r="L135" s="2389">
        <v>123000</v>
      </c>
      <c r="M135" s="2389">
        <v>217000</v>
      </c>
      <c r="N135" s="2390">
        <v>65000</v>
      </c>
    </row>
    <row r="136" spans="1:14" x14ac:dyDescent="0.25">
      <c r="A136" s="2453" t="s">
        <v>931</v>
      </c>
      <c r="B136" s="2444" t="s">
        <v>932</v>
      </c>
      <c r="C136" s="2393">
        <f t="shared" si="39"/>
        <v>0</v>
      </c>
      <c r="D136" s="2393">
        <f t="shared" si="35"/>
        <v>0</v>
      </c>
      <c r="E136" s="2463">
        <v>0</v>
      </c>
      <c r="F136" s="2389">
        <v>0</v>
      </c>
      <c r="G136" s="2389">
        <v>0</v>
      </c>
      <c r="H136" s="2389"/>
      <c r="I136" s="2389">
        <v>0</v>
      </c>
      <c r="J136" s="2390">
        <v>0</v>
      </c>
      <c r="K136" s="2393">
        <f t="shared" si="40"/>
        <v>0</v>
      </c>
      <c r="L136" s="2389">
        <v>0</v>
      </c>
      <c r="M136" s="2389">
        <v>0</v>
      </c>
      <c r="N136" s="2390">
        <v>0</v>
      </c>
    </row>
    <row r="137" spans="1:14" x14ac:dyDescent="0.25">
      <c r="A137" s="2453" t="s">
        <v>933</v>
      </c>
      <c r="B137" s="2444" t="s">
        <v>934</v>
      </c>
      <c r="C137" s="2393">
        <f t="shared" si="39"/>
        <v>110000</v>
      </c>
      <c r="D137" s="2393">
        <f t="shared" si="35"/>
        <v>83000</v>
      </c>
      <c r="E137" s="2463">
        <v>11000</v>
      </c>
      <c r="F137" s="2389">
        <v>0</v>
      </c>
      <c r="G137" s="2389">
        <v>56000</v>
      </c>
      <c r="H137" s="2389"/>
      <c r="I137" s="2389">
        <v>11000</v>
      </c>
      <c r="J137" s="2390">
        <v>5000</v>
      </c>
      <c r="K137" s="2393">
        <f t="shared" si="40"/>
        <v>27000</v>
      </c>
      <c r="L137" s="2389">
        <v>25750</v>
      </c>
      <c r="M137" s="2389">
        <v>750</v>
      </c>
      <c r="N137" s="2390">
        <v>500</v>
      </c>
    </row>
    <row r="138" spans="1:14" x14ac:dyDescent="0.25">
      <c r="A138" s="2453" t="s">
        <v>935</v>
      </c>
      <c r="B138" s="2444" t="s">
        <v>936</v>
      </c>
      <c r="C138" s="2393">
        <f t="shared" si="39"/>
        <v>0</v>
      </c>
      <c r="D138" s="2393">
        <f t="shared" si="35"/>
        <v>0</v>
      </c>
      <c r="E138" s="2463">
        <v>0</v>
      </c>
      <c r="F138" s="2389">
        <v>0</v>
      </c>
      <c r="G138" s="2389">
        <v>0</v>
      </c>
      <c r="H138" s="2389"/>
      <c r="I138" s="2389">
        <v>0</v>
      </c>
      <c r="J138" s="2390">
        <v>0</v>
      </c>
      <c r="K138" s="2393">
        <f t="shared" si="40"/>
        <v>0</v>
      </c>
      <c r="L138" s="2389">
        <v>0</v>
      </c>
      <c r="M138" s="2389">
        <v>0</v>
      </c>
      <c r="N138" s="2390">
        <v>0</v>
      </c>
    </row>
    <row r="139" spans="1:14" x14ac:dyDescent="0.25">
      <c r="A139" s="2453" t="s">
        <v>937</v>
      </c>
      <c r="B139" s="2444" t="s">
        <v>938</v>
      </c>
      <c r="C139" s="2393">
        <f t="shared" si="39"/>
        <v>20000</v>
      </c>
      <c r="D139" s="2393">
        <f t="shared" si="35"/>
        <v>20000</v>
      </c>
      <c r="E139" s="2463">
        <v>0</v>
      </c>
      <c r="F139" s="2389">
        <v>0</v>
      </c>
      <c r="G139" s="2389">
        <v>0</v>
      </c>
      <c r="H139" s="2389"/>
      <c r="I139" s="2389">
        <v>0</v>
      </c>
      <c r="J139" s="2390">
        <v>20000</v>
      </c>
      <c r="K139" s="2393">
        <f t="shared" si="40"/>
        <v>0</v>
      </c>
      <c r="L139" s="2389">
        <v>0</v>
      </c>
      <c r="M139" s="2389">
        <v>0</v>
      </c>
      <c r="N139" s="2390">
        <v>0</v>
      </c>
    </row>
    <row r="140" spans="1:14" x14ac:dyDescent="0.25">
      <c r="A140" s="2453" t="s">
        <v>939</v>
      </c>
      <c r="B140" s="2444" t="s">
        <v>940</v>
      </c>
      <c r="C140" s="2393">
        <f t="shared" si="39"/>
        <v>60000</v>
      </c>
      <c r="D140" s="2393">
        <f t="shared" si="35"/>
        <v>20000</v>
      </c>
      <c r="E140" s="2463">
        <v>0</v>
      </c>
      <c r="F140" s="2389">
        <v>0</v>
      </c>
      <c r="G140" s="2389">
        <v>0</v>
      </c>
      <c r="H140" s="2389"/>
      <c r="I140" s="2389">
        <v>0</v>
      </c>
      <c r="J140" s="2390">
        <v>20000</v>
      </c>
      <c r="K140" s="2393">
        <f t="shared" si="40"/>
        <v>40000</v>
      </c>
      <c r="L140" s="2389">
        <v>15000</v>
      </c>
      <c r="M140" s="2389">
        <v>15000</v>
      </c>
      <c r="N140" s="2390">
        <v>10000</v>
      </c>
    </row>
    <row r="141" spans="1:14" ht="15.75" thickBot="1" x14ac:dyDescent="0.3">
      <c r="A141" s="2428" t="s">
        <v>349</v>
      </c>
      <c r="B141" s="2448"/>
      <c r="C141" s="2431">
        <f>SUM(C132:C140,C127,C97:C109,C69:C73,C61)</f>
        <v>70094391</v>
      </c>
      <c r="D141" s="2431">
        <f>SUM(D132:D140,D127,D97:D109,D69:D73,D61)</f>
        <v>19497291</v>
      </c>
      <c r="E141" s="2449">
        <f>SUM(E132:E140)+E127+E109+SUM(E97:E108)+E73+SUM(E69:E72)+E61</f>
        <v>950100</v>
      </c>
      <c r="F141" s="2449">
        <f t="shared" ref="F141:J141" si="41">SUM(F132:F140)+F127+F109+SUM(F97:F108)+F73+SUM(F69:F72)+F61</f>
        <v>88250</v>
      </c>
      <c r="G141" s="2449">
        <f t="shared" si="41"/>
        <v>7635344</v>
      </c>
      <c r="H141" s="2449">
        <f t="shared" si="41"/>
        <v>450000</v>
      </c>
      <c r="I141" s="2449">
        <f t="shared" si="41"/>
        <v>2563800</v>
      </c>
      <c r="J141" s="2449">
        <f t="shared" si="41"/>
        <v>7809797</v>
      </c>
      <c r="K141" s="2431">
        <f>SUM(K132:K140,K127,K97:K109,K69:K73,K61)</f>
        <v>50597100</v>
      </c>
      <c r="L141" s="2449">
        <f t="shared" ref="L141" si="42">SUM(L132:L140)+L127+L109+SUM(L97:L108)+L73+SUM(L69:L72)+L61</f>
        <v>18799100</v>
      </c>
      <c r="M141" s="2449">
        <f t="shared" ref="M141" si="43">SUM(M132:M140)+M127+M109+SUM(M97:M108)+M73+SUM(M69:M72)+M61</f>
        <v>14382400</v>
      </c>
      <c r="N141" s="2476">
        <f t="shared" ref="N141" si="44">SUM(N132:N140)+N127+N109+SUM(N97:N108)+N73+SUM(N69:N72)+N61</f>
        <v>17415600</v>
      </c>
    </row>
    <row r="142" spans="1:14" x14ac:dyDescent="0.25">
      <c r="A142" s="2453">
        <v>5141</v>
      </c>
      <c r="B142" s="2444" t="s">
        <v>7</v>
      </c>
      <c r="C142" s="2392">
        <f>SUM(D142,K142)</f>
        <v>280000</v>
      </c>
      <c r="D142" s="2393">
        <f t="shared" si="35"/>
        <v>280000</v>
      </c>
      <c r="E142" s="2477"/>
      <c r="F142" s="2477"/>
      <c r="G142" s="2478">
        <v>236000</v>
      </c>
      <c r="H142" s="2479"/>
      <c r="I142" s="2479"/>
      <c r="J142" s="2478">
        <v>44000</v>
      </c>
      <c r="K142" s="2480">
        <f>SUM(L142:N142)</f>
        <v>0</v>
      </c>
      <c r="L142" s="2478">
        <v>0</v>
      </c>
      <c r="M142" s="2481">
        <v>0</v>
      </c>
      <c r="N142" s="2482">
        <v>0</v>
      </c>
    </row>
    <row r="143" spans="1:14" ht="15.75" thickBot="1" x14ac:dyDescent="0.3">
      <c r="A143" s="2447" t="s">
        <v>104</v>
      </c>
      <c r="B143" s="2448" t="s">
        <v>105</v>
      </c>
      <c r="C143" s="2431">
        <f>+C141+C142+C60</f>
        <v>97771597.028367996</v>
      </c>
      <c r="D143" s="2431">
        <f>+D141+D142+D60</f>
        <v>40869357.027999997</v>
      </c>
      <c r="E143" s="2449">
        <f>+E141+E142+E60</f>
        <v>2637364.0920000002</v>
      </c>
      <c r="F143" s="2449">
        <f t="shared" ref="F143:J143" si="45">+F141+F142+F60</f>
        <v>742498.78399999999</v>
      </c>
      <c r="G143" s="2449">
        <f t="shared" si="45"/>
        <v>11635961.311999999</v>
      </c>
      <c r="H143" s="2449">
        <f t="shared" si="45"/>
        <v>1758162.9999999998</v>
      </c>
      <c r="I143" s="2449">
        <f t="shared" si="45"/>
        <v>4654125.4400000004</v>
      </c>
      <c r="J143" s="2449">
        <f t="shared" si="45"/>
        <v>19441244.399999999</v>
      </c>
      <c r="K143" s="2431">
        <f>+K141+K142+K60</f>
        <v>56902240.000367999</v>
      </c>
      <c r="L143" s="2449">
        <f t="shared" ref="L143:N143" si="46">+L141+L142+L60</f>
        <v>22100223.700800002</v>
      </c>
      <c r="M143" s="2449">
        <f t="shared" si="46"/>
        <v>16434098.796800001</v>
      </c>
      <c r="N143" s="2476">
        <f t="shared" si="46"/>
        <v>18367917.502767999</v>
      </c>
    </row>
    <row r="144" spans="1:14" ht="15.75" thickBot="1" x14ac:dyDescent="0.3">
      <c r="A144" s="2483"/>
      <c r="B144" s="2484"/>
      <c r="C144" s="2436"/>
      <c r="D144" s="2436"/>
      <c r="E144" s="2437"/>
      <c r="F144" s="2437"/>
      <c r="G144" s="2437"/>
      <c r="H144" s="2437"/>
      <c r="I144" s="2437"/>
      <c r="J144" s="2437"/>
      <c r="K144" s="2437"/>
      <c r="L144" s="2437"/>
      <c r="M144" s="2437"/>
      <c r="N144" s="2437"/>
    </row>
    <row r="145" spans="1:14" ht="15.75" customHeight="1" thickBot="1" x14ac:dyDescent="0.3">
      <c r="A145" s="2485" t="s">
        <v>583</v>
      </c>
      <c r="B145" s="2485" t="s">
        <v>583</v>
      </c>
      <c r="C145" s="2486">
        <f>+C143</f>
        <v>97771597.028367996</v>
      </c>
      <c r="D145" s="2486">
        <f t="shared" ref="D145:N145" si="47">+D143</f>
        <v>40869357.027999997</v>
      </c>
      <c r="E145" s="2449">
        <f>+E143</f>
        <v>2637364.0920000002</v>
      </c>
      <c r="F145" s="2449">
        <f t="shared" si="47"/>
        <v>742498.78399999999</v>
      </c>
      <c r="G145" s="2449">
        <f t="shared" si="47"/>
        <v>11635961.311999999</v>
      </c>
      <c r="H145" s="2449">
        <f t="shared" si="47"/>
        <v>1758162.9999999998</v>
      </c>
      <c r="I145" s="2449">
        <f t="shared" si="47"/>
        <v>4654125.4400000004</v>
      </c>
      <c r="J145" s="2449">
        <f t="shared" si="47"/>
        <v>19441244.399999999</v>
      </c>
      <c r="K145" s="2486">
        <f t="shared" si="47"/>
        <v>56902240.000367999</v>
      </c>
      <c r="L145" s="2449">
        <f t="shared" si="47"/>
        <v>22100223.700800002</v>
      </c>
      <c r="M145" s="2449">
        <f t="shared" si="47"/>
        <v>16434098.796800001</v>
      </c>
      <c r="N145" s="2476">
        <f t="shared" si="47"/>
        <v>18367917.502767999</v>
      </c>
    </row>
    <row r="146" spans="1:14" ht="15.75" customHeight="1" thickBot="1" x14ac:dyDescent="0.3">
      <c r="A146" s="2485" t="s">
        <v>129</v>
      </c>
      <c r="B146" s="2485" t="s">
        <v>129</v>
      </c>
      <c r="C146" s="2486">
        <f>C49-C145</f>
        <v>-2.8367996215820313E-2</v>
      </c>
      <c r="D146" s="2486">
        <f t="shared" ref="D146:N146" si="48">D49-D145</f>
        <v>-1364557.0279999971</v>
      </c>
      <c r="E146" s="2487">
        <f>E49-E145</f>
        <v>-734564.09200000018</v>
      </c>
      <c r="F146" s="2487">
        <f t="shared" si="48"/>
        <v>-179648.78399999999</v>
      </c>
      <c r="G146" s="2487">
        <f t="shared" si="48"/>
        <v>-1038061.311999999</v>
      </c>
      <c r="H146" s="2487">
        <f t="shared" si="48"/>
        <v>-16312.999999999767</v>
      </c>
      <c r="I146" s="2487">
        <f t="shared" si="48"/>
        <v>-1659225.4400000004</v>
      </c>
      <c r="J146" s="2487">
        <f t="shared" si="48"/>
        <v>2263255.6000000015</v>
      </c>
      <c r="K146" s="2486">
        <f t="shared" si="48"/>
        <v>1364556.9996320009</v>
      </c>
      <c r="L146" s="2487">
        <f t="shared" si="48"/>
        <v>-2529685.7008000016</v>
      </c>
      <c r="M146" s="2487">
        <f t="shared" si="48"/>
        <v>532439.20319999941</v>
      </c>
      <c r="N146" s="2488">
        <f t="shared" si="48"/>
        <v>3361803.4972320013</v>
      </c>
    </row>
  </sheetData>
  <sheetProtection algorithmName="SHA-512" hashValue="gD9OpcL4oYqv4Lv0Zx5aFe8STZEhkinnAGfdG9ndeM34ZTGFZBFU+QwaVCIxo5JMUwpDwDEY0vf1FnmQo8Q3pQ==" saltValue="oqYynhjZtVQ+J2ecNbwIZQ==" spinCount="100000" sheet="1" objects="1" scenarios="1"/>
  <mergeCells count="1">
    <mergeCell ref="A4:A30"/>
  </mergeCells>
  <pageMargins left="0.25" right="0.25" top="0.75" bottom="0.75" header="0.3" footer="0.3"/>
  <pageSetup paperSize="8" scale="69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27"/>
  <sheetViews>
    <sheetView tabSelected="1" workbookViewId="0"/>
  </sheetViews>
  <sheetFormatPr defaultColWidth="8.85546875" defaultRowHeight="15" x14ac:dyDescent="0.25"/>
  <cols>
    <col min="1" max="1" width="6.140625" style="2374" customWidth="1"/>
    <col min="2" max="2" width="24.85546875" style="2374" customWidth="1"/>
    <col min="3" max="3" width="13.140625" style="2374" customWidth="1"/>
    <col min="4" max="4" width="13.5703125" style="2374" customWidth="1"/>
    <col min="5" max="5" width="11" style="2374" bestFit="1" customWidth="1"/>
    <col min="6" max="6" width="9" style="2374" bestFit="1" customWidth="1"/>
    <col min="7" max="7" width="11" style="2374" bestFit="1" customWidth="1"/>
    <col min="8" max="8" width="10" style="2374" bestFit="1" customWidth="1"/>
    <col min="9" max="9" width="12" style="2374" bestFit="1" customWidth="1"/>
    <col min="10" max="10" width="11" style="2374" bestFit="1" customWidth="1"/>
    <col min="11" max="11" width="13.5703125" style="2374" customWidth="1"/>
    <col min="12" max="13" width="11" style="2374" bestFit="1" customWidth="1"/>
    <col min="14" max="14" width="11.7109375" style="2374" customWidth="1"/>
    <col min="15" max="16" width="1" style="2374" customWidth="1"/>
    <col min="17" max="16384" width="8.85546875" style="2374"/>
  </cols>
  <sheetData>
    <row r="1" spans="1:14" s="2364" customFormat="1" ht="12" customHeight="1" thickBot="1" x14ac:dyDescent="0.25">
      <c r="B1" s="2364" t="s">
        <v>2187</v>
      </c>
      <c r="C1" s="2364">
        <f>SUM(E1:N1)</f>
        <v>100</v>
      </c>
      <c r="E1" s="2364">
        <v>10</v>
      </c>
      <c r="F1" s="2364">
        <v>2.5</v>
      </c>
      <c r="G1" s="2364">
        <v>10</v>
      </c>
      <c r="H1" s="2364">
        <v>2.5</v>
      </c>
      <c r="I1" s="2364">
        <v>10</v>
      </c>
      <c r="J1" s="2364">
        <v>25</v>
      </c>
      <c r="L1" s="2364">
        <v>15</v>
      </c>
      <c r="M1" s="2364">
        <v>15</v>
      </c>
      <c r="N1" s="2364">
        <v>10</v>
      </c>
    </row>
    <row r="2" spans="1:14" ht="39" thickBot="1" x14ac:dyDescent="0.3">
      <c r="A2" s="2365" t="s">
        <v>485</v>
      </c>
      <c r="B2" s="2366" t="s">
        <v>0</v>
      </c>
      <c r="C2" s="2489" t="s">
        <v>1578</v>
      </c>
      <c r="D2" s="2490" t="s">
        <v>354</v>
      </c>
      <c r="E2" s="2369" t="s">
        <v>153</v>
      </c>
      <c r="F2" s="2369" t="s">
        <v>145</v>
      </c>
      <c r="G2" s="2370" t="s">
        <v>581</v>
      </c>
      <c r="H2" s="2371" t="s">
        <v>954</v>
      </c>
      <c r="I2" s="2370" t="s">
        <v>486</v>
      </c>
      <c r="J2" s="2372" t="s">
        <v>582</v>
      </c>
      <c r="K2" s="2368" t="s">
        <v>339</v>
      </c>
      <c r="L2" s="2371" t="s">
        <v>155</v>
      </c>
      <c r="M2" s="2373" t="s">
        <v>156</v>
      </c>
      <c r="N2" s="2372" t="s">
        <v>2022</v>
      </c>
    </row>
    <row r="3" spans="1:14" ht="15.75" thickBot="1" x14ac:dyDescent="0.3">
      <c r="A3" s="2630" t="s">
        <v>509</v>
      </c>
      <c r="B3" s="2491" t="s">
        <v>577</v>
      </c>
      <c r="C3" s="2492">
        <f>SUM(C4,C5,C6)</f>
        <v>35025597</v>
      </c>
      <c r="D3" s="2493">
        <f>SUM(E3:J3)</f>
        <v>34894800</v>
      </c>
      <c r="E3" s="2494">
        <f>E4+E5+E6</f>
        <v>1703800</v>
      </c>
      <c r="F3" s="2494">
        <f t="shared" ref="F3:J3" si="0">F4+F5+F6</f>
        <v>562850</v>
      </c>
      <c r="G3" s="2494">
        <f t="shared" si="0"/>
        <v>10072900</v>
      </c>
      <c r="H3" s="2494">
        <f t="shared" si="0"/>
        <v>1641850</v>
      </c>
      <c r="I3" s="2494">
        <f t="shared" si="0"/>
        <v>2494900</v>
      </c>
      <c r="J3" s="2494">
        <f t="shared" si="0"/>
        <v>18418500</v>
      </c>
      <c r="K3" s="2495">
        <f>SUM(L3:N3)</f>
        <v>130797</v>
      </c>
      <c r="L3" s="2494">
        <f>L4+L5+L6</f>
        <v>60538</v>
      </c>
      <c r="M3" s="2494">
        <f>M4+M5+M6</f>
        <v>50538</v>
      </c>
      <c r="N3" s="2496">
        <f>N4+N5+N6</f>
        <v>19721</v>
      </c>
    </row>
    <row r="4" spans="1:14" ht="15" customHeight="1" x14ac:dyDescent="0.25">
      <c r="A4" s="2631"/>
      <c r="B4" s="2387" t="s">
        <v>578</v>
      </c>
      <c r="C4" s="2497">
        <f>SUM(D4,K4)</f>
        <v>19700000</v>
      </c>
      <c r="D4" s="2498">
        <f>SUM(E4:J4)</f>
        <v>19700000</v>
      </c>
      <c r="E4" s="2384">
        <f>' TSMÚ final'!E4</f>
        <v>1320000</v>
      </c>
      <c r="F4" s="2384">
        <f>' TSMÚ final'!F4</f>
        <v>530000</v>
      </c>
      <c r="G4" s="2384">
        <f>' TSMÚ final'!G4</f>
        <v>3200000</v>
      </c>
      <c r="H4" s="2384">
        <f>' TSMÚ final'!H4</f>
        <v>890000</v>
      </c>
      <c r="I4" s="2384">
        <f>' TSMÚ final'!I4</f>
        <v>1400000</v>
      </c>
      <c r="J4" s="2384">
        <f>' TSMÚ final'!J4</f>
        <v>12360000</v>
      </c>
      <c r="K4" s="2392">
        <f t="shared" ref="K4:K6" si="1">SUM(L4:N4)</f>
        <v>0</v>
      </c>
      <c r="L4" s="2384">
        <f>' TSMÚ final'!L4</f>
        <v>0</v>
      </c>
      <c r="M4" s="2384">
        <f>' TSMÚ final'!M4</f>
        <v>0</v>
      </c>
      <c r="N4" s="2384">
        <f>' TSMÚ final'!N4</f>
        <v>0</v>
      </c>
    </row>
    <row r="5" spans="1:14" x14ac:dyDescent="0.25">
      <c r="A5" s="2631"/>
      <c r="B5" s="2387" t="s">
        <v>261</v>
      </c>
      <c r="C5" s="2497">
        <f>SUM(D5,K5)</f>
        <v>2770000</v>
      </c>
      <c r="D5" s="2498">
        <f t="shared" ref="D5:D6" si="2">SUM(E5:J5)</f>
        <v>2770000</v>
      </c>
      <c r="E5" s="2384">
        <f>' TSMÚ final'!E5</f>
        <v>0</v>
      </c>
      <c r="F5" s="2384">
        <f>' TSMÚ final'!F5</f>
        <v>0</v>
      </c>
      <c r="G5" s="2384">
        <f>' TSMÚ final'!G5</f>
        <v>1300000</v>
      </c>
      <c r="H5" s="2384">
        <f>' TSMÚ final'!H5</f>
        <v>450000</v>
      </c>
      <c r="I5" s="2384">
        <f>' TSMÚ final'!I5</f>
        <v>350000</v>
      </c>
      <c r="J5" s="2384">
        <f>' TSMÚ final'!J5</f>
        <v>670000</v>
      </c>
      <c r="K5" s="2499">
        <f t="shared" si="1"/>
        <v>0</v>
      </c>
      <c r="L5" s="2384">
        <f>' TSMÚ final'!L5</f>
        <v>0</v>
      </c>
      <c r="M5" s="2384">
        <f>' TSMÚ final'!M5</f>
        <v>0</v>
      </c>
      <c r="N5" s="2384">
        <f>' TSMÚ final'!N5</f>
        <v>0</v>
      </c>
    </row>
    <row r="6" spans="1:14" x14ac:dyDescent="0.25">
      <c r="A6" s="2631"/>
      <c r="B6" s="2403" t="s">
        <v>506</v>
      </c>
      <c r="C6" s="2497">
        <f t="shared" ref="C6" si="3">SUM(D6,K6)</f>
        <v>12555597</v>
      </c>
      <c r="D6" s="2498">
        <f t="shared" si="2"/>
        <v>12424800</v>
      </c>
      <c r="E6" s="2384">
        <f>' TSMÚ final'!E13</f>
        <v>383800</v>
      </c>
      <c r="F6" s="2384">
        <f>' TSMÚ final'!F13</f>
        <v>32850</v>
      </c>
      <c r="G6" s="2384">
        <f>' TSMÚ final'!G13</f>
        <v>5572900</v>
      </c>
      <c r="H6" s="2384">
        <f>' TSMÚ final'!H13</f>
        <v>301850</v>
      </c>
      <c r="I6" s="2384">
        <f>' TSMÚ final'!I13</f>
        <v>744900</v>
      </c>
      <c r="J6" s="2384">
        <f>' TSMÚ final'!J13</f>
        <v>5388500</v>
      </c>
      <c r="K6" s="2499">
        <f t="shared" si="1"/>
        <v>130797</v>
      </c>
      <c r="L6" s="2384">
        <f>' TSMÚ final'!L13</f>
        <v>60538</v>
      </c>
      <c r="M6" s="2384">
        <f>' TSMÚ final'!M13</f>
        <v>50538</v>
      </c>
      <c r="N6" s="2384">
        <f>' TSMÚ final'!N13</f>
        <v>19721</v>
      </c>
    </row>
    <row r="7" spans="1:14" ht="15.75" thickBot="1" x14ac:dyDescent="0.3">
      <c r="A7" s="2500" t="s">
        <v>114</v>
      </c>
      <c r="B7" s="2501" t="s">
        <v>274</v>
      </c>
      <c r="C7" s="2502">
        <f>SUM(D7,K7)</f>
        <v>62746000</v>
      </c>
      <c r="D7" s="2503">
        <f>SUM(E7:J7)</f>
        <v>4610000</v>
      </c>
      <c r="E7" s="2504">
        <f>' TSMÚ final'!E31+' TSMÚ final'!E33+' TSMÚ final'!E38+' TSMÚ final'!E39+' TSMÚ final'!E40</f>
        <v>199000</v>
      </c>
      <c r="F7" s="2504">
        <f>' TSMÚ final'!F31+' TSMÚ final'!F33+' TSMÚ final'!F38+' TSMÚ final'!F39+' TSMÚ final'!F40</f>
        <v>0</v>
      </c>
      <c r="G7" s="2504">
        <f>' TSMÚ final'!G31+' TSMÚ final'!G33+' TSMÚ final'!G38+' TSMÚ final'!G39+' TSMÚ final'!G40</f>
        <v>525000</v>
      </c>
      <c r="H7" s="2504">
        <f>' TSMÚ final'!H31+' TSMÚ final'!H33+' TSMÚ final'!H38+' TSMÚ final'!H39+' TSMÚ final'!H40</f>
        <v>100000</v>
      </c>
      <c r="I7" s="2504">
        <f>' TSMÚ final'!I31+' TSMÚ final'!I33+' TSMÚ final'!I38+' TSMÚ final'!I39+' TSMÚ final'!I40</f>
        <v>500000</v>
      </c>
      <c r="J7" s="2504">
        <f>' TSMÚ final'!J31+' TSMÚ final'!J33+' TSMÚ final'!J38+' TSMÚ final'!J39+' TSMÚ final'!J40</f>
        <v>3286000</v>
      </c>
      <c r="K7" s="2505">
        <f>SUM(L7:N7)</f>
        <v>58136000</v>
      </c>
      <c r="L7" s="2504">
        <f>' TSMÚ final'!L31+' TSMÚ final'!L33+' TSMÚ final'!L38+' TSMÚ final'!L39+' TSMÚ final'!L40</f>
        <v>19510000</v>
      </c>
      <c r="M7" s="2504">
        <f>' TSMÚ final'!M31+' TSMÚ final'!M33+' TSMÚ final'!M38+' TSMÚ final'!M39+' TSMÚ final'!M40</f>
        <v>16916000</v>
      </c>
      <c r="N7" s="2504">
        <f>' TSMÚ final'!N31+' TSMÚ final'!N33+' TSMÚ final'!N38+' TSMÚ final'!N39+' TSMÚ final'!N40</f>
        <v>21710000</v>
      </c>
    </row>
    <row r="8" spans="1:14" ht="15.75" customHeight="1" thickBot="1" x14ac:dyDescent="0.3">
      <c r="A8" s="2485" t="s">
        <v>236</v>
      </c>
      <c r="B8" s="2506"/>
      <c r="C8" s="2492">
        <f>SUM(C7:C7,C3)</f>
        <v>97771597</v>
      </c>
      <c r="D8" s="2493">
        <f>SUM(D7:D7,D3)</f>
        <v>39504800</v>
      </c>
      <c r="E8" s="2507">
        <f>SUM(E4:E7)</f>
        <v>1902800</v>
      </c>
      <c r="F8" s="2507">
        <f t="shared" ref="F8:J8" si="4">SUM(F4:F7)</f>
        <v>562850</v>
      </c>
      <c r="G8" s="2507">
        <f t="shared" si="4"/>
        <v>10597900</v>
      </c>
      <c r="H8" s="2507">
        <f t="shared" si="4"/>
        <v>1741850</v>
      </c>
      <c r="I8" s="2507">
        <f t="shared" si="4"/>
        <v>2994900</v>
      </c>
      <c r="J8" s="2507">
        <f t="shared" si="4"/>
        <v>21704500</v>
      </c>
      <c r="K8" s="2508">
        <f>SUM(K4:K7)</f>
        <v>58266797</v>
      </c>
      <c r="L8" s="2507">
        <f t="shared" ref="L8:M8" si="5">SUM(L4:L7)</f>
        <v>19570538</v>
      </c>
      <c r="M8" s="2507">
        <f t="shared" si="5"/>
        <v>16966538</v>
      </c>
      <c r="N8" s="2509">
        <f>SUM(N4:N7)</f>
        <v>21729721</v>
      </c>
    </row>
    <row r="9" spans="1:14" ht="15.75" thickBot="1" x14ac:dyDescent="0.3">
      <c r="A9" s="2434" t="s">
        <v>340</v>
      </c>
      <c r="B9" s="2435"/>
      <c r="C9" s="2436"/>
      <c r="D9" s="2436"/>
      <c r="E9" s="2510"/>
      <c r="F9" s="2511"/>
      <c r="G9" s="2436"/>
      <c r="H9" s="2436"/>
      <c r="I9" s="2436"/>
      <c r="J9" s="2436"/>
      <c r="K9" s="2436" t="s">
        <v>2192</v>
      </c>
      <c r="L9" s="2436">
        <v>40</v>
      </c>
      <c r="M9" s="2512">
        <v>40</v>
      </c>
      <c r="N9" s="2513">
        <v>20</v>
      </c>
    </row>
    <row r="10" spans="1:14" ht="23.25" customHeight="1" thickBot="1" x14ac:dyDescent="0.3">
      <c r="A10" s="2514" t="s">
        <v>71</v>
      </c>
      <c r="B10" s="2515" t="s">
        <v>122</v>
      </c>
      <c r="C10" s="2516">
        <f>SUM(D10,K10)</f>
        <v>27397206.028368004</v>
      </c>
      <c r="D10" s="2517">
        <f>SUM(E10:J10)</f>
        <v>21092066.028000001</v>
      </c>
      <c r="E10" s="2487">
        <f>' TSMÚ final'!E60</f>
        <v>1687264.0919999999</v>
      </c>
      <c r="F10" s="2487">
        <f>' TSMÚ final'!F60</f>
        <v>654248.78399999999</v>
      </c>
      <c r="G10" s="2487">
        <f>' TSMÚ final'!G60</f>
        <v>3764617.3119999999</v>
      </c>
      <c r="H10" s="2487">
        <f>' TSMÚ final'!H60</f>
        <v>1308162.9999999998</v>
      </c>
      <c r="I10" s="2487">
        <f>' TSMÚ final'!I60</f>
        <v>2090325.4400000002</v>
      </c>
      <c r="J10" s="2487">
        <f>' TSMÚ final'!J60</f>
        <v>11587447.4</v>
      </c>
      <c r="K10" s="2486">
        <f>SUM(L10:N10)</f>
        <v>6305140.0003680009</v>
      </c>
      <c r="L10" s="2487">
        <f>' TSMÚ final'!L60</f>
        <v>3301123.7007999998</v>
      </c>
      <c r="M10" s="2487">
        <f>' TSMÚ final'!M60</f>
        <v>2051698.7968000001</v>
      </c>
      <c r="N10" s="2487">
        <f>' TSMÚ final'!N60</f>
        <v>952317.50276800012</v>
      </c>
    </row>
    <row r="11" spans="1:14" x14ac:dyDescent="0.25">
      <c r="A11" s="2453">
        <v>5178</v>
      </c>
      <c r="B11" s="2426" t="s">
        <v>580</v>
      </c>
      <c r="C11" s="2518">
        <f>SUM(D11,K11)</f>
        <v>3090000</v>
      </c>
      <c r="D11" s="2519">
        <f>SUM(E11:J11)</f>
        <v>2770000</v>
      </c>
      <c r="E11" s="2454">
        <f>' TSMÚ final'!E61</f>
        <v>0</v>
      </c>
      <c r="F11" s="2455">
        <f>' TSMÚ final'!F61</f>
        <v>0</v>
      </c>
      <c r="G11" s="2455">
        <f>' TSMÚ final'!G61</f>
        <v>1300000</v>
      </c>
      <c r="H11" s="2455">
        <f>' TSMÚ final'!H61</f>
        <v>450000</v>
      </c>
      <c r="I11" s="2455">
        <f>' TSMÚ final'!I61</f>
        <v>350000</v>
      </c>
      <c r="J11" s="2456">
        <f>' TSMÚ final'!J61</f>
        <v>670000</v>
      </c>
      <c r="K11" s="2383">
        <f>SUM(L11:N11)</f>
        <v>320000</v>
      </c>
      <c r="L11" s="2454">
        <f>' TSMÚ final'!K61</f>
        <v>320000</v>
      </c>
      <c r="M11" s="2455">
        <f>' TSMÚ final'!L61</f>
        <v>0</v>
      </c>
      <c r="N11" s="2456">
        <f>' TSMÚ final'!M61</f>
        <v>0</v>
      </c>
    </row>
    <row r="12" spans="1:14" x14ac:dyDescent="0.25">
      <c r="A12" s="2413">
        <v>5139</v>
      </c>
      <c r="B12" s="2426" t="s">
        <v>77</v>
      </c>
      <c r="C12" s="2518">
        <f>SUM(D12,K12)</f>
        <v>5034091</v>
      </c>
      <c r="D12" s="2520">
        <f>SUM(E12:J12)</f>
        <v>2143491</v>
      </c>
      <c r="E12" s="2463">
        <f>' TSMÚ final'!E69+' TSMÚ final'!E70+' TSMÚ final'!E71+' TSMÚ final'!E72+' TSMÚ final'!E73</f>
        <v>226100</v>
      </c>
      <c r="F12" s="2389">
        <f>' TSMÚ final'!F69+' TSMÚ final'!F70+' TSMÚ final'!F71+' TSMÚ final'!F72+' TSMÚ final'!F73</f>
        <v>35550</v>
      </c>
      <c r="G12" s="2389">
        <f>' TSMÚ final'!G69+' TSMÚ final'!G70+' TSMÚ final'!G71+' TSMÚ final'!G72+' TSMÚ final'!G73</f>
        <v>278444</v>
      </c>
      <c r="H12" s="2389">
        <f>' TSMÚ final'!H69+' TSMÚ final'!H70+' TSMÚ final'!H71+' TSMÚ final'!H72+' TSMÚ final'!H73</f>
        <v>0</v>
      </c>
      <c r="I12" s="2389">
        <f>' TSMÚ final'!I69+' TSMÚ final'!I70+' TSMÚ final'!I71+' TSMÚ final'!I72+' TSMÚ final'!I73</f>
        <v>336100</v>
      </c>
      <c r="J12" s="2390">
        <f>' TSMÚ final'!J69+' TSMÚ final'!J70+' TSMÚ final'!J71+' TSMÚ final'!J72+' TSMÚ final'!J73</f>
        <v>1267297</v>
      </c>
      <c r="K12" s="2393">
        <f>SUM(L12:N12)</f>
        <v>2890600</v>
      </c>
      <c r="L12" s="2463">
        <f>' TSMÚ final'!L69+' TSMÚ final'!L70+' TSMÚ final'!L71+' TSMÚ final'!L72+' TSMÚ final'!L73</f>
        <v>1998600</v>
      </c>
      <c r="M12" s="2389">
        <f>' TSMÚ final'!M69+' TSMÚ final'!M70+' TSMÚ final'!M71+' TSMÚ final'!M72+' TSMÚ final'!M73</f>
        <v>841100</v>
      </c>
      <c r="N12" s="2390">
        <f>' TSMÚ final'!N69+' TSMÚ final'!N70+' TSMÚ final'!N71+' TSMÚ final'!N72+' TSMÚ final'!N73</f>
        <v>50900</v>
      </c>
    </row>
    <row r="13" spans="1:14" x14ac:dyDescent="0.25">
      <c r="A13" s="2453">
        <v>5151</v>
      </c>
      <c r="B13" s="2426" t="s">
        <v>2193</v>
      </c>
      <c r="C13" s="2521">
        <f t="shared" ref="C13:C18" si="6">SUM(D13,K13)</f>
        <v>24900000</v>
      </c>
      <c r="D13" s="2520">
        <f t="shared" ref="D13:D14" si="7">SUM(E13:J13)</f>
        <v>0</v>
      </c>
      <c r="E13" s="2463">
        <f>' TSMÚ final'!E98</f>
        <v>0</v>
      </c>
      <c r="F13" s="2389">
        <f>' TSMÚ final'!F98</f>
        <v>0</v>
      </c>
      <c r="G13" s="2389">
        <f>' TSMÚ final'!G98</f>
        <v>0</v>
      </c>
      <c r="H13" s="2389">
        <f>' TSMÚ final'!H98</f>
        <v>0</v>
      </c>
      <c r="I13" s="2389">
        <f>' TSMÚ final'!I98</f>
        <v>0</v>
      </c>
      <c r="J13" s="2390">
        <f>' TSMÚ final'!J98</f>
        <v>0</v>
      </c>
      <c r="K13" s="2393">
        <f t="shared" ref="K13:K15" si="8">SUM(L13:N13)</f>
        <v>24900000</v>
      </c>
      <c r="L13" s="2463">
        <f>' TSMÚ final'!L98</f>
        <v>9800000</v>
      </c>
      <c r="M13" s="2389">
        <f>' TSMÚ final'!M98</f>
        <v>0</v>
      </c>
      <c r="N13" s="2390">
        <f>' TSMÚ final'!N98</f>
        <v>15100000</v>
      </c>
    </row>
    <row r="14" spans="1:14" x14ac:dyDescent="0.25">
      <c r="A14" s="2453">
        <v>5154</v>
      </c>
      <c r="B14" s="2426" t="s">
        <v>2194</v>
      </c>
      <c r="C14" s="2521">
        <f t="shared" si="6"/>
        <v>4922000</v>
      </c>
      <c r="D14" s="2520">
        <f t="shared" si="7"/>
        <v>402000</v>
      </c>
      <c r="E14" s="2463">
        <f>' TSMÚ final'!E97+' TSMÚ final'!E99+' TSMÚ final'!E100</f>
        <v>30000</v>
      </c>
      <c r="F14" s="2389">
        <f>' TSMÚ final'!F97+' TSMÚ final'!F99+' TSMÚ final'!F100</f>
        <v>7500</v>
      </c>
      <c r="G14" s="2389">
        <f>' TSMÚ final'!G97+' TSMÚ final'!G99+' TSMÚ final'!G100</f>
        <v>34000</v>
      </c>
      <c r="H14" s="2389">
        <f>' TSMÚ final'!H97+' TSMÚ final'!H99+' TSMÚ final'!H100</f>
        <v>0</v>
      </c>
      <c r="I14" s="2389">
        <f>' TSMÚ final'!I97+' TSMÚ final'!I99+' TSMÚ final'!I100</f>
        <v>82000</v>
      </c>
      <c r="J14" s="2390">
        <f>' TSMÚ final'!J97+' TSMÚ final'!J99+' TSMÚ final'!J100</f>
        <v>248500</v>
      </c>
      <c r="K14" s="2393">
        <f t="shared" si="8"/>
        <v>4520000</v>
      </c>
      <c r="L14" s="2463">
        <f>' TSMÚ final'!L97+' TSMÚ final'!L99+' TSMÚ final'!L100</f>
        <v>645000</v>
      </c>
      <c r="M14" s="2389">
        <f>' TSMÚ final'!M97+' TSMÚ final'!M99+' TSMÚ final'!M100</f>
        <v>2745000</v>
      </c>
      <c r="N14" s="2390">
        <f>' TSMÚ final'!N97+' TSMÚ final'!N99+' TSMÚ final'!N100</f>
        <v>1130000</v>
      </c>
    </row>
    <row r="15" spans="1:14" x14ac:dyDescent="0.25">
      <c r="A15" s="2453">
        <v>5156</v>
      </c>
      <c r="B15" s="2426" t="s">
        <v>2195</v>
      </c>
      <c r="C15" s="2521">
        <f t="shared" si="6"/>
        <v>2310000</v>
      </c>
      <c r="D15" s="2520">
        <f>SUM(E15:J15)</f>
        <v>2160000</v>
      </c>
      <c r="E15" s="2463">
        <f>' TSMÚ final'!E101</f>
        <v>198000</v>
      </c>
      <c r="F15" s="2389">
        <f>' TSMÚ final'!F101</f>
        <v>10000</v>
      </c>
      <c r="G15" s="2389">
        <f>' TSMÚ final'!G101</f>
        <v>1003000</v>
      </c>
      <c r="H15" s="2389">
        <f>' TSMÚ final'!H101</f>
        <v>0</v>
      </c>
      <c r="I15" s="2389">
        <f>' TSMÚ final'!I101</f>
        <v>112000</v>
      </c>
      <c r="J15" s="2390">
        <f>' TSMÚ final'!J101</f>
        <v>837000</v>
      </c>
      <c r="K15" s="2393">
        <f t="shared" si="8"/>
        <v>150000</v>
      </c>
      <c r="L15" s="2463">
        <f>' TSMÚ final'!L101</f>
        <v>123750</v>
      </c>
      <c r="M15" s="2389">
        <f>' TSMÚ final'!M101</f>
        <v>3750</v>
      </c>
      <c r="N15" s="2390">
        <f>' TSMÚ final'!N101</f>
        <v>22500</v>
      </c>
    </row>
    <row r="16" spans="1:14" x14ac:dyDescent="0.25">
      <c r="A16" s="2413">
        <v>5169</v>
      </c>
      <c r="B16" s="2426" t="s">
        <v>89</v>
      </c>
      <c r="C16" s="2521">
        <f t="shared" si="6"/>
        <v>23374300</v>
      </c>
      <c r="D16" s="2520">
        <f>SUM(E16:J16)</f>
        <v>8430800</v>
      </c>
      <c r="E16" s="2463">
        <f>' TSMÚ final'!E102+' TSMÚ final'!E103+' TSMÚ final'!E104+' TSMÚ final'!E105+' TSMÚ final'!E106+' TSMÚ final'!E107+' TSMÚ final'!E108+' TSMÚ final'!E109</f>
        <v>164500</v>
      </c>
      <c r="F16" s="2389">
        <f>' TSMÚ final'!F102+' TSMÚ final'!F103+' TSMÚ final'!F104+' TSMÚ final'!F105+' TSMÚ final'!F106+' TSMÚ final'!F107+' TSMÚ final'!F108+' TSMÚ final'!F109</f>
        <v>25200</v>
      </c>
      <c r="G16" s="2389">
        <f>' TSMÚ final'!G102+' TSMÚ final'!G103+' TSMÚ final'!G104+' TSMÚ final'!G105+' TSMÚ final'!G106+' TSMÚ final'!G107+' TSMÚ final'!G108+' TSMÚ final'!G109</f>
        <v>3634400</v>
      </c>
      <c r="H16" s="2389">
        <f>' TSMÚ final'!H102+' TSMÚ final'!H103+' TSMÚ final'!H104+' TSMÚ final'!H105+' TSMÚ final'!H106+' TSMÚ final'!H107+' TSMÚ final'!H108+' TSMÚ final'!H109</f>
        <v>0</v>
      </c>
      <c r="I16" s="2389">
        <f>' TSMÚ final'!I102+' TSMÚ final'!I103+' TSMÚ final'!I104+' TSMÚ final'!I105+' TSMÚ final'!I106+' TSMÚ final'!I107+' TSMÚ final'!I108+' TSMÚ final'!I109</f>
        <v>1355700</v>
      </c>
      <c r="J16" s="2390">
        <f>' TSMÚ final'!J102+' TSMÚ final'!J103+' TSMÚ final'!J104+' TSMÚ final'!J105+' TSMÚ final'!J106+' TSMÚ final'!J107+' TSMÚ final'!J108+' TSMÚ final'!J109</f>
        <v>3251000</v>
      </c>
      <c r="K16" s="2383">
        <f>SUM(L16:N16)</f>
        <v>14943500</v>
      </c>
      <c r="L16" s="2463">
        <f>' TSMÚ final'!L102+' TSMÚ final'!L103+' TSMÚ final'!L104+' TSMÚ final'!L105+' TSMÚ final'!L106+' TSMÚ final'!L107+' TSMÚ final'!L108+' TSMÚ final'!L109</f>
        <v>4520000</v>
      </c>
      <c r="M16" s="2389">
        <f>' TSMÚ final'!M102+' TSMÚ final'!M103+' TSMÚ final'!M104+' TSMÚ final'!M105+' TSMÚ final'!M106+' TSMÚ final'!M107+' TSMÚ final'!M108+' TSMÚ final'!M109</f>
        <v>9942800</v>
      </c>
      <c r="N16" s="2390">
        <f>' TSMÚ final'!N102+' TSMÚ final'!N103+' TSMÚ final'!N104+' TSMÚ final'!N105+' TSMÚ final'!N106+' TSMÚ final'!N107+' TSMÚ final'!N108+' TSMÚ final'!N109</f>
        <v>480700</v>
      </c>
    </row>
    <row r="17" spans="1:14" x14ac:dyDescent="0.25">
      <c r="A17" s="2413">
        <v>5171</v>
      </c>
      <c r="B17" s="2426" t="s">
        <v>90</v>
      </c>
      <c r="C17" s="2521">
        <f t="shared" si="6"/>
        <v>3180000</v>
      </c>
      <c r="D17" s="2520">
        <f t="shared" ref="D17:D18" si="9">SUM(E17:J17)</f>
        <v>803000</v>
      </c>
      <c r="E17" s="2463">
        <f>' TSMÚ final'!E127</f>
        <v>49500</v>
      </c>
      <c r="F17" s="2389">
        <f>' TSMÚ final'!F127</f>
        <v>3000</v>
      </c>
      <c r="G17" s="2389">
        <f>' TSMÚ final'!G127</f>
        <v>308500</v>
      </c>
      <c r="H17" s="2389">
        <f>' TSMÚ final'!H127</f>
        <v>0</v>
      </c>
      <c r="I17" s="2389">
        <f>' TSMÚ final'!I127</f>
        <v>76000</v>
      </c>
      <c r="J17" s="2390">
        <f>' TSMÚ final'!J127</f>
        <v>366000</v>
      </c>
      <c r="K17" s="2383">
        <f t="shared" ref="K17:K18" si="10">SUM(L17:N17)</f>
        <v>2377000</v>
      </c>
      <c r="L17" s="2463">
        <f>' TSMÚ final'!L127</f>
        <v>1539000</v>
      </c>
      <c r="M17" s="2389">
        <f>' TSMÚ final'!M127</f>
        <v>608000</v>
      </c>
      <c r="N17" s="2390">
        <f>' TSMÚ final'!N127</f>
        <v>230000</v>
      </c>
    </row>
    <row r="18" spans="1:14" x14ac:dyDescent="0.25">
      <c r="A18" s="2453" t="s">
        <v>939</v>
      </c>
      <c r="B18" s="2426" t="s">
        <v>932</v>
      </c>
      <c r="C18" s="2521">
        <f t="shared" si="6"/>
        <v>3564000</v>
      </c>
      <c r="D18" s="2520">
        <f t="shared" si="9"/>
        <v>3068000</v>
      </c>
      <c r="E18" s="2463">
        <f>' TSMÚ final'!E132+' TSMÚ final'!E133+' TSMÚ final'!E134+' TSMÚ final'!E135+' TSMÚ final'!E136+' TSMÚ final'!E137+' TSMÚ final'!E138+' TSMÚ final'!E139+' TSMÚ final'!E140+' TSMÚ final'!E142</f>
        <v>282000</v>
      </c>
      <c r="F18" s="2389">
        <f>' TSMÚ final'!F132+' TSMÚ final'!F133+' TSMÚ final'!F134+' TSMÚ final'!F135+' TSMÚ final'!F136+' TSMÚ final'!F137+' TSMÚ final'!F138+' TSMÚ final'!F139+' TSMÚ final'!F140+' TSMÚ final'!F142</f>
        <v>7000</v>
      </c>
      <c r="G18" s="2389">
        <f>' TSMÚ final'!G132+' TSMÚ final'!G133+' TSMÚ final'!G134+' TSMÚ final'!G135+' TSMÚ final'!G136+' TSMÚ final'!G137+' TSMÚ final'!G138+' TSMÚ final'!G139+' TSMÚ final'!G140+' TSMÚ final'!G142</f>
        <v>1313000</v>
      </c>
      <c r="H18" s="2389">
        <f>' TSMÚ final'!H132+' TSMÚ final'!H133+' TSMÚ final'!H134+' TSMÚ final'!H135+' TSMÚ final'!H136+' TSMÚ final'!H137+' TSMÚ final'!H138+' TSMÚ final'!H139+' TSMÚ final'!H140+' TSMÚ final'!H142</f>
        <v>0</v>
      </c>
      <c r="I18" s="2389">
        <f>' TSMÚ final'!I132+' TSMÚ final'!I133+' TSMÚ final'!I134+' TSMÚ final'!I135+' TSMÚ final'!I136+' TSMÚ final'!I137+' TSMÚ final'!I138+' TSMÚ final'!I139+' TSMÚ final'!I140+' TSMÚ final'!I142</f>
        <v>252000</v>
      </c>
      <c r="J18" s="2390">
        <f>' TSMÚ final'!J132+' TSMÚ final'!J133+' TSMÚ final'!J134+' TSMÚ final'!J135+' TSMÚ final'!J136+' TSMÚ final'!J137+' TSMÚ final'!J138+' TSMÚ final'!J139+' TSMÚ final'!J140+' TSMÚ final'!J142</f>
        <v>1214000</v>
      </c>
      <c r="K18" s="2383">
        <f t="shared" si="10"/>
        <v>496000</v>
      </c>
      <c r="L18" s="2463">
        <f>' TSMÚ final'!L132+' TSMÚ final'!L133+' TSMÚ final'!L134+' TSMÚ final'!L135+' TSMÚ final'!L136+' TSMÚ final'!L137+' TSMÚ final'!L138+' TSMÚ final'!L139+' TSMÚ final'!L140+' TSMÚ final'!L142</f>
        <v>172750</v>
      </c>
      <c r="M18" s="2389">
        <f>' TSMÚ final'!M132+' TSMÚ final'!M133+' TSMÚ final'!M134+' TSMÚ final'!M135+' TSMÚ final'!M136+' TSMÚ final'!M137+' TSMÚ final'!M138+' TSMÚ final'!M139+' TSMÚ final'!M140+' TSMÚ final'!M142</f>
        <v>241750</v>
      </c>
      <c r="N18" s="2390">
        <f>' TSMÚ final'!N132+' TSMÚ final'!N133+' TSMÚ final'!N134+' TSMÚ final'!N135+' TSMÚ final'!N136+' TSMÚ final'!N137+' TSMÚ final'!N138+' TSMÚ final'!N139+' TSMÚ final'!N140+' TSMÚ final'!N142</f>
        <v>81500</v>
      </c>
    </row>
    <row r="19" spans="1:14" ht="18" customHeight="1" thickBot="1" x14ac:dyDescent="0.3">
      <c r="A19" s="2447" t="s">
        <v>104</v>
      </c>
      <c r="B19" s="2448" t="s">
        <v>2196</v>
      </c>
      <c r="C19" s="2522">
        <f>SUM(D19,K19)</f>
        <v>70374391</v>
      </c>
      <c r="D19" s="2523">
        <f t="shared" ref="D19:J19" si="11">SUM(D11:D18)</f>
        <v>19777291</v>
      </c>
      <c r="E19" s="2451">
        <f t="shared" si="11"/>
        <v>950100</v>
      </c>
      <c r="F19" s="2451">
        <f t="shared" si="11"/>
        <v>88250</v>
      </c>
      <c r="G19" s="2451">
        <f t="shared" si="11"/>
        <v>7871344</v>
      </c>
      <c r="H19" s="2451">
        <f t="shared" si="11"/>
        <v>450000</v>
      </c>
      <c r="I19" s="2451">
        <f t="shared" si="11"/>
        <v>2563800</v>
      </c>
      <c r="J19" s="2452">
        <f t="shared" si="11"/>
        <v>7853797</v>
      </c>
      <c r="K19" s="2431">
        <f>SUM(L19:N19)</f>
        <v>50597100</v>
      </c>
      <c r="L19" s="2450">
        <f>SUM(L11:L18)</f>
        <v>19119100</v>
      </c>
      <c r="M19" s="2451">
        <f>SUM(M11:M18)</f>
        <v>14382400</v>
      </c>
      <c r="N19" s="2452">
        <f>SUM(N11:N18)</f>
        <v>17095600</v>
      </c>
    </row>
    <row r="20" spans="1:14" ht="15.75" thickBot="1" x14ac:dyDescent="0.3">
      <c r="A20" s="2483"/>
      <c r="B20" s="2484"/>
      <c r="C20" s="2524"/>
      <c r="D20" s="2525"/>
      <c r="E20" s="2525"/>
      <c r="F20" s="2525"/>
      <c r="G20" s="2525"/>
      <c r="H20" s="2525"/>
      <c r="I20" s="2525"/>
      <c r="J20" s="2525"/>
      <c r="K20" s="2525"/>
      <c r="L20" s="2525"/>
      <c r="M20" s="2525"/>
      <c r="N20" s="2526"/>
    </row>
    <row r="21" spans="1:14" ht="15.75" customHeight="1" thickBot="1" x14ac:dyDescent="0.3">
      <c r="A21" s="2632" t="s">
        <v>583</v>
      </c>
      <c r="B21" s="2633"/>
      <c r="C21" s="2516">
        <f>SUM(C19,C10)</f>
        <v>97771597.028367996</v>
      </c>
      <c r="D21" s="2517">
        <f t="shared" ref="D21:N21" si="12">SUM(D19,D10)</f>
        <v>40869357.027999997</v>
      </c>
      <c r="E21" s="2449">
        <f t="shared" si="12"/>
        <v>2637364.0920000002</v>
      </c>
      <c r="F21" s="2449">
        <f>SUM(F19,F10)</f>
        <v>742498.78399999999</v>
      </c>
      <c r="G21" s="2449">
        <f t="shared" si="12"/>
        <v>11635961.311999999</v>
      </c>
      <c r="H21" s="2449">
        <f t="shared" si="12"/>
        <v>1758162.9999999998</v>
      </c>
      <c r="I21" s="2449">
        <f t="shared" si="12"/>
        <v>4654125.4400000004</v>
      </c>
      <c r="J21" s="2449">
        <f t="shared" si="12"/>
        <v>19441244.399999999</v>
      </c>
      <c r="K21" s="2486">
        <f t="shared" si="12"/>
        <v>56902240.000367999</v>
      </c>
      <c r="L21" s="2449">
        <f t="shared" si="12"/>
        <v>22420223.700800002</v>
      </c>
      <c r="M21" s="2449">
        <f t="shared" si="12"/>
        <v>16434098.796800001</v>
      </c>
      <c r="N21" s="2527">
        <f t="shared" si="12"/>
        <v>18047917.502767999</v>
      </c>
    </row>
    <row r="22" spans="1:14" ht="15.75" customHeight="1" thickBot="1" x14ac:dyDescent="0.3">
      <c r="A22" s="2632" t="s">
        <v>129</v>
      </c>
      <c r="B22" s="2633"/>
      <c r="C22" s="2516">
        <f t="shared" ref="C22:N22" si="13">C8-C21</f>
        <v>-2.8367996215820313E-2</v>
      </c>
      <c r="D22" s="2517">
        <f t="shared" si="13"/>
        <v>-1364557.0279999971</v>
      </c>
      <c r="E22" s="2487">
        <f t="shared" si="13"/>
        <v>-734564.09200000018</v>
      </c>
      <c r="F22" s="2487">
        <f t="shared" si="13"/>
        <v>-179648.78399999999</v>
      </c>
      <c r="G22" s="2487">
        <f t="shared" si="13"/>
        <v>-1038061.311999999</v>
      </c>
      <c r="H22" s="2487">
        <f t="shared" si="13"/>
        <v>-16312.999999999767</v>
      </c>
      <c r="I22" s="2487">
        <f t="shared" si="13"/>
        <v>-1659225.4400000004</v>
      </c>
      <c r="J22" s="2487">
        <f t="shared" si="13"/>
        <v>2263255.6000000015</v>
      </c>
      <c r="K22" s="2486">
        <f t="shared" si="13"/>
        <v>1364556.9996320009</v>
      </c>
      <c r="L22" s="2487">
        <f t="shared" si="13"/>
        <v>-2849685.7008000016</v>
      </c>
      <c r="M22" s="2487">
        <f t="shared" si="13"/>
        <v>532439.20319999941</v>
      </c>
      <c r="N22" s="2488">
        <f t="shared" si="13"/>
        <v>3681803.4972320013</v>
      </c>
    </row>
    <row r="23" spans="1:14" x14ac:dyDescent="0.25">
      <c r="D23" s="2528"/>
    </row>
    <row r="25" spans="1:14" x14ac:dyDescent="0.25">
      <c r="C25" s="2528"/>
    </row>
    <row r="27" spans="1:14" x14ac:dyDescent="0.25">
      <c r="E27" s="2374" t="s">
        <v>584</v>
      </c>
    </row>
  </sheetData>
  <sheetProtection algorithmName="SHA-512" hashValue="xmH5TOjYJV5kPGFKupfhPsBtfdb2gJ0gIr//NdSilqZY+HnX16xx62OrLrx2viqOhUidftp5NtqcpTEpi204KQ==" saltValue="Vp2VNVoM6tknDF+Yi7aVtA==" spinCount="100000" sheet="1" objects="1" scenarios="1"/>
  <mergeCells count="3">
    <mergeCell ref="A3:A6"/>
    <mergeCell ref="A21:B21"/>
    <mergeCell ref="A22:B22"/>
  </mergeCells>
  <pageMargins left="0.23622047244094491" right="0.23622047244094491" top="0.74803149606299213" bottom="0.74803149606299213" header="0.31496062992125984" footer="0.31496062992125984"/>
  <pageSetup paperSize="9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0"/>
  <sheetViews>
    <sheetView topLeftCell="A76" zoomScale="80" zoomScaleNormal="80" workbookViewId="0">
      <selection activeCell="H113" sqref="H113"/>
    </sheetView>
  </sheetViews>
  <sheetFormatPr defaultColWidth="9.140625" defaultRowHeight="13.5" x14ac:dyDescent="0.25"/>
  <cols>
    <col min="1" max="1" width="6.5703125" style="933" customWidth="1"/>
    <col min="2" max="2" width="16" style="919" customWidth="1"/>
    <col min="3" max="3" width="12.85546875" style="919" bestFit="1" customWidth="1"/>
    <col min="4" max="4" width="14.28515625" style="919" bestFit="1" customWidth="1"/>
    <col min="5" max="5" width="13.85546875" style="919" bestFit="1" customWidth="1"/>
    <col min="6" max="6" width="14.28515625" style="918" bestFit="1" customWidth="1"/>
    <col min="7" max="7" width="12.5703125" style="919" bestFit="1" customWidth="1"/>
    <col min="8" max="8" width="14.5703125" style="919" customWidth="1"/>
    <col min="9" max="9" width="13.7109375" style="919" customWidth="1"/>
    <col min="10" max="10" width="14.7109375" style="918" customWidth="1"/>
    <col min="11" max="11" width="13.140625" style="919" bestFit="1" customWidth="1"/>
    <col min="12" max="12" width="13.85546875" style="919" bestFit="1" customWidth="1"/>
    <col min="13" max="13" width="12.85546875" style="919" customWidth="1"/>
    <col min="14" max="14" width="13" style="919" customWidth="1"/>
    <col min="15" max="15" width="17.28515625" style="933" customWidth="1"/>
    <col min="16" max="16" width="17.42578125" style="917" bestFit="1" customWidth="1"/>
    <col min="17" max="17" width="14.5703125" style="918" bestFit="1" customWidth="1"/>
    <col min="18" max="18" width="11.28515625" style="919" bestFit="1" customWidth="1"/>
    <col min="19" max="19" width="14.28515625" style="918" bestFit="1" customWidth="1"/>
    <col min="20" max="16384" width="9.140625" style="919"/>
  </cols>
  <sheetData>
    <row r="2" spans="1:19" s="931" customFormat="1" ht="19.5" x14ac:dyDescent="0.35">
      <c r="A2" s="2570" t="s">
        <v>864</v>
      </c>
      <c r="B2" s="2571"/>
      <c r="C2" s="2571"/>
      <c r="D2" s="2572"/>
      <c r="E2" s="2572"/>
      <c r="F2" s="2573"/>
      <c r="G2" s="2572"/>
      <c r="H2" s="2572"/>
      <c r="I2" s="2572"/>
      <c r="J2" s="2573"/>
      <c r="K2" s="2572"/>
      <c r="L2" s="2572"/>
      <c r="M2" s="2572"/>
      <c r="N2" s="2572"/>
      <c r="O2" s="2574"/>
      <c r="P2" s="929" t="s">
        <v>875</v>
      </c>
      <c r="Q2" s="930"/>
      <c r="S2" s="930"/>
    </row>
    <row r="3" spans="1:19" x14ac:dyDescent="0.25">
      <c r="A3" s="920"/>
      <c r="B3" s="921"/>
      <c r="C3" s="921"/>
      <c r="D3" s="921"/>
      <c r="E3" s="921"/>
      <c r="F3" s="922"/>
      <c r="G3" s="921"/>
      <c r="H3" s="921"/>
      <c r="I3" s="921"/>
      <c r="J3" s="922"/>
      <c r="K3" s="921"/>
      <c r="L3" s="921"/>
      <c r="M3" s="921"/>
      <c r="N3" s="921"/>
      <c r="O3" s="920"/>
    </row>
    <row r="4" spans="1:19" x14ac:dyDescent="0.25">
      <c r="A4" s="920"/>
      <c r="B4" s="921"/>
      <c r="C4" s="921">
        <v>1</v>
      </c>
      <c r="D4" s="921">
        <v>2</v>
      </c>
      <c r="E4" s="921">
        <v>3</v>
      </c>
      <c r="F4" s="922">
        <v>4</v>
      </c>
      <c r="G4" s="921">
        <v>5</v>
      </c>
      <c r="H4" s="921">
        <v>6</v>
      </c>
      <c r="I4" s="921">
        <v>7</v>
      </c>
      <c r="J4" s="922">
        <v>8</v>
      </c>
      <c r="K4" s="921">
        <v>9</v>
      </c>
      <c r="L4" s="921">
        <v>10</v>
      </c>
      <c r="M4" s="921">
        <v>11</v>
      </c>
      <c r="N4" s="921">
        <v>12</v>
      </c>
      <c r="O4" s="920" t="s">
        <v>601</v>
      </c>
    </row>
    <row r="5" spans="1:19" x14ac:dyDescent="0.25">
      <c r="A5" s="920">
        <v>1111</v>
      </c>
      <c r="B5" s="921" t="s">
        <v>865</v>
      </c>
      <c r="C5" s="922">
        <v>1591973.52</v>
      </c>
      <c r="D5" s="922">
        <v>1388172.89</v>
      </c>
      <c r="E5" s="922">
        <v>1204634.68</v>
      </c>
      <c r="F5" s="922">
        <v>888886.56</v>
      </c>
      <c r="G5" s="922">
        <v>1159538.94</v>
      </c>
      <c r="H5" s="922">
        <v>1465101.48</v>
      </c>
      <c r="I5" s="922">
        <v>1370316.36</v>
      </c>
      <c r="J5" s="922">
        <v>1403711.47</v>
      </c>
      <c r="K5" s="922">
        <v>1619208.44</v>
      </c>
      <c r="L5" s="922">
        <v>1397238.72</v>
      </c>
      <c r="M5" s="922">
        <v>1562251.76</v>
      </c>
      <c r="N5" s="922">
        <v>1880460.08</v>
      </c>
      <c r="O5" s="923">
        <f t="shared" ref="O5:O11" si="0">SUM(C5:N5)</f>
        <v>16931494.899999999</v>
      </c>
    </row>
    <row r="6" spans="1:19" x14ac:dyDescent="0.25">
      <c r="A6" s="920">
        <v>1112</v>
      </c>
      <c r="B6" s="921" t="s">
        <v>865</v>
      </c>
      <c r="C6" s="922">
        <v>122982.94</v>
      </c>
      <c r="D6" s="922">
        <v>0</v>
      </c>
      <c r="E6" s="922">
        <v>0</v>
      </c>
      <c r="F6" s="922">
        <v>21124.75</v>
      </c>
      <c r="G6" s="922">
        <v>0</v>
      </c>
      <c r="H6" s="922">
        <v>60618.63</v>
      </c>
      <c r="I6" s="922">
        <v>170162.62</v>
      </c>
      <c r="J6" s="922">
        <v>104415.87</v>
      </c>
      <c r="K6" s="922">
        <v>530807.64</v>
      </c>
      <c r="L6" s="922">
        <v>100397.04</v>
      </c>
      <c r="M6" s="922">
        <v>85554.97</v>
      </c>
      <c r="N6" s="922">
        <v>988044.91</v>
      </c>
      <c r="O6" s="923">
        <f t="shared" si="0"/>
        <v>2184109.37</v>
      </c>
    </row>
    <row r="7" spans="1:19" ht="16.5" x14ac:dyDescent="0.3">
      <c r="A7" s="920">
        <v>1113</v>
      </c>
      <c r="B7" s="921" t="s">
        <v>865</v>
      </c>
      <c r="C7" s="922">
        <v>0</v>
      </c>
      <c r="D7" s="924">
        <v>189531.42</v>
      </c>
      <c r="E7" s="922">
        <v>97195</v>
      </c>
      <c r="F7" s="922">
        <v>241947.47</v>
      </c>
      <c r="G7" s="922">
        <v>111299.71</v>
      </c>
      <c r="H7" s="922">
        <v>74476.289999999994</v>
      </c>
      <c r="I7" s="922">
        <v>0</v>
      </c>
      <c r="J7" s="922">
        <v>60882.59</v>
      </c>
      <c r="K7" s="922">
        <v>217585.85</v>
      </c>
      <c r="L7" s="922">
        <v>94901.95</v>
      </c>
      <c r="M7" s="922">
        <v>62044.31</v>
      </c>
      <c r="N7" s="922">
        <v>54914.79</v>
      </c>
      <c r="O7" s="923">
        <f t="shared" si="0"/>
        <v>1204779.3800000001</v>
      </c>
    </row>
    <row r="8" spans="1:19" x14ac:dyDescent="0.25">
      <c r="A8" s="920">
        <v>1121</v>
      </c>
      <c r="B8" s="921" t="s">
        <v>866</v>
      </c>
      <c r="C8" s="922">
        <v>577223.49</v>
      </c>
      <c r="D8" s="922">
        <v>129111.67999999999</v>
      </c>
      <c r="E8" s="922">
        <v>3929344.62</v>
      </c>
      <c r="F8" s="922">
        <v>953034.83</v>
      </c>
      <c r="G8" s="922">
        <v>32479.77</v>
      </c>
      <c r="H8" s="922">
        <v>2981359.98</v>
      </c>
      <c r="I8" s="922">
        <v>3417029.22</v>
      </c>
      <c r="J8" s="922">
        <v>0</v>
      </c>
      <c r="K8" s="922">
        <v>2918198.5</v>
      </c>
      <c r="L8" s="922">
        <v>900921.37</v>
      </c>
      <c r="M8" s="922">
        <v>113518.63</v>
      </c>
      <c r="N8" s="922">
        <v>3138736.76</v>
      </c>
      <c r="O8" s="923">
        <f t="shared" si="0"/>
        <v>19090958.850000001</v>
      </c>
    </row>
    <row r="9" spans="1:19" x14ac:dyDescent="0.25">
      <c r="A9" s="920">
        <v>1211</v>
      </c>
      <c r="B9" s="921" t="s">
        <v>867</v>
      </c>
      <c r="C9" s="922">
        <v>2675134.29</v>
      </c>
      <c r="D9" s="922">
        <v>3683518.98</v>
      </c>
      <c r="E9" s="922">
        <v>1180811.78</v>
      </c>
      <c r="F9" s="922">
        <v>2223444.0499999998</v>
      </c>
      <c r="G9" s="922">
        <v>3139389.11</v>
      </c>
      <c r="H9" s="922">
        <v>2218744.1</v>
      </c>
      <c r="I9" s="922">
        <v>2432168.4300000002</v>
      </c>
      <c r="J9" s="922">
        <v>3632832.3</v>
      </c>
      <c r="K9" s="922">
        <v>2323232.9300000002</v>
      </c>
      <c r="L9" s="922">
        <v>2785012.24</v>
      </c>
      <c r="M9" s="922">
        <v>3751724.71</v>
      </c>
      <c r="N9" s="922">
        <v>2825026.03</v>
      </c>
      <c r="O9" s="923">
        <f t="shared" si="0"/>
        <v>32871038.950000003</v>
      </c>
    </row>
    <row r="10" spans="1:19" x14ac:dyDescent="0.25">
      <c r="A10" s="920">
        <v>1511</v>
      </c>
      <c r="B10" s="921" t="s">
        <v>868</v>
      </c>
      <c r="C10" s="922">
        <v>49662.720000000001</v>
      </c>
      <c r="D10" s="922">
        <v>4221.21</v>
      </c>
      <c r="E10" s="922">
        <v>1074.99</v>
      </c>
      <c r="F10" s="922">
        <v>44488.31</v>
      </c>
      <c r="G10" s="922">
        <v>2123.1</v>
      </c>
      <c r="H10" s="922">
        <v>4941035.25</v>
      </c>
      <c r="I10" s="922">
        <v>563771.05000000005</v>
      </c>
      <c r="J10" s="922">
        <v>69386.34</v>
      </c>
      <c r="K10" s="922">
        <v>35258.92</v>
      </c>
      <c r="L10" s="922">
        <v>33905.56</v>
      </c>
      <c r="M10" s="922">
        <v>5677.74</v>
      </c>
      <c r="N10" s="922">
        <v>1387678.5</v>
      </c>
      <c r="O10" s="923">
        <f t="shared" si="0"/>
        <v>7138283.6899999995</v>
      </c>
    </row>
    <row r="11" spans="1:19" s="931" customFormat="1" x14ac:dyDescent="0.25">
      <c r="A11" s="925"/>
      <c r="B11" s="926" t="s">
        <v>869</v>
      </c>
      <c r="C11" s="927">
        <f t="shared" ref="C11:N11" si="1">SUM(C5:C10)</f>
        <v>5016976.96</v>
      </c>
      <c r="D11" s="927">
        <f t="shared" si="1"/>
        <v>5394556.1799999997</v>
      </c>
      <c r="E11" s="927">
        <f t="shared" si="1"/>
        <v>6413061.0700000003</v>
      </c>
      <c r="F11" s="927">
        <f t="shared" si="1"/>
        <v>4372925.97</v>
      </c>
      <c r="G11" s="927">
        <f t="shared" si="1"/>
        <v>4444830.629999999</v>
      </c>
      <c r="H11" s="927">
        <f t="shared" si="1"/>
        <v>11741335.73</v>
      </c>
      <c r="I11" s="927">
        <f t="shared" si="1"/>
        <v>7953447.6800000006</v>
      </c>
      <c r="J11" s="927">
        <f t="shared" si="1"/>
        <v>5271228.5699999994</v>
      </c>
      <c r="K11" s="927">
        <f t="shared" si="1"/>
        <v>7644292.2799999993</v>
      </c>
      <c r="L11" s="927">
        <f t="shared" si="1"/>
        <v>5312376.88</v>
      </c>
      <c r="M11" s="927">
        <f t="shared" si="1"/>
        <v>5580772.1200000001</v>
      </c>
      <c r="N11" s="927">
        <f t="shared" si="1"/>
        <v>10274861.07</v>
      </c>
      <c r="O11" s="928">
        <f t="shared" si="0"/>
        <v>79420665.140000015</v>
      </c>
      <c r="P11" s="929"/>
      <c r="Q11" s="930">
        <f>SUM(C11:G11)</f>
        <v>25642350.809999999</v>
      </c>
      <c r="S11" s="930"/>
    </row>
    <row r="14" spans="1:19" s="931" customFormat="1" ht="19.5" x14ac:dyDescent="0.35">
      <c r="A14" s="2570" t="s">
        <v>870</v>
      </c>
      <c r="B14" s="2571"/>
      <c r="C14" s="2571"/>
      <c r="D14" s="2572"/>
      <c r="E14" s="2572"/>
      <c r="F14" s="2573"/>
      <c r="G14" s="2572"/>
      <c r="H14" s="2572"/>
      <c r="I14" s="2572"/>
      <c r="J14" s="2573"/>
      <c r="K14" s="2572"/>
      <c r="L14" s="2572"/>
      <c r="M14" s="2572"/>
      <c r="N14" s="2572"/>
      <c r="O14" s="2574"/>
      <c r="P14" s="929"/>
      <c r="Q14" s="930"/>
      <c r="S14" s="930"/>
    </row>
    <row r="15" spans="1:19" x14ac:dyDescent="0.25">
      <c r="A15" s="920"/>
      <c r="B15" s="921"/>
      <c r="C15" s="921"/>
      <c r="D15" s="921"/>
      <c r="E15" s="921"/>
      <c r="F15" s="922"/>
      <c r="G15" s="921"/>
      <c r="H15" s="921"/>
      <c r="I15" s="921"/>
      <c r="J15" s="922"/>
      <c r="K15" s="921"/>
      <c r="L15" s="921"/>
      <c r="M15" s="921"/>
      <c r="N15" s="921"/>
      <c r="O15" s="920"/>
    </row>
    <row r="16" spans="1:19" x14ac:dyDescent="0.25">
      <c r="A16" s="920"/>
      <c r="B16" s="921"/>
      <c r="C16" s="921">
        <v>1</v>
      </c>
      <c r="D16" s="921">
        <v>2</v>
      </c>
      <c r="E16" s="921">
        <v>3</v>
      </c>
      <c r="F16" s="922">
        <v>4</v>
      </c>
      <c r="G16" s="921">
        <v>5</v>
      </c>
      <c r="H16" s="921">
        <v>6</v>
      </c>
      <c r="I16" s="921">
        <v>7</v>
      </c>
      <c r="J16" s="922">
        <v>8</v>
      </c>
      <c r="K16" s="921">
        <v>9</v>
      </c>
      <c r="L16" s="921">
        <v>10</v>
      </c>
      <c r="M16" s="921">
        <v>11</v>
      </c>
      <c r="N16" s="921">
        <v>12</v>
      </c>
      <c r="O16" s="920" t="s">
        <v>601</v>
      </c>
    </row>
    <row r="17" spans="1:19" x14ac:dyDescent="0.25">
      <c r="A17" s="920">
        <v>1111</v>
      </c>
      <c r="B17" s="921" t="s">
        <v>865</v>
      </c>
      <c r="C17" s="922">
        <v>1595317.86</v>
      </c>
      <c r="D17" s="922">
        <v>1618140.2</v>
      </c>
      <c r="E17" s="922">
        <v>1308358.03</v>
      </c>
      <c r="F17" s="922">
        <v>1153036.8799999999</v>
      </c>
      <c r="G17" s="922">
        <v>1424911.3600000001</v>
      </c>
      <c r="H17" s="922">
        <v>1690711.15</v>
      </c>
      <c r="I17" s="922">
        <v>1642781.83</v>
      </c>
      <c r="J17" s="922">
        <v>1673546</v>
      </c>
      <c r="K17" s="922">
        <v>1677915</v>
      </c>
      <c r="L17" s="922">
        <v>1501382</v>
      </c>
      <c r="M17" s="922">
        <v>1783042</v>
      </c>
      <c r="N17" s="922">
        <v>1967463</v>
      </c>
      <c r="O17" s="923">
        <f t="shared" ref="O17:O23" si="2">SUM(C17:N17)</f>
        <v>19036605.310000002</v>
      </c>
    </row>
    <row r="18" spans="1:19" x14ac:dyDescent="0.25">
      <c r="A18" s="920">
        <v>1112</v>
      </c>
      <c r="B18" s="921" t="s">
        <v>865</v>
      </c>
      <c r="C18" s="922">
        <v>49333.16</v>
      </c>
      <c r="D18" s="922">
        <v>20069.939999999999</v>
      </c>
      <c r="E18" s="922">
        <v>49786.54</v>
      </c>
      <c r="F18" s="922">
        <v>0</v>
      </c>
      <c r="G18" s="922">
        <v>0</v>
      </c>
      <c r="H18" s="922">
        <v>0</v>
      </c>
      <c r="I18" s="922">
        <v>84463.33</v>
      </c>
      <c r="J18" s="922">
        <v>0</v>
      </c>
      <c r="K18" s="922">
        <v>73533</v>
      </c>
      <c r="L18" s="922">
        <v>33631</v>
      </c>
      <c r="M18" s="922">
        <v>23891</v>
      </c>
      <c r="N18" s="922">
        <v>166831</v>
      </c>
      <c r="O18" s="923">
        <f t="shared" si="2"/>
        <v>501538.97000000003</v>
      </c>
    </row>
    <row r="19" spans="1:19" x14ac:dyDescent="0.25">
      <c r="A19" s="920">
        <v>1113</v>
      </c>
      <c r="B19" s="921" t="s">
        <v>865</v>
      </c>
      <c r="C19" s="922">
        <v>131768.54999999999</v>
      </c>
      <c r="D19" s="922">
        <v>169263.99</v>
      </c>
      <c r="E19" s="922">
        <v>90505.47</v>
      </c>
      <c r="F19" s="922">
        <v>104757.35</v>
      </c>
      <c r="G19" s="922">
        <v>120861.15</v>
      </c>
      <c r="H19" s="922">
        <v>150228.47</v>
      </c>
      <c r="I19" s="922">
        <v>169161.35</v>
      </c>
      <c r="J19" s="922">
        <v>173670</v>
      </c>
      <c r="K19" s="922">
        <v>196330</v>
      </c>
      <c r="L19" s="922">
        <v>155041</v>
      </c>
      <c r="M19" s="922">
        <v>143777</v>
      </c>
      <c r="N19" s="922">
        <v>127811</v>
      </c>
      <c r="O19" s="923">
        <f t="shared" si="2"/>
        <v>1733175.33</v>
      </c>
    </row>
    <row r="20" spans="1:19" x14ac:dyDescent="0.25">
      <c r="A20" s="920">
        <v>1121</v>
      </c>
      <c r="B20" s="921" t="s">
        <v>866</v>
      </c>
      <c r="C20" s="922">
        <v>449044.62</v>
      </c>
      <c r="D20" s="922">
        <v>160582.79999999999</v>
      </c>
      <c r="E20" s="922">
        <v>3967985.88</v>
      </c>
      <c r="F20" s="922">
        <v>1007607.03</v>
      </c>
      <c r="G20" s="922">
        <v>10926.26</v>
      </c>
      <c r="H20" s="922">
        <v>3336568.47</v>
      </c>
      <c r="I20" s="922">
        <v>3381127.06</v>
      </c>
      <c r="J20" s="922">
        <v>0</v>
      </c>
      <c r="K20" s="922">
        <v>2605416</v>
      </c>
      <c r="L20" s="922">
        <v>926622</v>
      </c>
      <c r="M20" s="922">
        <v>191178</v>
      </c>
      <c r="N20" s="922">
        <v>3294143</v>
      </c>
      <c r="O20" s="923">
        <f t="shared" si="2"/>
        <v>19331201.120000001</v>
      </c>
    </row>
    <row r="21" spans="1:19" x14ac:dyDescent="0.25">
      <c r="A21" s="920">
        <v>1211</v>
      </c>
      <c r="B21" s="921" t="s">
        <v>867</v>
      </c>
      <c r="C21" s="922">
        <v>3211312.81</v>
      </c>
      <c r="D21" s="922">
        <v>4054190.36</v>
      </c>
      <c r="E21" s="922">
        <v>1771359.41</v>
      </c>
      <c r="F21" s="922">
        <v>2169593.98</v>
      </c>
      <c r="G21" s="922">
        <v>4094007.18</v>
      </c>
      <c r="H21" s="922">
        <v>2396601.79</v>
      </c>
      <c r="I21" s="922">
        <v>3164409.58</v>
      </c>
      <c r="J21" s="922">
        <v>3976303</v>
      </c>
      <c r="K21" s="922">
        <v>2106576</v>
      </c>
      <c r="L21" s="922">
        <v>3142075</v>
      </c>
      <c r="M21" s="922">
        <v>4043377</v>
      </c>
      <c r="N21" s="922">
        <v>3285197</v>
      </c>
      <c r="O21" s="923">
        <f t="shared" si="2"/>
        <v>37415003.109999999</v>
      </c>
    </row>
    <row r="22" spans="1:19" x14ac:dyDescent="0.25">
      <c r="A22" s="920">
        <v>1511</v>
      </c>
      <c r="B22" s="921" t="s">
        <v>868</v>
      </c>
      <c r="C22" s="922">
        <v>54410.9</v>
      </c>
      <c r="D22" s="922">
        <v>5407.04</v>
      </c>
      <c r="E22" s="922">
        <v>2640.7</v>
      </c>
      <c r="F22" s="922">
        <v>9896</v>
      </c>
      <c r="G22" s="922">
        <v>17053.3</v>
      </c>
      <c r="H22" s="922">
        <v>5164884.5599999996</v>
      </c>
      <c r="I22" s="922">
        <v>267076.09999999998</v>
      </c>
      <c r="J22" s="922">
        <v>144951</v>
      </c>
      <c r="K22" s="932">
        <v>0</v>
      </c>
      <c r="L22" s="932">
        <v>0</v>
      </c>
      <c r="M22" s="932">
        <v>0</v>
      </c>
      <c r="N22" s="922">
        <v>1025913</v>
      </c>
      <c r="O22" s="923">
        <f t="shared" si="2"/>
        <v>6692232.5999999996</v>
      </c>
    </row>
    <row r="23" spans="1:19" s="931" customFormat="1" x14ac:dyDescent="0.25">
      <c r="A23" s="925"/>
      <c r="B23" s="926" t="s">
        <v>869</v>
      </c>
      <c r="C23" s="927">
        <f t="shared" ref="C23:I23" si="3">SUM(C17:C22)</f>
        <v>5491187.9000000004</v>
      </c>
      <c r="D23" s="927">
        <f t="shared" si="3"/>
        <v>6027654.3300000001</v>
      </c>
      <c r="E23" s="927">
        <f t="shared" si="3"/>
        <v>7190636.0300000003</v>
      </c>
      <c r="F23" s="927">
        <f t="shared" si="3"/>
        <v>4444891.24</v>
      </c>
      <c r="G23" s="927">
        <f t="shared" si="3"/>
        <v>5667759.25</v>
      </c>
      <c r="H23" s="927">
        <f t="shared" si="3"/>
        <v>12738994.439999999</v>
      </c>
      <c r="I23" s="927">
        <f t="shared" si="3"/>
        <v>8709019.25</v>
      </c>
      <c r="J23" s="927">
        <f>SUM(J17:J22)</f>
        <v>5968470</v>
      </c>
      <c r="K23" s="927">
        <f>SUM(K17:K22)</f>
        <v>6659770</v>
      </c>
      <c r="L23" s="927">
        <f>SUM(L17:L22)</f>
        <v>5758751</v>
      </c>
      <c r="M23" s="927">
        <f>SUM(M17:M22)</f>
        <v>6185265</v>
      </c>
      <c r="N23" s="927">
        <f>SUM(N17:N22)</f>
        <v>9867358</v>
      </c>
      <c r="O23" s="928">
        <f t="shared" si="2"/>
        <v>84709756.439999998</v>
      </c>
      <c r="P23" s="929">
        <f>+Q23/Q11*O11</f>
        <v>89269219.231765032</v>
      </c>
      <c r="Q23" s="930">
        <f>SUM(C23:G23)</f>
        <v>28822128.75</v>
      </c>
      <c r="S23" s="930"/>
    </row>
    <row r="24" spans="1:19" x14ac:dyDescent="0.25">
      <c r="O24" s="917"/>
    </row>
    <row r="26" spans="1:19" s="931" customFormat="1" ht="19.5" x14ac:dyDescent="0.35">
      <c r="A26" s="2570" t="s">
        <v>871</v>
      </c>
      <c r="B26" s="2571"/>
      <c r="C26" s="2571"/>
      <c r="D26" s="2572"/>
      <c r="E26" s="2572"/>
      <c r="F26" s="2573"/>
      <c r="G26" s="2572"/>
      <c r="H26" s="2572"/>
      <c r="I26" s="2572"/>
      <c r="J26" s="2573"/>
      <c r="K26" s="2572"/>
      <c r="L26" s="2572"/>
      <c r="M26" s="2572"/>
      <c r="N26" s="2572"/>
      <c r="O26" s="2574"/>
      <c r="P26" s="929"/>
      <c r="Q26" s="930"/>
      <c r="S26" s="930"/>
    </row>
    <row r="27" spans="1:19" ht="15.75" x14ac:dyDescent="0.3">
      <c r="A27" s="920"/>
      <c r="B27" s="921"/>
      <c r="C27" s="921"/>
      <c r="D27" s="921"/>
      <c r="E27" s="921"/>
      <c r="F27" s="922"/>
      <c r="G27" s="921"/>
      <c r="H27" s="921"/>
      <c r="I27" s="921"/>
      <c r="J27" s="922"/>
      <c r="K27" s="921"/>
      <c r="L27" s="921"/>
      <c r="M27" s="921"/>
      <c r="N27" s="921"/>
      <c r="O27" s="934" t="s">
        <v>872</v>
      </c>
    </row>
    <row r="28" spans="1:19" x14ac:dyDescent="0.25">
      <c r="A28" s="920"/>
      <c r="B28" s="921"/>
      <c r="C28" s="921">
        <v>1</v>
      </c>
      <c r="D28" s="921">
        <v>2</v>
      </c>
      <c r="E28" s="921">
        <v>3</v>
      </c>
      <c r="F28" s="922">
        <v>4</v>
      </c>
      <c r="G28" s="921">
        <v>5</v>
      </c>
      <c r="H28" s="921">
        <v>6</v>
      </c>
      <c r="I28" s="921">
        <v>7</v>
      </c>
      <c r="J28" s="922">
        <v>8</v>
      </c>
      <c r="K28" s="921">
        <v>9</v>
      </c>
      <c r="L28" s="921">
        <v>10</v>
      </c>
      <c r="M28" s="921">
        <v>11</v>
      </c>
      <c r="N28" s="921">
        <v>12</v>
      </c>
      <c r="O28" s="920" t="s">
        <v>601</v>
      </c>
    </row>
    <row r="29" spans="1:19" x14ac:dyDescent="0.25">
      <c r="A29" s="920">
        <v>1111</v>
      </c>
      <c r="B29" s="921" t="s">
        <v>865</v>
      </c>
      <c r="C29" s="922">
        <v>1885091</v>
      </c>
      <c r="D29" s="922">
        <v>1864557</v>
      </c>
      <c r="E29" s="922">
        <v>1542797</v>
      </c>
      <c r="F29" s="922">
        <v>1300587</v>
      </c>
      <c r="G29" s="922">
        <v>1721366</v>
      </c>
      <c r="H29" s="922">
        <v>1988236</v>
      </c>
      <c r="I29" s="922">
        <v>1843543</v>
      </c>
      <c r="J29" s="922">
        <v>2029526</v>
      </c>
      <c r="K29" s="922">
        <v>1999005</v>
      </c>
      <c r="L29" s="922">
        <v>1901175</v>
      </c>
      <c r="M29" s="922">
        <v>1966740</v>
      </c>
      <c r="N29" s="922">
        <v>2207207.0299999998</v>
      </c>
      <c r="O29" s="923">
        <f t="shared" ref="O29:O35" si="4">SUM(C29:N29)</f>
        <v>22249830.030000001</v>
      </c>
      <c r="Q29" s="930">
        <f>SUM(C29:N29)</f>
        <v>22249830.030000001</v>
      </c>
      <c r="S29" s="918">
        <f>SUM(C29:N29)</f>
        <v>22249830.030000001</v>
      </c>
    </row>
    <row r="30" spans="1:19" x14ac:dyDescent="0.25">
      <c r="A30" s="920">
        <v>1112</v>
      </c>
      <c r="B30" s="921" t="s">
        <v>865</v>
      </c>
      <c r="C30" s="922">
        <v>43685</v>
      </c>
      <c r="D30" s="922">
        <v>22690</v>
      </c>
      <c r="E30" s="922">
        <v>65386</v>
      </c>
      <c r="F30" s="922">
        <v>0</v>
      </c>
      <c r="G30" s="922">
        <v>0</v>
      </c>
      <c r="H30" s="922">
        <v>0</v>
      </c>
      <c r="I30" s="922">
        <v>40310</v>
      </c>
      <c r="J30" s="922">
        <v>0</v>
      </c>
      <c r="K30" s="922">
        <v>81979</v>
      </c>
      <c r="L30" s="922">
        <v>36683</v>
      </c>
      <c r="M30" s="922">
        <v>33441</v>
      </c>
      <c r="N30" s="922">
        <v>172150</v>
      </c>
      <c r="O30" s="923">
        <f t="shared" si="4"/>
        <v>496324</v>
      </c>
      <c r="Q30" s="930">
        <f t="shared" ref="Q30:Q34" si="5">SUM(C30:N30)</f>
        <v>496324</v>
      </c>
      <c r="S30" s="918">
        <f t="shared" ref="S30:S33" si="6">SUM(C30:N30)</f>
        <v>496324</v>
      </c>
    </row>
    <row r="31" spans="1:19" x14ac:dyDescent="0.25">
      <c r="A31" s="920">
        <v>1113</v>
      </c>
      <c r="B31" s="921" t="s">
        <v>865</v>
      </c>
      <c r="C31" s="922">
        <v>123700</v>
      </c>
      <c r="D31" s="922">
        <v>184881</v>
      </c>
      <c r="E31" s="922">
        <v>103538</v>
      </c>
      <c r="F31" s="922">
        <v>123308</v>
      </c>
      <c r="G31" s="922">
        <v>146049</v>
      </c>
      <c r="H31" s="922">
        <v>170979</v>
      </c>
      <c r="I31" s="922">
        <v>211495</v>
      </c>
      <c r="J31" s="922">
        <v>217869</v>
      </c>
      <c r="K31" s="922">
        <v>218784</v>
      </c>
      <c r="L31" s="922">
        <v>196582</v>
      </c>
      <c r="M31" s="922">
        <v>167068</v>
      </c>
      <c r="N31" s="922">
        <v>149223</v>
      </c>
      <c r="O31" s="923">
        <f t="shared" si="4"/>
        <v>2013476</v>
      </c>
      <c r="Q31" s="930">
        <f t="shared" si="5"/>
        <v>2013476</v>
      </c>
      <c r="S31" s="918">
        <f t="shared" si="6"/>
        <v>2013476</v>
      </c>
    </row>
    <row r="32" spans="1:19" x14ac:dyDescent="0.25">
      <c r="A32" s="920">
        <v>1121</v>
      </c>
      <c r="B32" s="921" t="s">
        <v>866</v>
      </c>
      <c r="C32" s="922">
        <v>497847</v>
      </c>
      <c r="D32" s="922">
        <v>101835</v>
      </c>
      <c r="E32" s="922">
        <v>4115502</v>
      </c>
      <c r="F32" s="922">
        <v>1084435</v>
      </c>
      <c r="G32" s="922">
        <v>8844</v>
      </c>
      <c r="H32" s="922">
        <v>3576108</v>
      </c>
      <c r="I32" s="922">
        <v>3544176</v>
      </c>
      <c r="J32" s="922">
        <v>0</v>
      </c>
      <c r="K32" s="922">
        <v>1687374</v>
      </c>
      <c r="L32" s="922">
        <v>1783135</v>
      </c>
      <c r="M32" s="922">
        <v>134977</v>
      </c>
      <c r="N32" s="922">
        <v>2740712</v>
      </c>
      <c r="O32" s="923">
        <f t="shared" si="4"/>
        <v>19274945</v>
      </c>
      <c r="Q32" s="930">
        <f t="shared" si="5"/>
        <v>19274945</v>
      </c>
      <c r="S32" s="918">
        <f t="shared" si="6"/>
        <v>19274945</v>
      </c>
    </row>
    <row r="33" spans="1:20" x14ac:dyDescent="0.25">
      <c r="A33" s="920">
        <v>1211</v>
      </c>
      <c r="B33" s="921" t="s">
        <v>867</v>
      </c>
      <c r="C33" s="922">
        <v>3530714</v>
      </c>
      <c r="D33" s="922">
        <v>5169783</v>
      </c>
      <c r="E33" s="922">
        <v>2459557</v>
      </c>
      <c r="F33" s="922">
        <v>2839921</v>
      </c>
      <c r="G33" s="922">
        <v>4322500</v>
      </c>
      <c r="H33" s="922">
        <v>3469178</v>
      </c>
      <c r="I33" s="922">
        <v>3661077</v>
      </c>
      <c r="J33" s="922">
        <v>4748419</v>
      </c>
      <c r="K33" s="922">
        <v>3053498</v>
      </c>
      <c r="L33" s="922">
        <v>3738236</v>
      </c>
      <c r="M33" s="922">
        <v>4988891</v>
      </c>
      <c r="N33" s="922">
        <v>4240201</v>
      </c>
      <c r="O33" s="923">
        <f t="shared" si="4"/>
        <v>46221975</v>
      </c>
      <c r="Q33" s="930">
        <f t="shared" si="5"/>
        <v>46221975</v>
      </c>
      <c r="S33" s="918">
        <f t="shared" si="6"/>
        <v>46221975</v>
      </c>
    </row>
    <row r="34" spans="1:20" x14ac:dyDescent="0.25">
      <c r="A34" s="920">
        <v>1511</v>
      </c>
      <c r="B34" s="921" t="s">
        <v>868</v>
      </c>
      <c r="C34" s="922">
        <v>66670</v>
      </c>
      <c r="D34" s="922">
        <v>1344</v>
      </c>
      <c r="E34" s="922">
        <v>67780</v>
      </c>
      <c r="F34" s="922">
        <v>65693</v>
      </c>
      <c r="G34" s="922">
        <v>11723</v>
      </c>
      <c r="H34" s="922">
        <v>5247506</v>
      </c>
      <c r="I34" s="922">
        <v>374695</v>
      </c>
      <c r="J34" s="922">
        <v>141588</v>
      </c>
      <c r="K34" s="922">
        <v>183478</v>
      </c>
      <c r="L34" s="922">
        <v>45619</v>
      </c>
      <c r="M34" s="922">
        <v>39131</v>
      </c>
      <c r="N34" s="922">
        <v>1323329</v>
      </c>
      <c r="O34" s="923">
        <f t="shared" si="4"/>
        <v>7568556</v>
      </c>
      <c r="Q34" s="930">
        <f t="shared" si="5"/>
        <v>7568556</v>
      </c>
    </row>
    <row r="35" spans="1:20" s="931" customFormat="1" x14ac:dyDescent="0.25">
      <c r="A35" s="925"/>
      <c r="B35" s="926" t="s">
        <v>869</v>
      </c>
      <c r="C35" s="927">
        <f t="shared" ref="C35:L35" si="7">SUM(C29:C34)</f>
        <v>6147707</v>
      </c>
      <c r="D35" s="927">
        <f t="shared" si="7"/>
        <v>7345090</v>
      </c>
      <c r="E35" s="927">
        <f t="shared" si="7"/>
        <v>8354560</v>
      </c>
      <c r="F35" s="927">
        <f t="shared" si="7"/>
        <v>5413944</v>
      </c>
      <c r="G35" s="927">
        <f t="shared" si="7"/>
        <v>6210482</v>
      </c>
      <c r="H35" s="927">
        <f t="shared" si="7"/>
        <v>14452007</v>
      </c>
      <c r="I35" s="927">
        <f t="shared" si="7"/>
        <v>9675296</v>
      </c>
      <c r="J35" s="927">
        <f t="shared" si="7"/>
        <v>7137402</v>
      </c>
      <c r="K35" s="927">
        <f t="shared" si="7"/>
        <v>7224118</v>
      </c>
      <c r="L35" s="927">
        <f t="shared" si="7"/>
        <v>7701430</v>
      </c>
      <c r="M35" s="927">
        <f>SUM(M29:M34)</f>
        <v>7330248</v>
      </c>
      <c r="N35" s="927">
        <f>SUM(N29:N34)</f>
        <v>10832822.029999999</v>
      </c>
      <c r="O35" s="928">
        <f t="shared" si="4"/>
        <v>97825106.030000001</v>
      </c>
      <c r="P35" s="929">
        <f>+Q35/Q23*O23</f>
        <v>287513145.79838157</v>
      </c>
      <c r="Q35" s="930">
        <f>SUM(C35:N35)</f>
        <v>97825106.030000001</v>
      </c>
      <c r="R35" s="935" t="s">
        <v>874</v>
      </c>
      <c r="S35" s="930">
        <f>SUM(S29:S34)</f>
        <v>90256550.030000001</v>
      </c>
    </row>
    <row r="36" spans="1:20" x14ac:dyDescent="0.25">
      <c r="O36" s="917"/>
    </row>
    <row r="38" spans="1:20" s="931" customFormat="1" ht="19.5" x14ac:dyDescent="0.35">
      <c r="A38" s="2570" t="s">
        <v>873</v>
      </c>
      <c r="B38" s="2571"/>
      <c r="C38" s="2571"/>
      <c r="D38" s="2572"/>
      <c r="E38" s="2572"/>
      <c r="F38" s="2573"/>
      <c r="G38" s="2572"/>
      <c r="H38" s="2572"/>
      <c r="I38" s="2572"/>
      <c r="J38" s="2573"/>
      <c r="K38" s="2572"/>
      <c r="L38" s="2572"/>
      <c r="M38" s="2572"/>
      <c r="N38" s="2572"/>
      <c r="O38" s="2574"/>
      <c r="P38" s="929"/>
      <c r="Q38" s="930"/>
      <c r="S38" s="930"/>
    </row>
    <row r="39" spans="1:20" ht="15.75" x14ac:dyDescent="0.3">
      <c r="A39" s="920"/>
      <c r="B39" s="921"/>
      <c r="C39" s="921"/>
      <c r="D39" s="921"/>
      <c r="E39" s="921"/>
      <c r="F39" s="922"/>
      <c r="G39" s="921"/>
      <c r="H39" s="921"/>
      <c r="I39" s="921"/>
      <c r="J39" s="922"/>
      <c r="K39" s="921"/>
      <c r="L39" s="921"/>
      <c r="M39" s="921"/>
      <c r="N39" s="921"/>
      <c r="O39" s="936" t="s">
        <v>885</v>
      </c>
    </row>
    <row r="40" spans="1:20" x14ac:dyDescent="0.25">
      <c r="A40" s="920"/>
      <c r="B40" s="921"/>
      <c r="C40" s="921">
        <v>1</v>
      </c>
      <c r="D40" s="921">
        <v>2</v>
      </c>
      <c r="E40" s="921">
        <v>3</v>
      </c>
      <c r="F40" s="922">
        <v>4</v>
      </c>
      <c r="G40" s="921">
        <v>5</v>
      </c>
      <c r="H40" s="921">
        <v>6</v>
      </c>
      <c r="I40" s="921">
        <v>7</v>
      </c>
      <c r="J40" s="922">
        <v>8</v>
      </c>
      <c r="K40" s="921">
        <v>9</v>
      </c>
      <c r="L40" s="921">
        <v>10</v>
      </c>
      <c r="M40" s="921">
        <v>11</v>
      </c>
      <c r="N40" s="921">
        <v>12</v>
      </c>
      <c r="O40" s="937" t="s">
        <v>601</v>
      </c>
    </row>
    <row r="41" spans="1:20" s="944" customFormat="1" x14ac:dyDescent="0.25">
      <c r="A41" s="938">
        <v>1111</v>
      </c>
      <c r="B41" s="939" t="s">
        <v>865</v>
      </c>
      <c r="C41" s="940">
        <v>2221592</v>
      </c>
      <c r="D41" s="940">
        <v>2090648</v>
      </c>
      <c r="E41" s="940">
        <v>1765746</v>
      </c>
      <c r="F41" s="940">
        <v>1608710</v>
      </c>
      <c r="G41" s="940">
        <f>672642+1294076</f>
        <v>1966718</v>
      </c>
      <c r="H41" s="940">
        <v>2171969</v>
      </c>
      <c r="I41" s="940">
        <v>2241119</v>
      </c>
      <c r="J41" s="940">
        <v>2203671</v>
      </c>
      <c r="K41" s="940">
        <v>2142940</v>
      </c>
      <c r="L41" s="940">
        <v>2126690</v>
      </c>
      <c r="M41" s="940">
        <v>2197066</v>
      </c>
      <c r="N41" s="940">
        <v>2520796</v>
      </c>
      <c r="O41" s="941">
        <f t="shared" ref="O41:O46" si="8">SUM(C41:N41)</f>
        <v>25257665</v>
      </c>
      <c r="P41" s="942"/>
      <c r="Q41" s="943">
        <f t="shared" ref="Q41:Q45" si="9">+O41/S29*O29</f>
        <v>25257665</v>
      </c>
      <c r="S41" s="943">
        <f>+O41/12*12</f>
        <v>25257665</v>
      </c>
    </row>
    <row r="42" spans="1:20" s="944" customFormat="1" x14ac:dyDescent="0.25">
      <c r="A42" s="938">
        <v>1112</v>
      </c>
      <c r="B42" s="939" t="s">
        <v>865</v>
      </c>
      <c r="C42" s="940">
        <v>59178</v>
      </c>
      <c r="D42" s="940">
        <v>31741</v>
      </c>
      <c r="E42" s="940">
        <v>68423</v>
      </c>
      <c r="F42" s="940">
        <v>0</v>
      </c>
      <c r="G42" s="940">
        <v>0</v>
      </c>
      <c r="H42" s="940">
        <v>0</v>
      </c>
      <c r="I42" s="940">
        <v>134425</v>
      </c>
      <c r="J42" s="940">
        <v>0</v>
      </c>
      <c r="K42" s="940">
        <v>91581</v>
      </c>
      <c r="L42" s="940">
        <v>61781</v>
      </c>
      <c r="M42" s="940">
        <v>27478</v>
      </c>
      <c r="N42" s="940">
        <v>242174</v>
      </c>
      <c r="O42" s="941">
        <f t="shared" si="8"/>
        <v>716781</v>
      </c>
      <c r="P42" s="942"/>
      <c r="Q42" s="943">
        <f t="shared" si="9"/>
        <v>716781</v>
      </c>
      <c r="S42" s="943">
        <f t="shared" ref="S42:S45" si="10">+O42/12*12</f>
        <v>716781</v>
      </c>
    </row>
    <row r="43" spans="1:20" s="944" customFormat="1" x14ac:dyDescent="0.25">
      <c r="A43" s="938">
        <v>1113</v>
      </c>
      <c r="B43" s="939" t="s">
        <v>865</v>
      </c>
      <c r="C43" s="940">
        <v>169413</v>
      </c>
      <c r="D43" s="940">
        <v>194915</v>
      </c>
      <c r="E43" s="940">
        <v>120912</v>
      </c>
      <c r="F43" s="940">
        <v>142248</v>
      </c>
      <c r="G43" s="940">
        <v>164618</v>
      </c>
      <c r="H43" s="940">
        <v>194534</v>
      </c>
      <c r="I43" s="940">
        <v>245870</v>
      </c>
      <c r="J43" s="940">
        <v>228899</v>
      </c>
      <c r="K43" s="940">
        <v>256677</v>
      </c>
      <c r="L43" s="940">
        <v>220176</v>
      </c>
      <c r="M43" s="940">
        <v>190892</v>
      </c>
      <c r="N43" s="940">
        <v>176514</v>
      </c>
      <c r="O43" s="941">
        <f t="shared" si="8"/>
        <v>2305668</v>
      </c>
      <c r="P43" s="942"/>
      <c r="Q43" s="943">
        <f t="shared" si="9"/>
        <v>2305668</v>
      </c>
      <c r="S43" s="943">
        <f t="shared" si="10"/>
        <v>2305668</v>
      </c>
    </row>
    <row r="44" spans="1:20" s="944" customFormat="1" x14ac:dyDescent="0.25">
      <c r="A44" s="938">
        <v>1121</v>
      </c>
      <c r="B44" s="939" t="s">
        <v>866</v>
      </c>
      <c r="C44" s="940">
        <v>1317681</v>
      </c>
      <c r="D44" s="940">
        <v>124783</v>
      </c>
      <c r="E44" s="940">
        <v>5529969</v>
      </c>
      <c r="F44" s="940">
        <v>1159811</v>
      </c>
      <c r="G44" s="940">
        <v>83404</v>
      </c>
      <c r="H44" s="940">
        <v>3001242</v>
      </c>
      <c r="I44" s="940">
        <v>4406282</v>
      </c>
      <c r="J44" s="940">
        <v>0</v>
      </c>
      <c r="K44" s="940">
        <v>2261737</v>
      </c>
      <c r="L44" s="940">
        <v>1830916</v>
      </c>
      <c r="M44" s="940">
        <v>75894</v>
      </c>
      <c r="N44" s="940">
        <v>3652548</v>
      </c>
      <c r="O44" s="941">
        <f t="shared" si="8"/>
        <v>23444267</v>
      </c>
      <c r="P44" s="942"/>
      <c r="Q44" s="943">
        <f t="shared" si="9"/>
        <v>23444267</v>
      </c>
      <c r="S44" s="943">
        <f t="shared" si="10"/>
        <v>23444267</v>
      </c>
    </row>
    <row r="45" spans="1:20" s="944" customFormat="1" x14ac:dyDescent="0.25">
      <c r="A45" s="938">
        <v>1211</v>
      </c>
      <c r="B45" s="939" t="s">
        <v>867</v>
      </c>
      <c r="C45" s="940">
        <v>4109246</v>
      </c>
      <c r="D45" s="940">
        <v>4855494</v>
      </c>
      <c r="E45" s="940">
        <v>2236449</v>
      </c>
      <c r="F45" s="940">
        <v>2964576</v>
      </c>
      <c r="G45" s="940">
        <v>4826267</v>
      </c>
      <c r="H45" s="940">
        <v>3523009</v>
      </c>
      <c r="I45" s="940">
        <v>3854253</v>
      </c>
      <c r="J45" s="940">
        <v>4823254</v>
      </c>
      <c r="K45" s="940">
        <v>3794778</v>
      </c>
      <c r="L45" s="940">
        <v>3603666</v>
      </c>
      <c r="M45" s="940">
        <v>5375294</v>
      </c>
      <c r="N45" s="940">
        <v>4355223</v>
      </c>
      <c r="O45" s="941">
        <f t="shared" si="8"/>
        <v>48321509</v>
      </c>
      <c r="P45" s="945"/>
      <c r="Q45" s="943">
        <f t="shared" si="9"/>
        <v>48321508.999999993</v>
      </c>
      <c r="S45" s="943">
        <f t="shared" si="10"/>
        <v>48321509</v>
      </c>
    </row>
    <row r="46" spans="1:20" x14ac:dyDescent="0.25">
      <c r="A46" s="920">
        <v>1511</v>
      </c>
      <c r="B46" s="921" t="s">
        <v>868</v>
      </c>
      <c r="C46" s="922">
        <v>107981</v>
      </c>
      <c r="D46" s="922">
        <v>3820</v>
      </c>
      <c r="E46" s="922">
        <v>1291</v>
      </c>
      <c r="F46" s="922">
        <v>15458</v>
      </c>
      <c r="G46" s="922">
        <v>400309</v>
      </c>
      <c r="H46" s="922">
        <v>5061179</v>
      </c>
      <c r="I46" s="922">
        <v>295537</v>
      </c>
      <c r="J46" s="922">
        <v>191474</v>
      </c>
      <c r="K46" s="922">
        <v>75455</v>
      </c>
      <c r="L46" s="922">
        <v>207901</v>
      </c>
      <c r="M46" s="922">
        <v>865</v>
      </c>
      <c r="N46" s="922">
        <v>1167255</v>
      </c>
      <c r="O46" s="923">
        <f t="shared" si="8"/>
        <v>7528525</v>
      </c>
      <c r="Q46" s="946"/>
    </row>
    <row r="47" spans="1:20" s="931" customFormat="1" x14ac:dyDescent="0.25">
      <c r="A47" s="925"/>
      <c r="B47" s="926" t="s">
        <v>869</v>
      </c>
      <c r="C47" s="927">
        <f>SUM(C41:C46)</f>
        <v>7985091</v>
      </c>
      <c r="D47" s="927">
        <f>SUM(D41:D46)</f>
        <v>7301401</v>
      </c>
      <c r="E47" s="927">
        <f>SUM(E41:E46)</f>
        <v>9722790</v>
      </c>
      <c r="F47" s="927">
        <f>SUM(F41:F46)</f>
        <v>5890803</v>
      </c>
      <c r="G47" s="927">
        <f>SUM(G41:G46)</f>
        <v>7441316</v>
      </c>
      <c r="H47" s="927">
        <f t="shared" ref="H47:N47" si="11">SUM(H41:H46)</f>
        <v>13951933</v>
      </c>
      <c r="I47" s="927">
        <f t="shared" si="11"/>
        <v>11177486</v>
      </c>
      <c r="J47" s="927">
        <f t="shared" si="11"/>
        <v>7447298</v>
      </c>
      <c r="K47" s="927">
        <f t="shared" si="11"/>
        <v>8623168</v>
      </c>
      <c r="L47" s="927">
        <f t="shared" si="11"/>
        <v>8051130</v>
      </c>
      <c r="M47" s="927">
        <f t="shared" si="11"/>
        <v>7867489</v>
      </c>
      <c r="N47" s="927">
        <f t="shared" si="11"/>
        <v>12114510</v>
      </c>
      <c r="O47" s="928">
        <f>SUM(O41:O46)</f>
        <v>107574415</v>
      </c>
      <c r="P47" s="929">
        <f>+O47/Q35*O35</f>
        <v>107574415</v>
      </c>
      <c r="Q47" s="935">
        <f>SUM(Q41:Q46)</f>
        <v>100045890</v>
      </c>
      <c r="R47" s="935" t="s">
        <v>876</v>
      </c>
      <c r="S47" s="930">
        <f>SUM(S41:S46)</f>
        <v>100045890</v>
      </c>
      <c r="T47" s="930"/>
    </row>
    <row r="48" spans="1:20" x14ac:dyDescent="0.25">
      <c r="C48" s="918"/>
      <c r="D48" s="918"/>
      <c r="E48" s="918"/>
      <c r="G48" s="918"/>
      <c r="H48" s="918"/>
      <c r="I48" s="918"/>
      <c r="K48" s="918"/>
      <c r="O48" s="917"/>
    </row>
    <row r="50" spans="1:20" s="931" customFormat="1" ht="19.5" x14ac:dyDescent="0.35">
      <c r="A50" s="2570" t="s">
        <v>880</v>
      </c>
      <c r="B50" s="2571"/>
      <c r="C50" s="2571"/>
      <c r="D50" s="2572"/>
      <c r="E50" s="2572"/>
      <c r="F50" s="2573"/>
      <c r="G50" s="2572"/>
      <c r="H50" s="2572"/>
      <c r="I50" s="2572"/>
      <c r="J50" s="2573"/>
      <c r="K50" s="2572"/>
      <c r="L50" s="2572"/>
      <c r="M50" s="2572"/>
      <c r="N50" s="2572"/>
      <c r="O50" s="2574"/>
      <c r="P50" s="929"/>
      <c r="Q50" s="930"/>
      <c r="S50" s="930"/>
    </row>
    <row r="51" spans="1:20" ht="15.75" x14ac:dyDescent="0.3">
      <c r="A51" s="920"/>
      <c r="B51" s="921"/>
      <c r="C51" s="921"/>
      <c r="D51" s="921"/>
      <c r="E51" s="921"/>
      <c r="F51" s="922"/>
      <c r="G51" s="921"/>
      <c r="H51" s="921"/>
      <c r="I51" s="921"/>
      <c r="J51" s="922"/>
      <c r="K51" s="921"/>
      <c r="L51" s="921"/>
      <c r="M51" s="921"/>
      <c r="N51" s="921"/>
      <c r="O51" s="936" t="s">
        <v>886</v>
      </c>
    </row>
    <row r="52" spans="1:20" x14ac:dyDescent="0.25">
      <c r="A52" s="920"/>
      <c r="B52" s="921"/>
      <c r="C52" s="921">
        <v>1</v>
      </c>
      <c r="D52" s="921">
        <v>2</v>
      </c>
      <c r="E52" s="921">
        <v>3</v>
      </c>
      <c r="F52" s="922">
        <v>4</v>
      </c>
      <c r="G52" s="921">
        <v>5</v>
      </c>
      <c r="H52" s="921">
        <v>6</v>
      </c>
      <c r="I52" s="921">
        <v>7</v>
      </c>
      <c r="J52" s="922">
        <v>8</v>
      </c>
      <c r="K52" s="921">
        <v>9</v>
      </c>
      <c r="L52" s="921">
        <v>10</v>
      </c>
      <c r="M52" s="921">
        <v>11</v>
      </c>
      <c r="N52" s="921">
        <v>12</v>
      </c>
      <c r="O52" s="937" t="s">
        <v>601</v>
      </c>
    </row>
    <row r="53" spans="1:20" s="944" customFormat="1" x14ac:dyDescent="0.25">
      <c r="A53" s="938">
        <v>1111</v>
      </c>
      <c r="B53" s="939" t="s">
        <v>865</v>
      </c>
      <c r="C53" s="940">
        <v>2392990</v>
      </c>
      <c r="D53" s="940">
        <v>2212283</v>
      </c>
      <c r="E53" s="940">
        <v>2036690</v>
      </c>
      <c r="F53" s="940">
        <v>1687823</v>
      </c>
      <c r="G53" s="940">
        <v>422959</v>
      </c>
      <c r="H53" s="940">
        <v>1455221</v>
      </c>
      <c r="I53" s="940">
        <v>2131732</v>
      </c>
      <c r="J53" s="940">
        <v>2210124</v>
      </c>
      <c r="K53" s="940">
        <v>2502326</v>
      </c>
      <c r="L53" s="940">
        <v>2300218</v>
      </c>
      <c r="M53" s="940">
        <v>2271939</v>
      </c>
      <c r="N53" s="940">
        <v>2651925</v>
      </c>
      <c r="O53" s="941">
        <f t="shared" ref="O53:O58" si="12">SUM(C53:N53)</f>
        <v>24276230</v>
      </c>
      <c r="P53" s="942"/>
      <c r="Q53" s="943"/>
      <c r="S53" s="947">
        <f>+O53</f>
        <v>24276230</v>
      </c>
      <c r="T53" s="2634" t="s">
        <v>712</v>
      </c>
    </row>
    <row r="54" spans="1:20" s="944" customFormat="1" x14ac:dyDescent="0.25">
      <c r="A54" s="938">
        <v>1112</v>
      </c>
      <c r="B54" s="939" t="s">
        <v>865</v>
      </c>
      <c r="C54" s="940">
        <v>44391</v>
      </c>
      <c r="D54" s="940">
        <v>30650</v>
      </c>
      <c r="E54" s="940">
        <v>91891</v>
      </c>
      <c r="F54" s="940">
        <v>0</v>
      </c>
      <c r="G54" s="940">
        <v>0</v>
      </c>
      <c r="H54" s="940">
        <v>0</v>
      </c>
      <c r="I54" s="940">
        <v>0</v>
      </c>
      <c r="J54" s="940">
        <v>0</v>
      </c>
      <c r="K54" s="940">
        <v>0</v>
      </c>
      <c r="L54" s="940">
        <v>21529</v>
      </c>
      <c r="M54" s="940">
        <v>18783</v>
      </c>
      <c r="N54" s="940">
        <v>180475</v>
      </c>
      <c r="O54" s="941">
        <f t="shared" si="12"/>
        <v>387719</v>
      </c>
      <c r="P54" s="942"/>
      <c r="Q54" s="943"/>
      <c r="S54" s="947">
        <f t="shared" ref="S54:S57" si="13">+O54</f>
        <v>387719</v>
      </c>
      <c r="T54" s="2634"/>
    </row>
    <row r="55" spans="1:20" s="944" customFormat="1" x14ac:dyDescent="0.25">
      <c r="A55" s="938">
        <v>1113</v>
      </c>
      <c r="B55" s="939" t="s">
        <v>865</v>
      </c>
      <c r="C55" s="940">
        <v>184051</v>
      </c>
      <c r="D55" s="940">
        <v>216056</v>
      </c>
      <c r="E55" s="940">
        <v>148871</v>
      </c>
      <c r="F55" s="940">
        <v>143189</v>
      </c>
      <c r="G55" s="940">
        <v>159890</v>
      </c>
      <c r="H55" s="940">
        <v>183708</v>
      </c>
      <c r="I55" s="940">
        <v>215854</v>
      </c>
      <c r="J55" s="940">
        <v>216046</v>
      </c>
      <c r="K55" s="940">
        <v>281945</v>
      </c>
      <c r="L55" s="940">
        <v>217318</v>
      </c>
      <c r="M55" s="940">
        <v>204478</v>
      </c>
      <c r="N55" s="940">
        <v>196038</v>
      </c>
      <c r="O55" s="941">
        <f t="shared" si="12"/>
        <v>2367444</v>
      </c>
      <c r="P55" s="942"/>
      <c r="Q55" s="943"/>
      <c r="S55" s="947">
        <f t="shared" si="13"/>
        <v>2367444</v>
      </c>
      <c r="T55" s="2634"/>
    </row>
    <row r="56" spans="1:20" s="944" customFormat="1" x14ac:dyDescent="0.25">
      <c r="A56" s="938">
        <v>1121</v>
      </c>
      <c r="B56" s="939" t="s">
        <v>866</v>
      </c>
      <c r="C56" s="940">
        <v>457854</v>
      </c>
      <c r="D56" s="940">
        <v>183111</v>
      </c>
      <c r="E56" s="940">
        <v>3831646</v>
      </c>
      <c r="F56" s="940">
        <v>665053</v>
      </c>
      <c r="G56" s="940">
        <v>0</v>
      </c>
      <c r="H56" s="940">
        <v>1604852</v>
      </c>
      <c r="I56" s="940">
        <v>2942838</v>
      </c>
      <c r="J56" s="940">
        <v>0</v>
      </c>
      <c r="K56" s="940">
        <v>3466217</v>
      </c>
      <c r="L56" s="940">
        <v>763358</v>
      </c>
      <c r="M56" s="940">
        <v>188678</v>
      </c>
      <c r="N56" s="940">
        <v>3623578</v>
      </c>
      <c r="O56" s="941">
        <f t="shared" si="12"/>
        <v>17727185</v>
      </c>
      <c r="P56" s="942"/>
      <c r="Q56" s="943"/>
      <c r="S56" s="947">
        <f t="shared" si="13"/>
        <v>17727185</v>
      </c>
      <c r="T56" s="2634"/>
    </row>
    <row r="57" spans="1:20" s="944" customFormat="1" x14ac:dyDescent="0.25">
      <c r="A57" s="938">
        <v>1211</v>
      </c>
      <c r="B57" s="939" t="s">
        <v>867</v>
      </c>
      <c r="C57" s="940">
        <v>4301581</v>
      </c>
      <c r="D57" s="940">
        <v>5298856</v>
      </c>
      <c r="E57" s="940">
        <v>2759327</v>
      </c>
      <c r="F57" s="940">
        <v>2761943</v>
      </c>
      <c r="G57" s="940">
        <v>3979818</v>
      </c>
      <c r="H57" s="940">
        <v>2613828</v>
      </c>
      <c r="I57" s="940">
        <v>3738138</v>
      </c>
      <c r="J57" s="940">
        <v>5118357</v>
      </c>
      <c r="K57" s="940">
        <v>4252393</v>
      </c>
      <c r="L57" s="940">
        <v>3854172</v>
      </c>
      <c r="M57" s="940">
        <v>5516304</v>
      </c>
      <c r="N57" s="940">
        <v>4373030</v>
      </c>
      <c r="O57" s="941">
        <f t="shared" si="12"/>
        <v>48567747</v>
      </c>
      <c r="P57" s="942"/>
      <c r="Q57" s="943"/>
      <c r="S57" s="947">
        <f t="shared" si="13"/>
        <v>48567747</v>
      </c>
      <c r="T57" s="2634"/>
    </row>
    <row r="58" spans="1:20" x14ac:dyDescent="0.25">
      <c r="A58" s="920">
        <v>1511</v>
      </c>
      <c r="B58" s="921" t="s">
        <v>868</v>
      </c>
      <c r="C58" s="922">
        <v>76228</v>
      </c>
      <c r="D58" s="922">
        <v>40911</v>
      </c>
      <c r="E58" s="922">
        <v>3822</v>
      </c>
      <c r="F58" s="922">
        <v>0</v>
      </c>
      <c r="G58" s="922">
        <v>845</v>
      </c>
      <c r="H58" s="922">
        <v>5331235</v>
      </c>
      <c r="I58" s="922">
        <v>400798</v>
      </c>
      <c r="J58" s="922">
        <v>78267</v>
      </c>
      <c r="K58" s="922">
        <v>90783</v>
      </c>
      <c r="L58" s="922">
        <v>29346</v>
      </c>
      <c r="M58" s="922">
        <v>35057</v>
      </c>
      <c r="N58" s="922">
        <v>1384019</v>
      </c>
      <c r="O58" s="923">
        <f t="shared" si="12"/>
        <v>7471311</v>
      </c>
      <c r="Q58" s="946"/>
    </row>
    <row r="59" spans="1:20" s="931" customFormat="1" x14ac:dyDescent="0.25">
      <c r="A59" s="925"/>
      <c r="B59" s="926" t="s">
        <v>869</v>
      </c>
      <c r="C59" s="927">
        <f>SUM(C53:C58)</f>
        <v>7457095</v>
      </c>
      <c r="D59" s="927">
        <f>SUM(D53:D58)</f>
        <v>7981867</v>
      </c>
      <c r="E59" s="927">
        <f>SUM(E53:E58)</f>
        <v>8872247</v>
      </c>
      <c r="F59" s="927">
        <f>SUM(F53:F58)</f>
        <v>5258008</v>
      </c>
      <c r="G59" s="927">
        <f>SUM(G53:G58)</f>
        <v>4563512</v>
      </c>
      <c r="H59" s="927">
        <f t="shared" ref="H59:N59" si="14">SUM(H53:H58)</f>
        <v>11188844</v>
      </c>
      <c r="I59" s="927">
        <f t="shared" si="14"/>
        <v>9429360</v>
      </c>
      <c r="J59" s="927">
        <f t="shared" si="14"/>
        <v>7622794</v>
      </c>
      <c r="K59" s="927">
        <f t="shared" si="14"/>
        <v>10593664</v>
      </c>
      <c r="L59" s="927">
        <f t="shared" si="14"/>
        <v>7185941</v>
      </c>
      <c r="M59" s="927">
        <f t="shared" si="14"/>
        <v>8235239</v>
      </c>
      <c r="N59" s="927">
        <f t="shared" si="14"/>
        <v>12409065</v>
      </c>
      <c r="O59" s="928">
        <f>SUM(O53:O58)</f>
        <v>100797636</v>
      </c>
      <c r="P59" s="929">
        <f>+O59/Q35*O35</f>
        <v>100797635.99999999</v>
      </c>
      <c r="Q59" s="935">
        <f>+Q35</f>
        <v>97825106.030000001</v>
      </c>
      <c r="R59" s="935" t="s">
        <v>881</v>
      </c>
      <c r="S59" s="930">
        <f>SUM(S53:S58)</f>
        <v>93326325</v>
      </c>
    </row>
    <row r="60" spans="1:20" ht="8.1" customHeight="1" x14ac:dyDescent="0.25"/>
    <row r="61" spans="1:20" ht="9" customHeight="1" x14ac:dyDescent="0.25"/>
    <row r="62" spans="1:20" s="931" customFormat="1" ht="19.5" x14ac:dyDescent="0.35">
      <c r="A62" s="2570" t="s">
        <v>1168</v>
      </c>
      <c r="B62" s="2571"/>
      <c r="C62" s="2571"/>
      <c r="D62" s="2572"/>
      <c r="E62" s="2572"/>
      <c r="F62" s="2573"/>
      <c r="G62" s="2572"/>
      <c r="H62" s="2572"/>
      <c r="I62" s="2572"/>
      <c r="J62" s="2573"/>
      <c r="K62" s="2572"/>
      <c r="L62" s="2572"/>
      <c r="M62" s="2572"/>
      <c r="N62" s="2572"/>
      <c r="O62" s="2574"/>
      <c r="P62" s="929"/>
      <c r="Q62" s="930"/>
      <c r="S62" s="930"/>
    </row>
    <row r="63" spans="1:20" ht="15.75" x14ac:dyDescent="0.3">
      <c r="A63" s="920"/>
      <c r="B63" s="921"/>
      <c r="C63" s="921"/>
      <c r="D63" s="921"/>
      <c r="E63" s="921"/>
      <c r="F63" s="922"/>
      <c r="G63" s="921"/>
      <c r="H63" s="921"/>
      <c r="I63" s="921"/>
      <c r="J63" s="922"/>
      <c r="K63" s="921"/>
      <c r="L63" s="921"/>
      <c r="M63" s="921"/>
      <c r="N63" s="921"/>
      <c r="O63" s="936" t="s">
        <v>1169</v>
      </c>
    </row>
    <row r="64" spans="1:20" x14ac:dyDescent="0.25">
      <c r="A64" s="920"/>
      <c r="B64" s="921"/>
      <c r="C64" s="921">
        <v>1</v>
      </c>
      <c r="D64" s="921">
        <v>2</v>
      </c>
      <c r="E64" s="921">
        <v>3</v>
      </c>
      <c r="F64" s="922">
        <v>4</v>
      </c>
      <c r="G64" s="921">
        <v>5</v>
      </c>
      <c r="H64" s="921">
        <v>6</v>
      </c>
      <c r="I64" s="921">
        <v>7</v>
      </c>
      <c r="J64" s="922">
        <v>8</v>
      </c>
      <c r="K64" s="921">
        <v>9</v>
      </c>
      <c r="L64" s="921">
        <v>10</v>
      </c>
      <c r="M64" s="921">
        <v>11</v>
      </c>
      <c r="N64" s="921">
        <v>12</v>
      </c>
      <c r="O64" s="937" t="s">
        <v>601</v>
      </c>
    </row>
    <row r="65" spans="1:20" s="944" customFormat="1" x14ac:dyDescent="0.25">
      <c r="A65" s="938">
        <v>1111</v>
      </c>
      <c r="B65" s="939" t="s">
        <v>865</v>
      </c>
      <c r="C65" s="948">
        <v>2671506</v>
      </c>
      <c r="D65" s="948">
        <v>1603704</v>
      </c>
      <c r="E65" s="948">
        <v>1088237</v>
      </c>
      <c r="F65" s="948">
        <v>330807</v>
      </c>
      <c r="G65" s="948">
        <v>785162</v>
      </c>
      <c r="H65" s="948">
        <v>1391677</v>
      </c>
      <c r="I65" s="948">
        <v>1649899</v>
      </c>
      <c r="J65" s="948">
        <v>1567880</v>
      </c>
      <c r="K65" s="948">
        <v>1977558</v>
      </c>
      <c r="L65" s="940">
        <v>1705785</v>
      </c>
      <c r="M65" s="940">
        <v>1655859</v>
      </c>
      <c r="N65" s="940">
        <v>2080934</v>
      </c>
      <c r="O65" s="941">
        <f>SUM(C65:N65)</f>
        <v>18509008</v>
      </c>
      <c r="P65" s="942">
        <f>+O65*1.08</f>
        <v>19989728.640000001</v>
      </c>
      <c r="Q65" s="943"/>
      <c r="S65" s="947">
        <f>+O65</f>
        <v>18509008</v>
      </c>
      <c r="T65" s="2634" t="s">
        <v>712</v>
      </c>
    </row>
    <row r="66" spans="1:20" s="944" customFormat="1" x14ac:dyDescent="0.25">
      <c r="A66" s="938">
        <v>1112</v>
      </c>
      <c r="B66" s="939" t="s">
        <v>865</v>
      </c>
      <c r="C66" s="948">
        <v>53774</v>
      </c>
      <c r="D66" s="948">
        <v>53040</v>
      </c>
      <c r="E66" s="948">
        <v>168811</v>
      </c>
      <c r="F66" s="948">
        <v>0</v>
      </c>
      <c r="G66" s="948">
        <v>0</v>
      </c>
      <c r="H66" s="948">
        <v>0</v>
      </c>
      <c r="I66" s="948">
        <v>151560</v>
      </c>
      <c r="J66" s="948">
        <v>0</v>
      </c>
      <c r="K66" s="948">
        <v>219424</v>
      </c>
      <c r="L66" s="940">
        <v>94781</v>
      </c>
      <c r="M66" s="940">
        <v>76863</v>
      </c>
      <c r="N66" s="940">
        <v>375259</v>
      </c>
      <c r="O66" s="941">
        <f t="shared" ref="O66:O70" si="15">SUM(C66:N66)</f>
        <v>1193512</v>
      </c>
      <c r="P66" s="942">
        <f t="shared" ref="P66:P69" si="16">+O66*1.08</f>
        <v>1288992.9600000002</v>
      </c>
      <c r="Q66" s="943"/>
      <c r="S66" s="947">
        <f t="shared" ref="S66:S69" si="17">+O66</f>
        <v>1193512</v>
      </c>
      <c r="T66" s="2634"/>
    </row>
    <row r="67" spans="1:20" s="944" customFormat="1" x14ac:dyDescent="0.25">
      <c r="A67" s="938">
        <v>1113</v>
      </c>
      <c r="B67" s="939" t="s">
        <v>865</v>
      </c>
      <c r="C67" s="948">
        <v>224007</v>
      </c>
      <c r="D67" s="948">
        <v>242332</v>
      </c>
      <c r="E67" s="948">
        <v>168528</v>
      </c>
      <c r="F67" s="948">
        <v>200673</v>
      </c>
      <c r="G67" s="948">
        <v>202681</v>
      </c>
      <c r="H67" s="948">
        <v>280037</v>
      </c>
      <c r="I67" s="948">
        <v>303644</v>
      </c>
      <c r="J67" s="948">
        <v>259204</v>
      </c>
      <c r="K67" s="948">
        <v>421883</v>
      </c>
      <c r="L67" s="940">
        <v>282828</v>
      </c>
      <c r="M67" s="940">
        <v>243140</v>
      </c>
      <c r="N67" s="940">
        <v>265031</v>
      </c>
      <c r="O67" s="941">
        <f t="shared" si="15"/>
        <v>3093988</v>
      </c>
      <c r="P67" s="942">
        <f t="shared" si="16"/>
        <v>3341507.04</v>
      </c>
      <c r="Q67" s="943"/>
      <c r="S67" s="947">
        <f t="shared" si="17"/>
        <v>3093988</v>
      </c>
      <c r="T67" s="2634"/>
    </row>
    <row r="68" spans="1:20" s="944" customFormat="1" x14ac:dyDescent="0.25">
      <c r="A68" s="938">
        <v>1121</v>
      </c>
      <c r="B68" s="939" t="s">
        <v>866</v>
      </c>
      <c r="C68" s="948">
        <v>1056126</v>
      </c>
      <c r="D68" s="948">
        <v>157442</v>
      </c>
      <c r="E68" s="948">
        <v>4056777</v>
      </c>
      <c r="F68" s="948">
        <v>1118622</v>
      </c>
      <c r="G68" s="948">
        <v>189041</v>
      </c>
      <c r="H68" s="948">
        <v>4689450</v>
      </c>
      <c r="I68" s="948">
        <v>5335942</v>
      </c>
      <c r="J68" s="948">
        <v>0</v>
      </c>
      <c r="K68" s="948">
        <v>4097543</v>
      </c>
      <c r="L68" s="940">
        <v>809359</v>
      </c>
      <c r="M68" s="940">
        <v>127239</v>
      </c>
      <c r="N68" s="940">
        <v>4473331</v>
      </c>
      <c r="O68" s="941">
        <f t="shared" si="15"/>
        <v>26110872</v>
      </c>
      <c r="P68" s="942">
        <f t="shared" si="16"/>
        <v>28199741.760000002</v>
      </c>
      <c r="Q68" s="943"/>
      <c r="S68" s="947">
        <f t="shared" si="17"/>
        <v>26110872</v>
      </c>
      <c r="T68" s="2634"/>
    </row>
    <row r="69" spans="1:20" s="944" customFormat="1" x14ac:dyDescent="0.25">
      <c r="A69" s="938">
        <v>1211</v>
      </c>
      <c r="B69" s="939" t="s">
        <v>867</v>
      </c>
      <c r="C69" s="948">
        <v>4378852</v>
      </c>
      <c r="D69" s="948">
        <v>5724354</v>
      </c>
      <c r="E69" s="948">
        <v>2225770</v>
      </c>
      <c r="F69" s="948">
        <v>3377201</v>
      </c>
      <c r="G69" s="948">
        <v>5610104</v>
      </c>
      <c r="H69" s="948">
        <v>4008935</v>
      </c>
      <c r="I69" s="948">
        <v>4829729</v>
      </c>
      <c r="J69" s="948">
        <v>6077285</v>
      </c>
      <c r="K69" s="948">
        <v>4853417</v>
      </c>
      <c r="L69" s="940">
        <v>4775925</v>
      </c>
      <c r="M69" s="940">
        <v>6607348</v>
      </c>
      <c r="N69" s="940">
        <v>5873295</v>
      </c>
      <c r="O69" s="941">
        <f t="shared" si="15"/>
        <v>58342215</v>
      </c>
      <c r="P69" s="942">
        <f t="shared" si="16"/>
        <v>63009592.200000003</v>
      </c>
      <c r="Q69" s="943"/>
      <c r="S69" s="947">
        <f t="shared" si="17"/>
        <v>58342215</v>
      </c>
      <c r="T69" s="2634"/>
    </row>
    <row r="70" spans="1:20" s="956" customFormat="1" x14ac:dyDescent="0.25">
      <c r="A70" s="949">
        <v>1511</v>
      </c>
      <c r="B70" s="950" t="s">
        <v>868</v>
      </c>
      <c r="C70" s="951">
        <v>57371</v>
      </c>
      <c r="D70" s="951">
        <v>3114.4</v>
      </c>
      <c r="E70" s="951">
        <v>51916</v>
      </c>
      <c r="F70" s="951">
        <v>23602</v>
      </c>
      <c r="G70" s="951">
        <v>84337</v>
      </c>
      <c r="H70" s="951">
        <v>5679964</v>
      </c>
      <c r="I70" s="951">
        <v>206300</v>
      </c>
      <c r="J70" s="951">
        <v>123488</v>
      </c>
      <c r="K70" s="951">
        <v>31456</v>
      </c>
      <c r="L70" s="952">
        <v>64189</v>
      </c>
      <c r="M70" s="952">
        <v>175755</v>
      </c>
      <c r="N70" s="952">
        <v>1284763</v>
      </c>
      <c r="O70" s="953">
        <f t="shared" si="15"/>
        <v>7786255.4000000004</v>
      </c>
      <c r="P70" s="954"/>
      <c r="Q70" s="955"/>
      <c r="S70" s="957"/>
    </row>
    <row r="71" spans="1:20" s="931" customFormat="1" x14ac:dyDescent="0.25">
      <c r="A71" s="925"/>
      <c r="B71" s="926" t="s">
        <v>869</v>
      </c>
      <c r="C71" s="927">
        <f>SUM(C65:C70)</f>
        <v>8441636</v>
      </c>
      <c r="D71" s="927">
        <f>SUM(D65:D70)</f>
        <v>7783986.4000000004</v>
      </c>
      <c r="E71" s="927">
        <f>SUM(E65:E70)</f>
        <v>7760039</v>
      </c>
      <c r="F71" s="927">
        <f>SUM(F65:F70)</f>
        <v>5050905</v>
      </c>
      <c r="G71" s="927">
        <f>SUM(G65:G70)</f>
        <v>6871325</v>
      </c>
      <c r="H71" s="927">
        <f t="shared" ref="H71:N71" si="18">SUM(H65:H70)</f>
        <v>16050063</v>
      </c>
      <c r="I71" s="927">
        <f t="shared" si="18"/>
        <v>12477074</v>
      </c>
      <c r="J71" s="927">
        <f t="shared" si="18"/>
        <v>8027857</v>
      </c>
      <c r="K71" s="927">
        <f t="shared" si="18"/>
        <v>11601281</v>
      </c>
      <c r="L71" s="927">
        <f t="shared" si="18"/>
        <v>7732867</v>
      </c>
      <c r="M71" s="927">
        <f t="shared" si="18"/>
        <v>8886204</v>
      </c>
      <c r="N71" s="927">
        <f t="shared" si="18"/>
        <v>14352613</v>
      </c>
      <c r="O71" s="928">
        <f>SUM(O65:O70)</f>
        <v>115035850.40000001</v>
      </c>
      <c r="P71" s="929">
        <f>+O71/Q47*O47</f>
        <v>123692380.67458358</v>
      </c>
      <c r="Q71" s="935">
        <f>+Q47</f>
        <v>100045890</v>
      </c>
      <c r="R71" s="935" t="s">
        <v>881</v>
      </c>
      <c r="S71" s="930">
        <f>SUM(S65:S70)</f>
        <v>107249595</v>
      </c>
    </row>
    <row r="72" spans="1:20" s="944" customFormat="1" x14ac:dyDescent="0.25">
      <c r="A72" s="933"/>
      <c r="B72" s="919"/>
      <c r="C72" s="918">
        <f>+C71-C59</f>
        <v>984541</v>
      </c>
      <c r="D72" s="918">
        <f t="shared" ref="D72:L72" si="19">+D71-D59</f>
        <v>-197880.59999999963</v>
      </c>
      <c r="E72" s="918">
        <f t="shared" si="19"/>
        <v>-1112208</v>
      </c>
      <c r="F72" s="918">
        <f t="shared" si="19"/>
        <v>-207103</v>
      </c>
      <c r="G72" s="918">
        <f t="shared" si="19"/>
        <v>2307813</v>
      </c>
      <c r="H72" s="918">
        <f t="shared" si="19"/>
        <v>4861219</v>
      </c>
      <c r="I72" s="918">
        <f t="shared" si="19"/>
        <v>3047714</v>
      </c>
      <c r="J72" s="918">
        <f t="shared" si="19"/>
        <v>405063</v>
      </c>
      <c r="K72" s="918">
        <f t="shared" si="19"/>
        <v>1007617</v>
      </c>
      <c r="L72" s="918">
        <f t="shared" si="19"/>
        <v>546926</v>
      </c>
      <c r="M72" s="918">
        <f t="shared" ref="M72:O72" si="20">+M71-M59</f>
        <v>650965</v>
      </c>
      <c r="N72" s="918">
        <f t="shared" si="20"/>
        <v>1943548</v>
      </c>
      <c r="O72" s="918">
        <f t="shared" si="20"/>
        <v>14238214.400000006</v>
      </c>
      <c r="P72" s="917">
        <f>SUM(C72:N72)</f>
        <v>14238214.4</v>
      </c>
      <c r="Q72" s="947">
        <f>+Q71-Q47</f>
        <v>0</v>
      </c>
      <c r="S72" s="959">
        <f>+S71/S59</f>
        <v>1.1491890953597499</v>
      </c>
    </row>
    <row r="73" spans="1:20" s="944" customFormat="1" x14ac:dyDescent="0.25">
      <c r="A73" s="958"/>
      <c r="C73" s="959">
        <f>+(C71-C59)/C71</f>
        <v>0.1166291699855336</v>
      </c>
      <c r="D73" s="959">
        <f t="shared" ref="D73:O73" si="21">+(D71-D59)/D71</f>
        <v>-2.5421498680932898E-2</v>
      </c>
      <c r="E73" s="959">
        <f t="shared" si="21"/>
        <v>-0.14332505287666725</v>
      </c>
      <c r="F73" s="959">
        <f t="shared" si="21"/>
        <v>-4.1003146960792172E-2</v>
      </c>
      <c r="G73" s="959">
        <f t="shared" si="21"/>
        <v>0.33586142410670433</v>
      </c>
      <c r="H73" s="959">
        <f t="shared" si="21"/>
        <v>0.3028784996046433</v>
      </c>
      <c r="I73" s="959">
        <f t="shared" si="21"/>
        <v>0.24426512177454426</v>
      </c>
      <c r="J73" s="959">
        <f t="shared" si="21"/>
        <v>5.045717680322407E-2</v>
      </c>
      <c r="K73" s="959">
        <f t="shared" si="21"/>
        <v>8.6853943111971865E-2</v>
      </c>
      <c r="L73" s="959">
        <f t="shared" si="21"/>
        <v>7.0727454642631249E-2</v>
      </c>
      <c r="M73" s="959">
        <f t="shared" ref="M73:N73" si="22">+(M71-M59)/M71</f>
        <v>7.3255689380977526E-2</v>
      </c>
      <c r="N73" s="959">
        <f t="shared" si="22"/>
        <v>0.135414227360551</v>
      </c>
      <c r="O73" s="959">
        <f t="shared" si="21"/>
        <v>0.12377197500162962</v>
      </c>
      <c r="P73" s="942"/>
      <c r="Q73" s="947"/>
      <c r="S73" s="947"/>
    </row>
    <row r="75" spans="1:20" s="956" customFormat="1" x14ac:dyDescent="0.25">
      <c r="A75" s="2635" t="s">
        <v>712</v>
      </c>
      <c r="C75" s="957">
        <f t="shared" ref="C75:O75" si="23">SUM(C65:C69)</f>
        <v>8384265</v>
      </c>
      <c r="D75" s="957">
        <f t="shared" si="23"/>
        <v>7780872</v>
      </c>
      <c r="E75" s="957">
        <f t="shared" si="23"/>
        <v>7708123</v>
      </c>
      <c r="F75" s="957">
        <f t="shared" si="23"/>
        <v>5027303</v>
      </c>
      <c r="G75" s="957">
        <f t="shared" si="23"/>
        <v>6786988</v>
      </c>
      <c r="H75" s="957">
        <f t="shared" si="23"/>
        <v>10370099</v>
      </c>
      <c r="I75" s="957">
        <f t="shared" si="23"/>
        <v>12270774</v>
      </c>
      <c r="J75" s="957">
        <f t="shared" si="23"/>
        <v>7904369</v>
      </c>
      <c r="K75" s="957">
        <f t="shared" si="23"/>
        <v>11569825</v>
      </c>
      <c r="L75" s="957">
        <f t="shared" si="23"/>
        <v>7668678</v>
      </c>
      <c r="M75" s="957">
        <f t="shared" si="23"/>
        <v>8710449</v>
      </c>
      <c r="N75" s="957">
        <f t="shared" si="23"/>
        <v>13067850</v>
      </c>
      <c r="O75" s="957">
        <f t="shared" si="23"/>
        <v>107249595</v>
      </c>
      <c r="P75" s="954"/>
      <c r="Q75" s="957"/>
      <c r="S75" s="957"/>
    </row>
    <row r="76" spans="1:20" s="956" customFormat="1" x14ac:dyDescent="0.25">
      <c r="A76" s="2635"/>
      <c r="C76" s="957">
        <f>SUM(C53:C57)</f>
        <v>7380867</v>
      </c>
      <c r="D76" s="957">
        <f t="shared" ref="D76:O76" si="24">SUM(D53:D58)</f>
        <v>7981867</v>
      </c>
      <c r="E76" s="957">
        <f t="shared" si="24"/>
        <v>8872247</v>
      </c>
      <c r="F76" s="957">
        <f t="shared" si="24"/>
        <v>5258008</v>
      </c>
      <c r="G76" s="957">
        <f t="shared" si="24"/>
        <v>4563512</v>
      </c>
      <c r="H76" s="957">
        <f t="shared" si="24"/>
        <v>11188844</v>
      </c>
      <c r="I76" s="957">
        <f t="shared" si="24"/>
        <v>9429360</v>
      </c>
      <c r="J76" s="957">
        <f t="shared" si="24"/>
        <v>7622794</v>
      </c>
      <c r="K76" s="957">
        <f t="shared" si="24"/>
        <v>10593664</v>
      </c>
      <c r="L76" s="957">
        <f t="shared" si="24"/>
        <v>7185941</v>
      </c>
      <c r="M76" s="957">
        <f t="shared" si="24"/>
        <v>8235239</v>
      </c>
      <c r="N76" s="957">
        <f t="shared" si="24"/>
        <v>12409065</v>
      </c>
      <c r="O76" s="957">
        <f t="shared" si="24"/>
        <v>100797636</v>
      </c>
      <c r="P76" s="954"/>
      <c r="Q76" s="957"/>
      <c r="S76" s="957"/>
    </row>
    <row r="77" spans="1:20" s="944" customFormat="1" x14ac:dyDescent="0.25">
      <c r="A77" s="958"/>
      <c r="C77" s="959">
        <f>+(C75-C76)/C75</f>
        <v>0.11967632225365014</v>
      </c>
      <c r="D77" s="959">
        <f t="shared" ref="D77:O77" si="25">+(D75-D76)/D75</f>
        <v>-2.5831937602880498E-2</v>
      </c>
      <c r="E77" s="959">
        <f t="shared" si="25"/>
        <v>-0.15102561285023605</v>
      </c>
      <c r="F77" s="959">
        <f t="shared" si="25"/>
        <v>-4.5890410822661772E-2</v>
      </c>
      <c r="G77" s="959">
        <f t="shared" si="25"/>
        <v>0.32760865349990304</v>
      </c>
      <c r="H77" s="959">
        <f t="shared" si="25"/>
        <v>-7.8952476731417892E-2</v>
      </c>
      <c r="I77" s="959">
        <f t="shared" si="25"/>
        <v>0.23155947619930087</v>
      </c>
      <c r="J77" s="959">
        <f t="shared" si="25"/>
        <v>3.5622704355021885E-2</v>
      </c>
      <c r="K77" s="959">
        <f t="shared" si="25"/>
        <v>8.4371284786070658E-2</v>
      </c>
      <c r="L77" s="959">
        <f t="shared" si="25"/>
        <v>6.2949181071365892E-2</v>
      </c>
      <c r="M77" s="959">
        <f t="shared" si="25"/>
        <v>5.4556315064814682E-2</v>
      </c>
      <c r="N77" s="959">
        <f t="shared" si="25"/>
        <v>5.0412653956083062E-2</v>
      </c>
      <c r="O77" s="959">
        <f t="shared" si="25"/>
        <v>6.0158353045528981E-2</v>
      </c>
      <c r="P77" s="942"/>
      <c r="Q77" s="947"/>
      <c r="S77" s="947"/>
    </row>
    <row r="78" spans="1:20" s="931" customFormat="1" ht="19.5" x14ac:dyDescent="0.35">
      <c r="A78" s="2570" t="s">
        <v>1242</v>
      </c>
      <c r="B78" s="2571"/>
      <c r="C78" s="2571"/>
      <c r="D78" s="2572"/>
      <c r="E78" s="2572"/>
      <c r="F78" s="2573"/>
      <c r="G78" s="2572"/>
      <c r="H78" s="2572"/>
      <c r="I78" s="2572"/>
      <c r="J78" s="2573"/>
      <c r="K78" s="2572"/>
      <c r="L78" s="2572"/>
      <c r="M78" s="2572"/>
      <c r="N78" s="2572"/>
      <c r="O78" s="2574"/>
      <c r="P78" s="929"/>
      <c r="Q78" s="930"/>
      <c r="S78" s="930"/>
    </row>
    <row r="79" spans="1:20" ht="15.75" x14ac:dyDescent="0.3">
      <c r="A79" s="920"/>
      <c r="B79" s="921"/>
      <c r="C79" s="921"/>
      <c r="D79" s="921"/>
      <c r="E79" s="921"/>
      <c r="F79" s="922"/>
      <c r="G79" s="921"/>
      <c r="H79" s="921"/>
      <c r="I79" s="921"/>
      <c r="J79" s="922"/>
      <c r="K79" s="921"/>
      <c r="L79" s="921"/>
      <c r="M79" s="921"/>
      <c r="N79" s="921"/>
      <c r="O79" s="936" t="s">
        <v>2025</v>
      </c>
    </row>
    <row r="80" spans="1:20" x14ac:dyDescent="0.25">
      <c r="A80" s="920"/>
      <c r="B80" s="921"/>
      <c r="C80" s="921">
        <v>1</v>
      </c>
      <c r="D80" s="921">
        <v>2</v>
      </c>
      <c r="E80" s="921">
        <v>3</v>
      </c>
      <c r="F80" s="922">
        <v>4</v>
      </c>
      <c r="G80" s="921">
        <v>5</v>
      </c>
      <c r="H80" s="921">
        <v>6</v>
      </c>
      <c r="I80" s="921">
        <v>7</v>
      </c>
      <c r="J80" s="922">
        <v>8</v>
      </c>
      <c r="K80" s="921">
        <v>9</v>
      </c>
      <c r="L80" s="921">
        <v>10</v>
      </c>
      <c r="M80" s="921">
        <v>11</v>
      </c>
      <c r="N80" s="921">
        <v>12</v>
      </c>
      <c r="O80" s="937" t="s">
        <v>601</v>
      </c>
    </row>
    <row r="81" spans="1:20" s="944" customFormat="1" x14ac:dyDescent="0.25">
      <c r="A81" s="938">
        <v>1111</v>
      </c>
      <c r="B81" s="939" t="s">
        <v>865</v>
      </c>
      <c r="C81" s="948">
        <v>1952101</v>
      </c>
      <c r="D81" s="948">
        <v>1454917</v>
      </c>
      <c r="E81" s="948">
        <v>1083457</v>
      </c>
      <c r="F81" s="948">
        <v>1125303</v>
      </c>
      <c r="G81" s="948">
        <v>1316702</v>
      </c>
      <c r="H81" s="948">
        <v>1773936</v>
      </c>
      <c r="I81" s="948">
        <v>1852259</v>
      </c>
      <c r="J81" s="948">
        <v>1683465</v>
      </c>
      <c r="K81" s="948">
        <v>2041034</v>
      </c>
      <c r="L81" s="948">
        <v>1736865</v>
      </c>
      <c r="M81" s="948">
        <v>1873374</v>
      </c>
      <c r="N81" s="948">
        <v>2271546</v>
      </c>
      <c r="O81" s="941">
        <f>SUM(C81:N81)</f>
        <v>20164959</v>
      </c>
      <c r="P81" s="942"/>
      <c r="Q81" s="943"/>
      <c r="S81" s="947">
        <f>+O81/$O$87*$S$87</f>
        <v>18660758.047935143</v>
      </c>
      <c r="T81" s="2634" t="s">
        <v>712</v>
      </c>
    </row>
    <row r="82" spans="1:20" s="944" customFormat="1" x14ac:dyDescent="0.25">
      <c r="A82" s="938">
        <v>1112</v>
      </c>
      <c r="B82" s="939" t="s">
        <v>865</v>
      </c>
      <c r="C82" s="948">
        <v>98659</v>
      </c>
      <c r="D82" s="948">
        <v>47959</v>
      </c>
      <c r="E82" s="948">
        <v>185926</v>
      </c>
      <c r="F82" s="948">
        <v>0</v>
      </c>
      <c r="G82" s="948">
        <v>0</v>
      </c>
      <c r="H82" s="948">
        <v>0</v>
      </c>
      <c r="I82" s="948">
        <v>592085</v>
      </c>
      <c r="J82" s="948">
        <v>0</v>
      </c>
      <c r="K82" s="948">
        <v>297682</v>
      </c>
      <c r="L82" s="948">
        <v>102004</v>
      </c>
      <c r="M82" s="948">
        <v>75517</v>
      </c>
      <c r="N82" s="948">
        <v>415679</v>
      </c>
      <c r="O82" s="941">
        <f t="shared" ref="O82:O86" si="26">SUM(C82:N82)</f>
        <v>1815511</v>
      </c>
      <c r="P82" s="942"/>
      <c r="Q82" s="943"/>
      <c r="S82" s="947">
        <f t="shared" ref="S82:S85" si="27">+O82/$O$87*$S$87</f>
        <v>1680083.331900887</v>
      </c>
      <c r="T82" s="2634"/>
    </row>
    <row r="83" spans="1:20" s="944" customFormat="1" x14ac:dyDescent="0.25">
      <c r="A83" s="938">
        <v>1113</v>
      </c>
      <c r="B83" s="939" t="s">
        <v>865</v>
      </c>
      <c r="C83" s="948">
        <v>268348</v>
      </c>
      <c r="D83" s="948">
        <v>316162</v>
      </c>
      <c r="E83" s="948">
        <v>216326</v>
      </c>
      <c r="F83" s="948">
        <v>252913</v>
      </c>
      <c r="G83" s="948">
        <v>286345</v>
      </c>
      <c r="H83" s="948">
        <v>313470</v>
      </c>
      <c r="I83" s="948">
        <v>403637</v>
      </c>
      <c r="J83" s="948">
        <v>429952</v>
      </c>
      <c r="K83" s="948">
        <v>455411</v>
      </c>
      <c r="L83" s="948">
        <v>323603</v>
      </c>
      <c r="M83" s="948">
        <v>356122</v>
      </c>
      <c r="N83" s="948">
        <v>413289</v>
      </c>
      <c r="O83" s="941">
        <f t="shared" si="26"/>
        <v>4035578</v>
      </c>
      <c r="P83" s="942"/>
      <c r="Q83" s="943"/>
      <c r="S83" s="947">
        <f t="shared" si="27"/>
        <v>3734544.89253214</v>
      </c>
      <c r="T83" s="2634"/>
    </row>
    <row r="84" spans="1:20" s="944" customFormat="1" x14ac:dyDescent="0.25">
      <c r="A84" s="938">
        <v>1121</v>
      </c>
      <c r="B84" s="939" t="s">
        <v>866</v>
      </c>
      <c r="C84" s="948">
        <v>532243</v>
      </c>
      <c r="D84" s="948">
        <v>217137</v>
      </c>
      <c r="E84" s="948">
        <v>4356589</v>
      </c>
      <c r="F84" s="948">
        <v>1154900</v>
      </c>
      <c r="G84" s="948">
        <v>599542</v>
      </c>
      <c r="H84" s="948">
        <v>4735595</v>
      </c>
      <c r="I84" s="948">
        <v>7344105</v>
      </c>
      <c r="J84" s="948">
        <v>0</v>
      </c>
      <c r="K84" s="948">
        <v>5063566</v>
      </c>
      <c r="L84" s="948">
        <v>896397</v>
      </c>
      <c r="M84" s="948">
        <v>89823</v>
      </c>
      <c r="N84" s="948">
        <v>5451505</v>
      </c>
      <c r="O84" s="941">
        <f t="shared" si="26"/>
        <v>30441402</v>
      </c>
      <c r="P84" s="942"/>
      <c r="Q84" s="943"/>
      <c r="S84" s="947">
        <f t="shared" si="27"/>
        <v>28170631.904678255</v>
      </c>
      <c r="T84" s="2634"/>
    </row>
    <row r="85" spans="1:20" s="944" customFormat="1" x14ac:dyDescent="0.25">
      <c r="A85" s="938">
        <v>1211</v>
      </c>
      <c r="B85" s="939" t="s">
        <v>867</v>
      </c>
      <c r="C85" s="948">
        <v>5359536</v>
      </c>
      <c r="D85" s="948">
        <v>6578858</v>
      </c>
      <c r="E85" s="948">
        <v>3035541</v>
      </c>
      <c r="F85" s="948">
        <v>4686528</v>
      </c>
      <c r="G85" s="948">
        <v>7199459</v>
      </c>
      <c r="H85" s="948">
        <v>4710017</v>
      </c>
      <c r="I85" s="948">
        <v>6143720</v>
      </c>
      <c r="J85" s="948">
        <v>6911230</v>
      </c>
      <c r="K85" s="948">
        <v>5247075</v>
      </c>
      <c r="L85" s="948">
        <v>5682558</v>
      </c>
      <c r="M85" s="948">
        <v>8230766</v>
      </c>
      <c r="N85" s="948">
        <v>5508635</v>
      </c>
      <c r="O85" s="941">
        <f t="shared" si="26"/>
        <v>69293923</v>
      </c>
      <c r="P85" s="942"/>
      <c r="Q85" s="943"/>
      <c r="S85" s="947">
        <f t="shared" si="27"/>
        <v>64124957.124646172</v>
      </c>
      <c r="T85" s="2634"/>
    </row>
    <row r="86" spans="1:20" s="956" customFormat="1" x14ac:dyDescent="0.25">
      <c r="A86" s="949">
        <v>1511</v>
      </c>
      <c r="B86" s="950" t="s">
        <v>868</v>
      </c>
      <c r="C86" s="951">
        <v>70782</v>
      </c>
      <c r="D86" s="951">
        <v>57100</v>
      </c>
      <c r="E86" s="951">
        <v>85368</v>
      </c>
      <c r="F86" s="951">
        <v>19561</v>
      </c>
      <c r="G86" s="951">
        <v>0</v>
      </c>
      <c r="H86" s="951">
        <v>5597336</v>
      </c>
      <c r="I86" s="951">
        <v>287417</v>
      </c>
      <c r="J86" s="951">
        <v>158426</v>
      </c>
      <c r="K86" s="951">
        <v>69277</v>
      </c>
      <c r="L86" s="952">
        <v>26816</v>
      </c>
      <c r="M86" s="952">
        <v>7877</v>
      </c>
      <c r="N86" s="952">
        <v>1147617</v>
      </c>
      <c r="O86" s="953">
        <f t="shared" si="26"/>
        <v>7527577</v>
      </c>
      <c r="P86" s="954"/>
      <c r="Q86" s="955"/>
      <c r="S86" s="957">
        <v>7800000</v>
      </c>
    </row>
    <row r="87" spans="1:20" s="931" customFormat="1" x14ac:dyDescent="0.25">
      <c r="A87" s="925"/>
      <c r="B87" s="926" t="s">
        <v>869</v>
      </c>
      <c r="C87" s="927">
        <f>SUM(C81:C86)</f>
        <v>8281669</v>
      </c>
      <c r="D87" s="927">
        <f>SUM(D81:D86)</f>
        <v>8672133</v>
      </c>
      <c r="E87" s="927">
        <f>SUM(E81:E86)</f>
        <v>8963207</v>
      </c>
      <c r="F87" s="927">
        <f>SUM(F81:F86)</f>
        <v>7239205</v>
      </c>
      <c r="G87" s="927">
        <f>SUM(G81:G86)</f>
        <v>9402048</v>
      </c>
      <c r="H87" s="927">
        <f t="shared" ref="H87:N87" si="28">SUM(H81:H86)</f>
        <v>17130354</v>
      </c>
      <c r="I87" s="927">
        <f t="shared" si="28"/>
        <v>16623223</v>
      </c>
      <c r="J87" s="927">
        <f t="shared" si="28"/>
        <v>9183073</v>
      </c>
      <c r="K87" s="927">
        <f t="shared" si="28"/>
        <v>13174045</v>
      </c>
      <c r="L87" s="927">
        <f t="shared" si="28"/>
        <v>8768243</v>
      </c>
      <c r="M87" s="927">
        <f t="shared" si="28"/>
        <v>10633479</v>
      </c>
      <c r="N87" s="927">
        <f t="shared" si="28"/>
        <v>15208271</v>
      </c>
      <c r="O87" s="928">
        <f>SUM(O81:O86)</f>
        <v>133278950</v>
      </c>
      <c r="P87" s="929"/>
      <c r="Q87" s="935"/>
      <c r="R87" s="935"/>
      <c r="S87" s="930">
        <v>123337034.24999999</v>
      </c>
    </row>
    <row r="88" spans="1:20" x14ac:dyDescent="0.25">
      <c r="C88" s="918">
        <f>+C87-C71</f>
        <v>-159967</v>
      </c>
      <c r="D88" s="918">
        <f>+D87-D71</f>
        <v>888146.59999999963</v>
      </c>
      <c r="E88" s="918">
        <f>+E87-E71</f>
        <v>1203168</v>
      </c>
      <c r="F88" s="918">
        <f>+F87-F71</f>
        <v>2188300</v>
      </c>
      <c r="G88" s="918">
        <f>+G87-G71</f>
        <v>2530723</v>
      </c>
      <c r="H88" s="918">
        <f t="shared" ref="H88:J88" si="29">+H87-H71</f>
        <v>1080291</v>
      </c>
      <c r="I88" s="918">
        <f t="shared" si="29"/>
        <v>4146149</v>
      </c>
      <c r="J88" s="918">
        <f t="shared" si="29"/>
        <v>1155216</v>
      </c>
      <c r="K88" s="918">
        <f t="shared" ref="K88:L88" si="30">+K87-K71</f>
        <v>1572764</v>
      </c>
      <c r="L88" s="918">
        <f t="shared" si="30"/>
        <v>1035376</v>
      </c>
      <c r="M88" s="918">
        <f t="shared" ref="M88:O88" si="31">+M87-M71</f>
        <v>1747275</v>
      </c>
      <c r="N88" s="918">
        <f t="shared" si="31"/>
        <v>855658</v>
      </c>
      <c r="O88" s="918">
        <f t="shared" si="31"/>
        <v>18243099.599999994</v>
      </c>
      <c r="S88" s="918">
        <f>SUM(S81:S85)</f>
        <v>116370975.30169261</v>
      </c>
    </row>
    <row r="89" spans="1:20" x14ac:dyDescent="0.25">
      <c r="C89" s="959">
        <f>+(C87-C71)/C87</f>
        <v>-1.9315792505109779E-2</v>
      </c>
      <c r="D89" s="959">
        <f>+(D87-D71)/D87</f>
        <v>0.10241385827454441</v>
      </c>
      <c r="E89" s="959">
        <f>+(E87-E71)/E87</f>
        <v>0.13423409723774091</v>
      </c>
      <c r="F89" s="959">
        <f>+(F87-F71)/F87</f>
        <v>0.30228457406579867</v>
      </c>
      <c r="G89" s="959">
        <f>+(G87-G71)/G87</f>
        <v>0.26916720697448043</v>
      </c>
      <c r="H89" s="959">
        <f t="shared" ref="H89:J89" si="32">+(H87-H71)/H87</f>
        <v>6.3062969977152841E-2</v>
      </c>
      <c r="I89" s="959">
        <f t="shared" si="32"/>
        <v>0.24941908076430183</v>
      </c>
      <c r="J89" s="959">
        <f t="shared" si="32"/>
        <v>0.12579841192594243</v>
      </c>
      <c r="K89" s="959">
        <f t="shared" ref="K89:L89" si="33">+(K87-K71)/K87</f>
        <v>0.11938353026727934</v>
      </c>
      <c r="L89" s="959">
        <f t="shared" si="33"/>
        <v>0.11808249383599428</v>
      </c>
      <c r="M89" s="959">
        <f t="shared" ref="M89:O89" si="34">+(M87-M71)/M87</f>
        <v>0.16431828190942965</v>
      </c>
      <c r="N89" s="959">
        <f t="shared" si="34"/>
        <v>5.6262674435509467E-2</v>
      </c>
      <c r="O89" s="959">
        <f t="shared" si="34"/>
        <v>0.13687907655334916</v>
      </c>
    </row>
    <row r="90" spans="1:20" x14ac:dyDescent="0.25">
      <c r="C90" s="918"/>
      <c r="J90" s="919"/>
      <c r="O90" s="919"/>
    </row>
    <row r="91" spans="1:20" s="956" customFormat="1" x14ac:dyDescent="0.25">
      <c r="A91" s="2635" t="s">
        <v>712</v>
      </c>
      <c r="C91" s="957">
        <f>SUM(C81:C85)</f>
        <v>8210887</v>
      </c>
      <c r="D91" s="957">
        <f>SUM(D81:D85)</f>
        <v>8615033</v>
      </c>
      <c r="E91" s="957">
        <f>SUM(E81:E85)</f>
        <v>8877839</v>
      </c>
      <c r="F91" s="957">
        <f>SUM(F81:F85)</f>
        <v>7219644</v>
      </c>
      <c r="G91" s="957">
        <f>SUM(G81:G85)</f>
        <v>9402048</v>
      </c>
      <c r="H91" s="957">
        <f t="shared" ref="H91:J91" si="35">SUM(H81:H85)</f>
        <v>11533018</v>
      </c>
      <c r="I91" s="957">
        <f t="shared" si="35"/>
        <v>16335806</v>
      </c>
      <c r="J91" s="957">
        <f t="shared" si="35"/>
        <v>9024647</v>
      </c>
      <c r="K91" s="957">
        <f t="shared" ref="K91:L91" si="36">SUM(K81:K85)</f>
        <v>13104768</v>
      </c>
      <c r="L91" s="957">
        <f t="shared" si="36"/>
        <v>8741427</v>
      </c>
      <c r="M91" s="957">
        <f t="shared" ref="M91:O91" si="37">SUM(M81:M85)</f>
        <v>10625602</v>
      </c>
      <c r="N91" s="957">
        <f t="shared" si="37"/>
        <v>14060654</v>
      </c>
      <c r="O91" s="957">
        <f t="shared" si="37"/>
        <v>125751373</v>
      </c>
      <c r="P91" s="954"/>
      <c r="Q91" s="957"/>
      <c r="S91" s="957"/>
    </row>
    <row r="92" spans="1:20" s="956" customFormat="1" x14ac:dyDescent="0.25">
      <c r="A92" s="2635"/>
      <c r="C92" s="957">
        <f>SUM(C65:C69)</f>
        <v>8384265</v>
      </c>
      <c r="D92" s="957">
        <f>SUM(D65:D69)</f>
        <v>7780872</v>
      </c>
      <c r="E92" s="957">
        <f>SUM(E65:E69)</f>
        <v>7708123</v>
      </c>
      <c r="F92" s="957">
        <f>SUM(F65:F69)</f>
        <v>5027303</v>
      </c>
      <c r="G92" s="957">
        <f>SUM(G65:G69)</f>
        <v>6786988</v>
      </c>
      <c r="H92" s="957">
        <f t="shared" ref="H92:J92" si="38">SUM(H65:H69)</f>
        <v>10370099</v>
      </c>
      <c r="I92" s="957">
        <f t="shared" si="38"/>
        <v>12270774</v>
      </c>
      <c r="J92" s="957">
        <f t="shared" si="38"/>
        <v>7904369</v>
      </c>
      <c r="K92" s="957">
        <f t="shared" ref="K92:L92" si="39">SUM(K65:K69)</f>
        <v>11569825</v>
      </c>
      <c r="L92" s="957">
        <f t="shared" si="39"/>
        <v>7668678</v>
      </c>
      <c r="M92" s="957">
        <f t="shared" ref="M92:O92" si="40">SUM(M65:M69)</f>
        <v>8710449</v>
      </c>
      <c r="N92" s="957">
        <f t="shared" si="40"/>
        <v>13067850</v>
      </c>
      <c r="O92" s="957">
        <f t="shared" si="40"/>
        <v>107249595</v>
      </c>
      <c r="P92" s="954"/>
      <c r="Q92" s="957"/>
      <c r="S92" s="957"/>
    </row>
    <row r="93" spans="1:20" x14ac:dyDescent="0.25">
      <c r="C93" s="959">
        <f>+(C91-C92)/C91</f>
        <v>-2.1115623683531388E-2</v>
      </c>
      <c r="D93" s="959">
        <f>+(D91-D92)/D91</f>
        <v>9.6826210648293512E-2</v>
      </c>
      <c r="E93" s="959">
        <f>+(E91-E92)/E91</f>
        <v>0.13175683857299056</v>
      </c>
      <c r="F93" s="959">
        <f>+(F91-F92)/F91</f>
        <v>0.30366331082252807</v>
      </c>
      <c r="G93" s="959">
        <f>+(G91-G92)/G91</f>
        <v>0.27813727392159665</v>
      </c>
      <c r="H93" s="959">
        <f t="shared" ref="H93:J93" si="41">+(H91-H92)/H91</f>
        <v>0.10083388407093442</v>
      </c>
      <c r="I93" s="959">
        <f t="shared" si="41"/>
        <v>0.24884183859676101</v>
      </c>
      <c r="J93" s="959">
        <f t="shared" si="41"/>
        <v>0.12413538169415379</v>
      </c>
      <c r="K93" s="959">
        <f t="shared" ref="K93:L93" si="42">+(K91-K92)/K91</f>
        <v>0.117128590143679</v>
      </c>
      <c r="L93" s="959">
        <f t="shared" si="42"/>
        <v>0.12272012338488898</v>
      </c>
      <c r="M93" s="959">
        <f t="shared" ref="M93:O93" si="43">+(M91-M92)/M91</f>
        <v>0.18023948196064563</v>
      </c>
      <c r="N93" s="959">
        <f t="shared" si="43"/>
        <v>7.0608664433389798E-2</v>
      </c>
      <c r="O93" s="959">
        <f t="shared" si="43"/>
        <v>0.14712982895224533</v>
      </c>
    </row>
    <row r="94" spans="1:20" x14ac:dyDescent="0.25">
      <c r="C94" s="959"/>
      <c r="D94" s="959"/>
      <c r="E94" s="959"/>
      <c r="F94" s="959"/>
      <c r="G94" s="959"/>
      <c r="H94" s="959"/>
    </row>
    <row r="95" spans="1:20" s="931" customFormat="1" ht="19.5" x14ac:dyDescent="0.35">
      <c r="A95" s="2570" t="s">
        <v>1588</v>
      </c>
      <c r="B95" s="2571"/>
      <c r="C95" s="2571"/>
      <c r="D95" s="2572"/>
      <c r="E95" s="2572"/>
      <c r="F95" s="2573"/>
      <c r="G95" s="2572"/>
      <c r="H95" s="2572"/>
      <c r="I95" s="2572"/>
      <c r="J95" s="2573"/>
      <c r="K95" s="2572"/>
      <c r="L95" s="2572"/>
      <c r="M95" s="2572"/>
      <c r="N95" s="2572"/>
      <c r="O95" s="2574"/>
      <c r="P95" s="929"/>
      <c r="Q95" s="930"/>
      <c r="S95" s="930"/>
    </row>
    <row r="96" spans="1:20" ht="15.75" x14ac:dyDescent="0.3">
      <c r="A96" s="920"/>
      <c r="B96" s="921"/>
      <c r="C96" s="921"/>
      <c r="D96" s="921"/>
      <c r="E96" s="921"/>
      <c r="F96" s="922"/>
      <c r="G96" s="921"/>
      <c r="H96" s="921"/>
      <c r="I96" s="921"/>
      <c r="J96" s="922"/>
      <c r="K96" s="921"/>
      <c r="L96" s="921"/>
      <c r="M96" s="921"/>
      <c r="N96" s="921"/>
      <c r="O96" s="936" t="s">
        <v>2024</v>
      </c>
    </row>
    <row r="97" spans="1:20" x14ac:dyDescent="0.25">
      <c r="A97" s="920"/>
      <c r="B97" s="921"/>
      <c r="C97" s="921">
        <v>1</v>
      </c>
      <c r="D97" s="921">
        <v>2</v>
      </c>
      <c r="E97" s="921">
        <v>3</v>
      </c>
      <c r="F97" s="922">
        <v>4</v>
      </c>
      <c r="G97" s="921">
        <v>5</v>
      </c>
      <c r="H97" s="921">
        <v>6</v>
      </c>
      <c r="I97" s="921">
        <v>7</v>
      </c>
      <c r="J97" s="922">
        <v>8</v>
      </c>
      <c r="K97" s="921">
        <v>9</v>
      </c>
      <c r="L97" s="921">
        <v>10</v>
      </c>
      <c r="M97" s="921">
        <v>11</v>
      </c>
      <c r="N97" s="921">
        <v>12</v>
      </c>
      <c r="O97" s="937" t="s">
        <v>601</v>
      </c>
    </row>
    <row r="98" spans="1:20" s="944" customFormat="1" x14ac:dyDescent="0.25">
      <c r="A98" s="938">
        <v>1111</v>
      </c>
      <c r="B98" s="939" t="s">
        <v>865</v>
      </c>
      <c r="C98" s="948">
        <v>2099475</v>
      </c>
      <c r="D98" s="948">
        <v>1074813</v>
      </c>
      <c r="E98" s="948">
        <v>1612252</v>
      </c>
      <c r="F98" s="948">
        <v>1398703</v>
      </c>
      <c r="G98" s="948">
        <v>1766083</v>
      </c>
      <c r="H98" s="948"/>
      <c r="I98" s="948"/>
      <c r="J98" s="948"/>
      <c r="K98" s="948"/>
      <c r="L98" s="940"/>
      <c r="M98" s="940"/>
      <c r="N98" s="940"/>
      <c r="O98" s="941">
        <f>SUM(C98:N98)</f>
        <v>7951326</v>
      </c>
      <c r="P98" s="942"/>
      <c r="Q98" s="943">
        <f>+SUM(C98:D98)</f>
        <v>3174288</v>
      </c>
      <c r="S98" s="947">
        <f>+Q98/2*12</f>
        <v>19045728</v>
      </c>
      <c r="T98" s="2634"/>
    </row>
    <row r="99" spans="1:20" s="944" customFormat="1" x14ac:dyDescent="0.25">
      <c r="A99" s="938">
        <v>1112</v>
      </c>
      <c r="B99" s="939" t="s">
        <v>865</v>
      </c>
      <c r="C99" s="948">
        <v>110222</v>
      </c>
      <c r="D99" s="948">
        <v>71655</v>
      </c>
      <c r="E99" s="948">
        <v>171492</v>
      </c>
      <c r="F99" s="948">
        <v>0</v>
      </c>
      <c r="G99" s="948">
        <v>0</v>
      </c>
      <c r="H99" s="948"/>
      <c r="I99" s="948"/>
      <c r="J99" s="948"/>
      <c r="K99" s="948"/>
      <c r="L99" s="940"/>
      <c r="M99" s="940"/>
      <c r="N99" s="940"/>
      <c r="O99" s="941">
        <f t="shared" ref="O99:O103" si="44">SUM(C99:N99)</f>
        <v>353369</v>
      </c>
      <c r="P99" s="942"/>
      <c r="Q99" s="943">
        <f t="shared" ref="Q99:Q103" si="45">+SUM(C99:D99)</f>
        <v>181877</v>
      </c>
      <c r="S99" s="947">
        <f t="shared" ref="S99:S103" si="46">+Q99/2*12</f>
        <v>1091262</v>
      </c>
      <c r="T99" s="2634"/>
    </row>
    <row r="100" spans="1:20" s="944" customFormat="1" x14ac:dyDescent="0.25">
      <c r="A100" s="938">
        <v>1113</v>
      </c>
      <c r="B100" s="939" t="s">
        <v>865</v>
      </c>
      <c r="C100" s="948">
        <v>431456</v>
      </c>
      <c r="D100" s="948">
        <v>445138</v>
      </c>
      <c r="E100" s="948">
        <v>348840</v>
      </c>
      <c r="F100" s="948">
        <v>369832</v>
      </c>
      <c r="G100" s="948">
        <v>399993</v>
      </c>
      <c r="H100" s="948"/>
      <c r="I100" s="948"/>
      <c r="J100" s="948"/>
      <c r="K100" s="948"/>
      <c r="L100" s="940"/>
      <c r="M100" s="940"/>
      <c r="N100" s="940"/>
      <c r="O100" s="941">
        <f t="shared" si="44"/>
        <v>1995259</v>
      </c>
      <c r="P100" s="942"/>
      <c r="Q100" s="943">
        <f t="shared" si="45"/>
        <v>876594</v>
      </c>
      <c r="S100" s="947">
        <f t="shared" si="46"/>
        <v>5259564</v>
      </c>
      <c r="T100" s="2634"/>
    </row>
    <row r="101" spans="1:20" s="944" customFormat="1" x14ac:dyDescent="0.25">
      <c r="A101" s="938">
        <v>1121</v>
      </c>
      <c r="B101" s="939" t="s">
        <v>866</v>
      </c>
      <c r="C101" s="948">
        <v>824058</v>
      </c>
      <c r="D101" s="948">
        <v>315545</v>
      </c>
      <c r="E101" s="948">
        <v>5559315</v>
      </c>
      <c r="F101" s="948">
        <v>1284674</v>
      </c>
      <c r="G101" s="948">
        <v>722850</v>
      </c>
      <c r="H101" s="948"/>
      <c r="I101" s="948"/>
      <c r="J101" s="948"/>
      <c r="K101" s="948"/>
      <c r="L101" s="940"/>
      <c r="M101" s="940"/>
      <c r="N101" s="940"/>
      <c r="O101" s="941">
        <f t="shared" si="44"/>
        <v>8706442</v>
      </c>
      <c r="P101" s="942"/>
      <c r="Q101" s="943">
        <f t="shared" si="45"/>
        <v>1139603</v>
      </c>
      <c r="S101" s="947">
        <f t="shared" si="46"/>
        <v>6837618</v>
      </c>
      <c r="T101" s="2634"/>
    </row>
    <row r="102" spans="1:20" s="944" customFormat="1" x14ac:dyDescent="0.25">
      <c r="A102" s="938">
        <v>1211</v>
      </c>
      <c r="B102" s="939" t="s">
        <v>867</v>
      </c>
      <c r="C102" s="948">
        <v>6350753</v>
      </c>
      <c r="D102" s="948">
        <v>7057253</v>
      </c>
      <c r="E102" s="948">
        <v>4179948</v>
      </c>
      <c r="F102" s="948">
        <v>4655684</v>
      </c>
      <c r="G102" s="948">
        <v>7702224</v>
      </c>
      <c r="H102" s="948"/>
      <c r="I102" s="948"/>
      <c r="J102" s="948"/>
      <c r="K102" s="948"/>
      <c r="L102" s="940"/>
      <c r="M102" s="940"/>
      <c r="N102" s="940"/>
      <c r="O102" s="941">
        <f t="shared" si="44"/>
        <v>29945862</v>
      </c>
      <c r="P102" s="942"/>
      <c r="Q102" s="943">
        <f t="shared" si="45"/>
        <v>13408006</v>
      </c>
      <c r="S102" s="947">
        <f t="shared" si="46"/>
        <v>80448036</v>
      </c>
      <c r="T102" s="2634"/>
    </row>
    <row r="103" spans="1:20" s="956" customFormat="1" x14ac:dyDescent="0.25">
      <c r="A103" s="949">
        <v>1511</v>
      </c>
      <c r="B103" s="950" t="s">
        <v>868</v>
      </c>
      <c r="C103" s="951">
        <v>196611</v>
      </c>
      <c r="D103" s="951">
        <v>10029</v>
      </c>
      <c r="E103" s="951">
        <v>0</v>
      </c>
      <c r="F103" s="951">
        <v>0</v>
      </c>
      <c r="G103" s="951">
        <v>0</v>
      </c>
      <c r="H103" s="951"/>
      <c r="I103" s="951"/>
      <c r="J103" s="951"/>
      <c r="K103" s="951"/>
      <c r="L103" s="952"/>
      <c r="M103" s="952"/>
      <c r="N103" s="952"/>
      <c r="O103" s="953">
        <f t="shared" si="44"/>
        <v>206640</v>
      </c>
      <c r="P103" s="954"/>
      <c r="Q103" s="943">
        <f t="shared" si="45"/>
        <v>206640</v>
      </c>
      <c r="S103" s="947">
        <f t="shared" si="46"/>
        <v>1239840</v>
      </c>
    </row>
    <row r="104" spans="1:20" s="931" customFormat="1" x14ac:dyDescent="0.25">
      <c r="A104" s="925"/>
      <c r="B104" s="926" t="s">
        <v>869</v>
      </c>
      <c r="C104" s="927">
        <f>SUM(C98:C103)</f>
        <v>10012575</v>
      </c>
      <c r="D104" s="927">
        <f>SUM(D98:D103)</f>
        <v>8974433</v>
      </c>
      <c r="E104" s="927">
        <f>SUM(E98:E103)</f>
        <v>11871847</v>
      </c>
      <c r="F104" s="927">
        <f>SUM(F98:F103)</f>
        <v>7708893</v>
      </c>
      <c r="G104" s="927">
        <f>SUM(G98:G103)</f>
        <v>10591150</v>
      </c>
      <c r="H104" s="927">
        <f t="shared" ref="H104:N104" si="47">SUM(H98:H103)</f>
        <v>0</v>
      </c>
      <c r="I104" s="927">
        <f t="shared" si="47"/>
        <v>0</v>
      </c>
      <c r="J104" s="927">
        <f t="shared" si="47"/>
        <v>0</v>
      </c>
      <c r="K104" s="927">
        <f t="shared" si="47"/>
        <v>0</v>
      </c>
      <c r="L104" s="927">
        <f t="shared" si="47"/>
        <v>0</v>
      </c>
      <c r="M104" s="927">
        <f t="shared" si="47"/>
        <v>0</v>
      </c>
      <c r="N104" s="927">
        <f t="shared" si="47"/>
        <v>0</v>
      </c>
      <c r="O104" s="928">
        <f>SUM(O98:O103)</f>
        <v>49158898</v>
      </c>
      <c r="P104" s="929"/>
      <c r="Q104" s="935"/>
      <c r="R104" s="935"/>
      <c r="S104" s="930"/>
    </row>
    <row r="105" spans="1:20" x14ac:dyDescent="0.25">
      <c r="C105" s="918">
        <f>+C104-C87</f>
        <v>1730906</v>
      </c>
      <c r="D105" s="918">
        <f>+D104-D87</f>
        <v>302300</v>
      </c>
      <c r="E105" s="918">
        <f>+E104-E87</f>
        <v>2908640</v>
      </c>
      <c r="F105" s="918">
        <f>+F104-F87</f>
        <v>469688</v>
      </c>
      <c r="G105" s="918">
        <f>+G104-G87</f>
        <v>1189102</v>
      </c>
      <c r="H105" s="918"/>
      <c r="I105" s="918"/>
      <c r="K105" s="918"/>
      <c r="L105" s="918"/>
      <c r="O105" s="2565">
        <f>SUM(C105:N105)</f>
        <v>6600636</v>
      </c>
    </row>
    <row r="106" spans="1:20" x14ac:dyDescent="0.25">
      <c r="C106" s="959">
        <f>+(C104-C87)/C104</f>
        <v>0.17287321193599048</v>
      </c>
      <c r="D106" s="959">
        <f>+(D104-D87)/D104</f>
        <v>3.3684579293198805E-2</v>
      </c>
      <c r="E106" s="959">
        <f>+(E104-E87)/E104</f>
        <v>0.24500315746993706</v>
      </c>
      <c r="F106" s="959">
        <f>+(F104-F87)/F104</f>
        <v>6.0928073589813739E-2</v>
      </c>
      <c r="G106" s="959">
        <f>+(G104-G87)/G104</f>
        <v>0.11227317146863183</v>
      </c>
      <c r="H106" s="959"/>
      <c r="I106" s="959"/>
      <c r="J106" s="959"/>
      <c r="K106" s="959"/>
      <c r="L106" s="959"/>
    </row>
    <row r="107" spans="1:20" x14ac:dyDescent="0.25">
      <c r="C107" s="918"/>
      <c r="J107" s="919"/>
      <c r="O107" s="917"/>
    </row>
    <row r="108" spans="1:20" s="956" customFormat="1" x14ac:dyDescent="0.25">
      <c r="A108" s="2635" t="s">
        <v>712</v>
      </c>
      <c r="C108" s="957">
        <f>SUM(C98:C102)</f>
        <v>9815964</v>
      </c>
      <c r="D108" s="957">
        <f>SUM(D98:D102)</f>
        <v>8964404</v>
      </c>
      <c r="E108" s="957">
        <f>SUM(E98:E102)</f>
        <v>11871847</v>
      </c>
      <c r="F108" s="957">
        <f>SUM(F98:F102)</f>
        <v>7708893</v>
      </c>
      <c r="G108" s="957">
        <f>SUM(G98:G102)</f>
        <v>10591150</v>
      </c>
      <c r="H108" s="957">
        <f t="shared" ref="H108:L108" si="48">SUM(H98:H102)</f>
        <v>0</v>
      </c>
      <c r="I108" s="957">
        <f t="shared" si="48"/>
        <v>0</v>
      </c>
      <c r="J108" s="957">
        <f t="shared" si="48"/>
        <v>0</v>
      </c>
      <c r="K108" s="957">
        <f t="shared" si="48"/>
        <v>0</v>
      </c>
      <c r="L108" s="957">
        <f t="shared" si="48"/>
        <v>0</v>
      </c>
      <c r="M108" s="957">
        <f t="shared" ref="M108:N108" si="49">SUM(M98:M102)</f>
        <v>0</v>
      </c>
      <c r="N108" s="957">
        <f t="shared" si="49"/>
        <v>0</v>
      </c>
      <c r="O108" s="1256"/>
      <c r="P108" s="954"/>
      <c r="Q108" s="957"/>
      <c r="S108" s="957"/>
    </row>
    <row r="109" spans="1:20" s="956" customFormat="1" x14ac:dyDescent="0.25">
      <c r="A109" s="2635"/>
      <c r="C109" s="957">
        <f>SUM(C81:C85)</f>
        <v>8210887</v>
      </c>
      <c r="D109" s="957">
        <f>SUM(D81:D85)</f>
        <v>8615033</v>
      </c>
      <c r="E109" s="957">
        <f>SUM(E81:E85)</f>
        <v>8877839</v>
      </c>
      <c r="F109" s="957">
        <f>SUM(F81:F85)</f>
        <v>7219644</v>
      </c>
      <c r="G109" s="957">
        <f>SUM(G81:G85)</f>
        <v>9402048</v>
      </c>
      <c r="H109" s="957">
        <f t="shared" ref="H109:L109" si="50">SUM(H81:H85)</f>
        <v>11533018</v>
      </c>
      <c r="I109" s="957">
        <f t="shared" si="50"/>
        <v>16335806</v>
      </c>
      <c r="J109" s="957">
        <f t="shared" si="50"/>
        <v>9024647</v>
      </c>
      <c r="K109" s="957">
        <f t="shared" si="50"/>
        <v>13104768</v>
      </c>
      <c r="L109" s="957">
        <f t="shared" si="50"/>
        <v>8741427</v>
      </c>
      <c r="M109" s="957">
        <f t="shared" ref="M109:N109" si="51">SUM(M81:M85)</f>
        <v>10625602</v>
      </c>
      <c r="N109" s="957">
        <f t="shared" si="51"/>
        <v>14060654</v>
      </c>
      <c r="O109" s="1256"/>
      <c r="P109" s="954"/>
      <c r="Q109" s="957"/>
      <c r="S109" s="957"/>
    </row>
    <row r="110" spans="1:20" x14ac:dyDescent="0.25">
      <c r="C110" s="959">
        <f>+(C108-C109)/C108</f>
        <v>0.16351700148859552</v>
      </c>
      <c r="D110" s="959">
        <f>+(D108-D109)/D108</f>
        <v>3.8973143111354643E-2</v>
      </c>
      <c r="E110" s="959">
        <f>+(E108-E109)/E108</f>
        <v>0.25219395094967112</v>
      </c>
      <c r="F110" s="959">
        <f>+(F108-F109)/F108</f>
        <v>6.3465532599816854E-2</v>
      </c>
      <c r="G110" s="959">
        <f>+(G108-G109)/G108</f>
        <v>0.11227317146863183</v>
      </c>
      <c r="H110" s="959" t="e">
        <f t="shared" ref="H110:L110" si="52">+(H108-H109)/H108</f>
        <v>#DIV/0!</v>
      </c>
      <c r="I110" s="959" t="e">
        <f t="shared" si="52"/>
        <v>#DIV/0!</v>
      </c>
      <c r="J110" s="959" t="e">
        <f t="shared" si="52"/>
        <v>#DIV/0!</v>
      </c>
      <c r="K110" s="959" t="e">
        <f t="shared" si="52"/>
        <v>#DIV/0!</v>
      </c>
      <c r="L110" s="959" t="e">
        <f t="shared" si="52"/>
        <v>#DIV/0!</v>
      </c>
      <c r="M110" s="959" t="e">
        <f t="shared" ref="M110:N110" si="53">+(M108-M109)/M108</f>
        <v>#DIV/0!</v>
      </c>
      <c r="N110" s="959" t="e">
        <f t="shared" si="53"/>
        <v>#DIV/0!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5" bestFit="1" customWidth="1"/>
    <col min="6" max="6" width="11.7109375" style="190" bestFit="1" customWidth="1"/>
    <col min="7" max="7" width="12.85546875" style="285" bestFit="1" customWidth="1"/>
    <col min="8" max="8" width="11.7109375" style="190" bestFit="1" customWidth="1"/>
    <col min="9" max="9" width="12.85546875" style="285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8">
        <v>2020</v>
      </c>
      <c r="D2" s="2636" t="s">
        <v>1106</v>
      </c>
      <c r="E2" s="2637"/>
      <c r="F2" s="2638" t="s">
        <v>1107</v>
      </c>
      <c r="G2" s="2639"/>
      <c r="H2" s="2636" t="s">
        <v>1113</v>
      </c>
      <c r="I2" s="2640"/>
      <c r="J2" s="308"/>
    </row>
    <row r="3" spans="1:10" ht="14.25" thickBot="1" x14ac:dyDescent="0.3">
      <c r="C3" s="836"/>
      <c r="D3" s="837" t="s">
        <v>1108</v>
      </c>
      <c r="E3" s="838" t="s">
        <v>5</v>
      </c>
      <c r="F3" s="839" t="s">
        <v>1108</v>
      </c>
      <c r="G3" s="840" t="s">
        <v>5</v>
      </c>
      <c r="H3" s="837" t="s">
        <v>1108</v>
      </c>
      <c r="I3" s="840" t="s">
        <v>5</v>
      </c>
    </row>
    <row r="4" spans="1:10" x14ac:dyDescent="0.25">
      <c r="A4" s="859" t="s">
        <v>1112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x14ac:dyDescent="0.25">
      <c r="A5" s="862" t="s">
        <v>1111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x14ac:dyDescent="0.25">
      <c r="A6" s="860" t="s">
        <v>1109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x14ac:dyDescent="0.25">
      <c r="A7" s="862" t="s">
        <v>1110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.25" thickBot="1" x14ac:dyDescent="0.3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.25" thickBot="1" x14ac:dyDescent="0.3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25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zoomScale="76" zoomScaleNormal="76" workbookViewId="0">
      <pane xSplit="3" ySplit="5" topLeftCell="D22" activePane="bottomRight" state="frozen"/>
      <selection pane="topRight" activeCell="D1" sqref="D1"/>
      <selection pane="bottomLeft" activeCell="A6" sqref="A6"/>
      <selection pane="bottomRight" activeCell="F56" sqref="F56"/>
    </sheetView>
  </sheetViews>
  <sheetFormatPr defaultColWidth="9.140625" defaultRowHeight="13.5" outlineLevelRow="1" x14ac:dyDescent="0.25"/>
  <cols>
    <col min="1" max="1" width="7" style="968" customWidth="1"/>
    <col min="2" max="2" width="13" style="968" bestFit="1" customWidth="1"/>
    <col min="3" max="3" width="74.85546875" style="968" customWidth="1"/>
    <col min="4" max="6" width="14.28515625" style="968" bestFit="1" customWidth="1"/>
    <col min="7" max="7" width="12.85546875" style="968" bestFit="1" customWidth="1"/>
    <col min="8" max="8" width="13" style="968" bestFit="1" customWidth="1"/>
    <col min="9" max="13" width="14.28515625" style="968" bestFit="1" customWidth="1"/>
    <col min="14" max="14" width="12.85546875" style="968" bestFit="1" customWidth="1"/>
    <col min="15" max="16" width="14.28515625" style="968" bestFit="1" customWidth="1"/>
    <col min="17" max="17" width="14" style="972" bestFit="1" customWidth="1"/>
    <col min="18" max="18" width="14" style="973" bestFit="1" customWidth="1"/>
    <col min="19" max="19" width="14" style="972" bestFit="1" customWidth="1"/>
    <col min="20" max="20" width="12" style="973" customWidth="1"/>
    <col min="21" max="16384" width="9.140625" style="968"/>
  </cols>
  <sheetData>
    <row r="1" spans="1:20" ht="17.25" thickBot="1" x14ac:dyDescent="0.35">
      <c r="A1" s="2568" t="s">
        <v>128</v>
      </c>
      <c r="B1" s="319"/>
      <c r="C1" s="1824"/>
      <c r="D1" s="962"/>
      <c r="E1" s="962"/>
      <c r="F1" s="962"/>
      <c r="G1" s="963"/>
      <c r="H1" s="964">
        <v>6478636.2498681201</v>
      </c>
      <c r="I1" s="965"/>
      <c r="J1" s="965"/>
      <c r="K1" s="965"/>
      <c r="L1" s="965"/>
      <c r="M1" s="966">
        <v>7740474.0226793224</v>
      </c>
      <c r="N1" s="965"/>
      <c r="O1" s="965"/>
      <c r="P1" s="966">
        <v>6176793.076817017</v>
      </c>
      <c r="Q1" s="967"/>
      <c r="R1" s="962"/>
      <c r="S1" s="967"/>
      <c r="T1" s="962"/>
    </row>
    <row r="2" spans="1:20" ht="17.25" thickBot="1" x14ac:dyDescent="0.35">
      <c r="A2" s="2569" t="s">
        <v>477</v>
      </c>
      <c r="B2" s="1825"/>
      <c r="C2" s="319"/>
      <c r="D2" s="1823" t="s">
        <v>1587</v>
      </c>
      <c r="E2" s="965"/>
      <c r="F2" s="965"/>
      <c r="H2" s="967"/>
      <c r="I2" s="965"/>
      <c r="J2" s="965"/>
      <c r="L2" s="967"/>
      <c r="M2" s="966">
        <f>+L6+J6</f>
        <v>0</v>
      </c>
      <c r="N2" s="965"/>
      <c r="O2" s="965"/>
      <c r="P2" s="970"/>
      <c r="Q2" s="967"/>
      <c r="R2" s="962"/>
      <c r="S2" s="967"/>
      <c r="T2" s="962"/>
    </row>
    <row r="3" spans="1:20" s="1822" customFormat="1" ht="14.25" thickBot="1" x14ac:dyDescent="0.3">
      <c r="A3" s="2654" t="s">
        <v>476</v>
      </c>
      <c r="B3" s="2655"/>
      <c r="C3" s="2656"/>
      <c r="D3" s="1817" t="s">
        <v>612</v>
      </c>
      <c r="E3" s="1818" t="s">
        <v>613</v>
      </c>
      <c r="F3" s="1818" t="s">
        <v>614</v>
      </c>
      <c r="G3" s="1818" t="s">
        <v>615</v>
      </c>
      <c r="H3" s="1818" t="s">
        <v>616</v>
      </c>
      <c r="I3" s="1818" t="s">
        <v>190</v>
      </c>
      <c r="J3" s="1818" t="s">
        <v>191</v>
      </c>
      <c r="K3" s="1818" t="s">
        <v>617</v>
      </c>
      <c r="L3" s="1818" t="s">
        <v>618</v>
      </c>
      <c r="M3" s="1818" t="s">
        <v>619</v>
      </c>
      <c r="N3" s="1818" t="s">
        <v>620</v>
      </c>
      <c r="O3" s="1818" t="s">
        <v>621</v>
      </c>
      <c r="P3" s="1819" t="s">
        <v>1521</v>
      </c>
      <c r="Q3" s="1820"/>
      <c r="R3" s="1821"/>
      <c r="S3" s="1820"/>
      <c r="T3" s="1821"/>
    </row>
    <row r="4" spans="1:20" s="1716" customFormat="1" ht="14.25" thickBot="1" x14ac:dyDescent="0.3">
      <c r="A4" s="2657"/>
      <c r="B4" s="2658"/>
      <c r="C4" s="2659"/>
      <c r="D4" s="1813"/>
      <c r="E4" s="1814"/>
      <c r="F4" s="1815"/>
      <c r="G4" s="1816"/>
      <c r="H4" s="1815"/>
      <c r="I4" s="1816"/>
      <c r="J4" s="1814"/>
      <c r="K4" s="1815"/>
      <c r="L4" s="1816"/>
      <c r="M4" s="1815"/>
      <c r="N4" s="1816"/>
      <c r="O4" s="1814"/>
      <c r="P4" s="1816"/>
      <c r="Q4" s="1709"/>
      <c r="R4" s="1707"/>
      <c r="S4" s="1709"/>
      <c r="T4" s="1707"/>
    </row>
    <row r="5" spans="1:20" s="1708" customFormat="1" ht="15.75" customHeight="1" thickBot="1" x14ac:dyDescent="0.35">
      <c r="A5" s="2660" t="s">
        <v>124</v>
      </c>
      <c r="B5" s="2661"/>
      <c r="C5" s="2662"/>
      <c r="D5" s="1700">
        <f>'Souhrn příjmů a výdajů 2023'!H112</f>
        <v>14800000</v>
      </c>
      <c r="E5" s="1701">
        <f>+D57</f>
        <v>14610673.57</v>
      </c>
      <c r="F5" s="1702">
        <f t="shared" ref="F5:O5" si="0">+E57</f>
        <v>13966397.260000002</v>
      </c>
      <c r="G5" s="1703">
        <f>F57</f>
        <v>25145643.260000005</v>
      </c>
      <c r="H5" s="1704">
        <f t="shared" si="0"/>
        <v>19483416.260000005</v>
      </c>
      <c r="I5" s="1703">
        <f t="shared" si="0"/>
        <v>30074566.260000005</v>
      </c>
      <c r="J5" s="1701">
        <f t="shared" si="0"/>
        <v>30074566.260000005</v>
      </c>
      <c r="K5" s="1702">
        <f t="shared" si="0"/>
        <v>30074566.260000005</v>
      </c>
      <c r="L5" s="1703">
        <f t="shared" si="0"/>
        <v>30074566.260000005</v>
      </c>
      <c r="M5" s="1704">
        <f t="shared" si="0"/>
        <v>30074566.260000005</v>
      </c>
      <c r="N5" s="1703">
        <f t="shared" si="0"/>
        <v>30074566.260000005</v>
      </c>
      <c r="O5" s="1701">
        <f t="shared" si="0"/>
        <v>30074566.260000005</v>
      </c>
      <c r="P5" s="1703">
        <f>O57</f>
        <v>39444566.260000005</v>
      </c>
      <c r="Q5" s="1705" t="s">
        <v>783</v>
      </c>
      <c r="R5" s="1706" t="s">
        <v>768</v>
      </c>
      <c r="S5" s="1705" t="s">
        <v>711</v>
      </c>
      <c r="T5" s="1707"/>
    </row>
    <row r="6" spans="1:20" s="1840" customFormat="1" outlineLevel="1" x14ac:dyDescent="0.25">
      <c r="A6" s="2663" t="s">
        <v>475</v>
      </c>
      <c r="B6" s="1832">
        <v>1111</v>
      </c>
      <c r="C6" s="1833" t="s">
        <v>1155</v>
      </c>
      <c r="D6" s="1843">
        <f>RUD!C98</f>
        <v>2099475</v>
      </c>
      <c r="E6" s="1834">
        <f>RUD!D98</f>
        <v>1074813</v>
      </c>
      <c r="F6" s="1835">
        <f>RUD!E98</f>
        <v>1612252</v>
      </c>
      <c r="G6" s="1836">
        <f>RUD!F98</f>
        <v>1398703</v>
      </c>
      <c r="H6" s="1837">
        <f>RUD!G98</f>
        <v>1766083</v>
      </c>
      <c r="I6" s="1836"/>
      <c r="J6" s="1834"/>
      <c r="K6" s="1835"/>
      <c r="L6" s="1836"/>
      <c r="M6" s="1837"/>
      <c r="N6" s="1836"/>
      <c r="O6" s="1834"/>
      <c r="P6" s="1836"/>
      <c r="Q6" s="1715">
        <f t="shared" ref="Q6:Q16" si="1">SUM(D6:P6)</f>
        <v>7951326</v>
      </c>
      <c r="R6" s="1715">
        <f>+'Souhrn příjmů a výdajů 2023'!H7</f>
        <v>24855312</v>
      </c>
      <c r="S6" s="1838">
        <f>+R6-Q6</f>
        <v>16903986</v>
      </c>
      <c r="T6" s="1839"/>
    </row>
    <row r="7" spans="1:20" s="1840" customFormat="1" outlineLevel="1" x14ac:dyDescent="0.25">
      <c r="A7" s="2664"/>
      <c r="B7" s="1841">
        <v>1112</v>
      </c>
      <c r="C7" s="1842" t="s">
        <v>1260</v>
      </c>
      <c r="D7" s="1843">
        <f>RUD!C99</f>
        <v>110222</v>
      </c>
      <c r="E7" s="1844">
        <f>RUD!D99</f>
        <v>71655</v>
      </c>
      <c r="F7" s="1845">
        <f>RUD!E99</f>
        <v>171492</v>
      </c>
      <c r="G7" s="1846">
        <f>RUD!F99</f>
        <v>0</v>
      </c>
      <c r="H7" s="1847">
        <f>RUD!G99</f>
        <v>0</v>
      </c>
      <c r="I7" s="1846"/>
      <c r="J7" s="1844"/>
      <c r="K7" s="1845"/>
      <c r="L7" s="1846"/>
      <c r="M7" s="1847"/>
      <c r="N7" s="1846"/>
      <c r="O7" s="1844"/>
      <c r="P7" s="1846"/>
      <c r="Q7" s="1715">
        <f t="shared" si="1"/>
        <v>353369</v>
      </c>
      <c r="R7" s="1715">
        <f>+'Souhrn příjmů a výdajů 2023'!H8+'Souhrn příjmů a výdajů 2023'!H9</f>
        <v>2488348</v>
      </c>
      <c r="S7" s="1838">
        <f t="shared" ref="S7:S11" si="2">+R7-Q7</f>
        <v>2134979</v>
      </c>
      <c r="T7" s="1839"/>
    </row>
    <row r="8" spans="1:20" s="1840" customFormat="1" outlineLevel="1" x14ac:dyDescent="0.25">
      <c r="A8" s="2664"/>
      <c r="B8" s="1841">
        <v>1113</v>
      </c>
      <c r="C8" s="1842" t="s">
        <v>1259</v>
      </c>
      <c r="D8" s="1843">
        <f>RUD!C100</f>
        <v>431456</v>
      </c>
      <c r="E8" s="1844">
        <f>RUD!D100</f>
        <v>445138</v>
      </c>
      <c r="F8" s="1845">
        <f>RUD!E100</f>
        <v>348840</v>
      </c>
      <c r="G8" s="1846">
        <f>RUD!F100</f>
        <v>369832</v>
      </c>
      <c r="H8" s="1847">
        <f>RUD!G100</f>
        <v>399993</v>
      </c>
      <c r="I8" s="1846"/>
      <c r="J8" s="1844"/>
      <c r="K8" s="1845"/>
      <c r="L8" s="1846"/>
      <c r="M8" s="1847"/>
      <c r="N8" s="1846"/>
      <c r="O8" s="1844"/>
      <c r="P8" s="1846"/>
      <c r="Q8" s="1715">
        <f t="shared" si="1"/>
        <v>1995259</v>
      </c>
      <c r="R8" s="1715">
        <f>+'Souhrn příjmů a výdajů 2023'!H11</f>
        <v>4953190</v>
      </c>
      <c r="S8" s="1838">
        <f t="shared" si="2"/>
        <v>2957931</v>
      </c>
      <c r="T8" s="1839"/>
    </row>
    <row r="9" spans="1:20" s="1840" customFormat="1" ht="12.95" hidden="1" customHeight="1" outlineLevel="1" x14ac:dyDescent="0.25">
      <c r="A9" s="2664"/>
      <c r="B9" s="1841">
        <v>1112</v>
      </c>
      <c r="C9" s="1842" t="s">
        <v>1158</v>
      </c>
      <c r="D9" s="1843"/>
      <c r="E9" s="1844"/>
      <c r="F9" s="1845"/>
      <c r="G9" s="1846"/>
      <c r="H9" s="1847"/>
      <c r="I9" s="1846"/>
      <c r="J9" s="1844"/>
      <c r="K9" s="1845"/>
      <c r="L9" s="1846"/>
      <c r="M9" s="1847"/>
      <c r="N9" s="1846"/>
      <c r="O9" s="1844"/>
      <c r="P9" s="1846"/>
      <c r="Q9" s="1715">
        <f t="shared" si="1"/>
        <v>0</v>
      </c>
      <c r="R9" s="1715"/>
      <c r="S9" s="1838">
        <f t="shared" si="2"/>
        <v>0</v>
      </c>
      <c r="T9" s="1839"/>
    </row>
    <row r="10" spans="1:20" s="1840" customFormat="1" outlineLevel="1" x14ac:dyDescent="0.25">
      <c r="A10" s="2664"/>
      <c r="B10" s="1841">
        <v>1121</v>
      </c>
      <c r="C10" s="1842" t="s">
        <v>15</v>
      </c>
      <c r="D10" s="1843">
        <f>RUD!C101</f>
        <v>824058</v>
      </c>
      <c r="E10" s="1844">
        <f>RUD!D101</f>
        <v>315545</v>
      </c>
      <c r="F10" s="1845">
        <f>RUD!E101</f>
        <v>5559315</v>
      </c>
      <c r="G10" s="1846">
        <f>RUD!F101</f>
        <v>1284674</v>
      </c>
      <c r="H10" s="1847">
        <f>RUD!G101</f>
        <v>722850</v>
      </c>
      <c r="I10" s="1846"/>
      <c r="J10" s="1844"/>
      <c r="K10" s="1845"/>
      <c r="L10" s="1846"/>
      <c r="M10" s="1847"/>
      <c r="N10" s="1846"/>
      <c r="O10" s="1844"/>
      <c r="P10" s="1846"/>
      <c r="Q10" s="1715">
        <f t="shared" si="1"/>
        <v>8706442</v>
      </c>
      <c r="R10" s="1715">
        <f>+'Souhrn příjmů a výdajů 2023'!H12</f>
        <v>35922921</v>
      </c>
      <c r="S10" s="1838">
        <f t="shared" si="2"/>
        <v>27216479</v>
      </c>
      <c r="T10" s="1839"/>
    </row>
    <row r="11" spans="1:20" s="1840" customFormat="1" ht="13.5" customHeight="1" outlineLevel="1" x14ac:dyDescent="0.25">
      <c r="A11" s="2664"/>
      <c r="B11" s="1841">
        <v>1211</v>
      </c>
      <c r="C11" s="1842" t="s">
        <v>16</v>
      </c>
      <c r="D11" s="1843">
        <f>RUD!C102</f>
        <v>6350753</v>
      </c>
      <c r="E11" s="1844">
        <f>RUD!D102</f>
        <v>7057253</v>
      </c>
      <c r="F11" s="1845">
        <f>RUD!E102</f>
        <v>4179948</v>
      </c>
      <c r="G11" s="1846">
        <f>RUD!F102</f>
        <v>4655684</v>
      </c>
      <c r="H11" s="1847">
        <f>RUD!G102</f>
        <v>7702224</v>
      </c>
      <c r="I11" s="1846"/>
      <c r="J11" s="1844"/>
      <c r="K11" s="1845"/>
      <c r="L11" s="1846"/>
      <c r="M11" s="1847"/>
      <c r="N11" s="1846"/>
      <c r="O11" s="1844"/>
      <c r="P11" s="1846"/>
      <c r="Q11" s="1715">
        <f t="shared" si="1"/>
        <v>29945862</v>
      </c>
      <c r="R11" s="1715">
        <f>+'Souhrn příjmů a výdajů 2023'!H14</f>
        <v>80505412</v>
      </c>
      <c r="S11" s="1838">
        <f t="shared" si="2"/>
        <v>50559550</v>
      </c>
      <c r="T11" s="1839"/>
    </row>
    <row r="12" spans="1:20" s="1716" customFormat="1" ht="17.100000000000001" customHeight="1" outlineLevel="1" x14ac:dyDescent="0.25">
      <c r="A12" s="2664"/>
      <c r="B12" s="1695" t="s">
        <v>1236</v>
      </c>
      <c r="C12" s="1696" t="s">
        <v>981</v>
      </c>
      <c r="D12" s="1710">
        <v>323999.53999999998</v>
      </c>
      <c r="E12" s="1711">
        <v>6243180</v>
      </c>
      <c r="F12" s="1712">
        <v>2174075</v>
      </c>
      <c r="G12" s="1713">
        <v>3097067</v>
      </c>
      <c r="H12" s="1714">
        <f>RUD!G103</f>
        <v>0</v>
      </c>
      <c r="I12" s="1713"/>
      <c r="J12" s="1711"/>
      <c r="K12" s="1712"/>
      <c r="L12" s="1713"/>
      <c r="M12" s="1714"/>
      <c r="N12" s="1713"/>
      <c r="O12" s="1711">
        <v>9370000</v>
      </c>
      <c r="P12" s="1713"/>
      <c r="Q12" s="1709">
        <f t="shared" si="1"/>
        <v>21208321.539999999</v>
      </c>
      <c r="R12" s="1715">
        <f>'Souhrn příjmů a výdajů 2023'!H6-'Souhrn příjmů a výdajů 2023'!H7-'Souhrn příjmů a výdajů 2023'!H8-'Souhrn příjmů a výdajů 2023'!H11-'Souhrn příjmů a výdajů 2023'!H12-'Souhrn příjmů a výdajů 2023'!H14</f>
        <v>31511188</v>
      </c>
      <c r="S12" s="1709">
        <f>+R12-Q12</f>
        <v>10302866.460000001</v>
      </c>
      <c r="T12" s="1715"/>
    </row>
    <row r="13" spans="1:20" s="1716" customFormat="1" ht="17.100000000000001" customHeight="1" outlineLevel="1" x14ac:dyDescent="0.25">
      <c r="A13" s="2664"/>
      <c r="B13" s="1695" t="s">
        <v>1237</v>
      </c>
      <c r="C13" s="1696" t="s">
        <v>225</v>
      </c>
      <c r="D13" s="1717">
        <v>2395787.81</v>
      </c>
      <c r="E13" s="1711">
        <v>3742236</v>
      </c>
      <c r="F13" s="1712">
        <v>2879288</v>
      </c>
      <c r="G13" s="1713">
        <v>2206565</v>
      </c>
      <c r="H13" s="1714"/>
      <c r="I13" s="1713"/>
      <c r="J13" s="1711"/>
      <c r="K13" s="1712"/>
      <c r="L13" s="1713"/>
      <c r="M13" s="1714"/>
      <c r="N13" s="1713"/>
      <c r="O13" s="1711"/>
      <c r="P13" s="1713"/>
      <c r="Q13" s="1709">
        <f t="shared" si="1"/>
        <v>11223876.810000001</v>
      </c>
      <c r="R13" s="1715">
        <f>'Souhrn příjmů a výdajů 2023'!H30</f>
        <v>31014467</v>
      </c>
      <c r="S13" s="1709">
        <f t="shared" ref="S13:S55" si="3">+R13-Q13</f>
        <v>19790590.189999998</v>
      </c>
      <c r="T13" s="1707"/>
    </row>
    <row r="14" spans="1:20" s="1716" customFormat="1" ht="12.6" customHeight="1" outlineLevel="1" x14ac:dyDescent="0.25">
      <c r="A14" s="2664"/>
      <c r="B14" s="1718"/>
      <c r="C14" s="1696" t="s">
        <v>980</v>
      </c>
      <c r="D14" s="1719">
        <f>130800+318550+842358</f>
        <v>1291708</v>
      </c>
      <c r="E14" s="1711">
        <v>878758</v>
      </c>
      <c r="F14" s="1712">
        <v>1049358</v>
      </c>
      <c r="G14" s="1713">
        <v>842358</v>
      </c>
      <c r="H14" s="1714"/>
      <c r="I14" s="1713"/>
      <c r="J14" s="1711"/>
      <c r="K14" s="1712"/>
      <c r="L14" s="1713"/>
      <c r="M14" s="1714"/>
      <c r="N14" s="1713"/>
      <c r="O14" s="1711"/>
      <c r="P14" s="1713"/>
      <c r="Q14" s="1709">
        <f t="shared" si="1"/>
        <v>4062182</v>
      </c>
      <c r="R14" s="1715">
        <f>+'Souhrn příjmů a výdajů 2023'!H93+'Souhrn příjmů a výdajů 2023'!H86+'Souhrn příjmů a výdajů 2023'!H98+'Souhrn příjmů a výdajů 2023'!H99+'Souhrn příjmů a výdajů 2023'!H109</f>
        <v>13296400</v>
      </c>
      <c r="S14" s="1709">
        <f t="shared" si="3"/>
        <v>9234218</v>
      </c>
      <c r="T14" s="1707"/>
    </row>
    <row r="15" spans="1:20" s="1716" customFormat="1" ht="18" customHeight="1" outlineLevel="1" x14ac:dyDescent="0.25">
      <c r="A15" s="2664"/>
      <c r="B15" s="1718"/>
      <c r="C15" s="1697" t="s">
        <v>978</v>
      </c>
      <c r="D15" s="1717">
        <v>0</v>
      </c>
      <c r="E15" s="1711">
        <v>0</v>
      </c>
      <c r="F15" s="1712">
        <v>8159032</v>
      </c>
      <c r="G15" s="1713">
        <v>1878912</v>
      </c>
      <c r="H15" s="1714"/>
      <c r="I15" s="1713"/>
      <c r="J15" s="1711"/>
      <c r="K15" s="1712"/>
      <c r="L15" s="1713"/>
      <c r="M15" s="1714"/>
      <c r="N15" s="1713"/>
      <c r="O15" s="1711"/>
      <c r="P15" s="1713"/>
      <c r="Q15" s="1709">
        <f t="shared" si="1"/>
        <v>10037944</v>
      </c>
      <c r="R15" s="1715">
        <f>+'Souhrn příjmů a výdajů 2023'!H100+'Souhrn příjmů a výdajů 2023'!H101+'Souhrn příjmů a výdajů 2023'!H102+'Souhrn příjmů a výdajů 2023'!H104+'Souhrn příjmů a výdajů 2023'!H105+'Souhrn příjmů a výdajů 2023'!H106+'Souhrn příjmů a výdajů 2023'!H107+'Souhrn příjmů a výdajů 2023'!H108</f>
        <v>750000</v>
      </c>
      <c r="S15" s="1709">
        <f t="shared" si="3"/>
        <v>-9287944</v>
      </c>
      <c r="T15" s="1707"/>
    </row>
    <row r="16" spans="1:20" s="1716" customFormat="1" ht="18" customHeight="1" outlineLevel="1" thickBot="1" x14ac:dyDescent="0.3">
      <c r="A16" s="2664"/>
      <c r="B16" s="1748"/>
      <c r="C16" s="1826" t="s">
        <v>228</v>
      </c>
      <c r="D16" s="1827">
        <v>0</v>
      </c>
      <c r="E16" s="1828">
        <v>0</v>
      </c>
      <c r="F16" s="1829">
        <v>0</v>
      </c>
      <c r="G16" s="1830">
        <v>0</v>
      </c>
      <c r="H16" s="1831"/>
      <c r="I16" s="1830"/>
      <c r="J16" s="1828"/>
      <c r="K16" s="1829"/>
      <c r="L16" s="1830"/>
      <c r="M16" s="1831"/>
      <c r="N16" s="1830"/>
      <c r="O16" s="1828"/>
      <c r="P16" s="1830"/>
      <c r="Q16" s="1709">
        <f t="shared" si="1"/>
        <v>0</v>
      </c>
      <c r="R16" s="1715">
        <f>+'Souhrn příjmů a výdajů 2023'!H80</f>
        <v>65000</v>
      </c>
      <c r="S16" s="1709">
        <f t="shared" si="3"/>
        <v>65000</v>
      </c>
      <c r="T16" s="1707"/>
    </row>
    <row r="17" spans="1:20" s="1729" customFormat="1" ht="16.5" thickBot="1" x14ac:dyDescent="0.35">
      <c r="A17" s="2665"/>
      <c r="B17" s="2645" t="s">
        <v>1257</v>
      </c>
      <c r="C17" s="2646"/>
      <c r="D17" s="1721">
        <f t="shared" ref="D17:O17" si="4">SUM(D6:D16)</f>
        <v>13827459.35</v>
      </c>
      <c r="E17" s="1722">
        <f t="shared" si="4"/>
        <v>19828578</v>
      </c>
      <c r="F17" s="1723">
        <f t="shared" si="4"/>
        <v>26133600</v>
      </c>
      <c r="G17" s="1724">
        <f t="shared" si="4"/>
        <v>15733795</v>
      </c>
      <c r="H17" s="1725">
        <f t="shared" si="4"/>
        <v>10591150</v>
      </c>
      <c r="I17" s="1724">
        <f t="shared" si="4"/>
        <v>0</v>
      </c>
      <c r="J17" s="1722">
        <f t="shared" si="4"/>
        <v>0</v>
      </c>
      <c r="K17" s="1723">
        <f t="shared" si="4"/>
        <v>0</v>
      </c>
      <c r="L17" s="1724">
        <f t="shared" si="4"/>
        <v>0</v>
      </c>
      <c r="M17" s="1725">
        <f t="shared" si="4"/>
        <v>0</v>
      </c>
      <c r="N17" s="1724">
        <f t="shared" si="4"/>
        <v>0</v>
      </c>
      <c r="O17" s="1722">
        <f t="shared" si="4"/>
        <v>9370000</v>
      </c>
      <c r="P17" s="1724">
        <f t="shared" ref="P17" si="5">SUM(P6:P16)</f>
        <v>0</v>
      </c>
      <c r="Q17" s="1726">
        <f>SUM(Q6:Q15)</f>
        <v>95484582.349999994</v>
      </c>
      <c r="R17" s="1727">
        <f>SUM(R6:R15)</f>
        <v>225297238</v>
      </c>
      <c r="S17" s="1726">
        <f t="shared" si="3"/>
        <v>129812655.65000001</v>
      </c>
      <c r="T17" s="1728"/>
    </row>
    <row r="18" spans="1:20" s="319" customFormat="1" ht="16.5" thickBot="1" x14ac:dyDescent="0.3">
      <c r="A18" s="2664"/>
      <c r="B18" s="1730"/>
      <c r="C18" s="1730"/>
      <c r="D18" s="1731"/>
      <c r="E18" s="1731"/>
      <c r="F18" s="1731"/>
      <c r="G18" s="1731"/>
      <c r="H18" s="1731"/>
      <c r="I18" s="1731"/>
      <c r="J18" s="1731"/>
      <c r="K18" s="1731"/>
      <c r="L18" s="1731"/>
      <c r="M18" s="1731"/>
      <c r="N18" s="1731"/>
      <c r="O18" s="1731"/>
      <c r="P18" s="1849"/>
      <c r="Q18" s="1709"/>
      <c r="R18" s="1715"/>
      <c r="S18" s="1709"/>
      <c r="T18" s="1707"/>
    </row>
    <row r="19" spans="1:20" s="1729" customFormat="1" ht="16.5" thickBot="1" x14ac:dyDescent="0.35">
      <c r="A19" s="2665"/>
      <c r="B19" s="2666" t="s">
        <v>1256</v>
      </c>
      <c r="C19" s="2650"/>
      <c r="D19" s="1732">
        <f>SUM(D20:D25)</f>
        <v>11920916.780000001</v>
      </c>
      <c r="E19" s="1733">
        <f t="shared" ref="E19:P19" si="6">SUM(E20:E25)</f>
        <v>14689103</v>
      </c>
      <c r="F19" s="1734">
        <f t="shared" si="6"/>
        <v>11725566</v>
      </c>
      <c r="G19" s="1735">
        <f t="shared" si="6"/>
        <v>17442886</v>
      </c>
      <c r="H19" s="1736">
        <f t="shared" si="6"/>
        <v>0</v>
      </c>
      <c r="I19" s="1735">
        <f t="shared" si="6"/>
        <v>0</v>
      </c>
      <c r="J19" s="1733">
        <f t="shared" si="6"/>
        <v>0</v>
      </c>
      <c r="K19" s="1734">
        <f t="shared" si="6"/>
        <v>0</v>
      </c>
      <c r="L19" s="1735">
        <f t="shared" si="6"/>
        <v>0</v>
      </c>
      <c r="M19" s="1736">
        <f t="shared" si="6"/>
        <v>0</v>
      </c>
      <c r="N19" s="1735">
        <f t="shared" si="6"/>
        <v>0</v>
      </c>
      <c r="O19" s="1733">
        <f t="shared" si="6"/>
        <v>0</v>
      </c>
      <c r="P19" s="1735">
        <f t="shared" si="6"/>
        <v>0</v>
      </c>
      <c r="Q19" s="1726">
        <f t="shared" ref="Q19:Q25" si="7">SUM(D19:P19)</f>
        <v>55778471.780000001</v>
      </c>
      <c r="R19" s="1727">
        <f>SUM(R20:R25)</f>
        <v>169592596.59150001</v>
      </c>
      <c r="S19" s="1726">
        <f t="shared" si="3"/>
        <v>113814124.81150001</v>
      </c>
      <c r="T19" s="1728"/>
    </row>
    <row r="20" spans="1:20" s="1716" customFormat="1" outlineLevel="1" x14ac:dyDescent="0.25">
      <c r="A20" s="2664"/>
      <c r="B20" s="1737"/>
      <c r="C20" s="1698" t="s">
        <v>125</v>
      </c>
      <c r="D20" s="1720">
        <v>3012151</v>
      </c>
      <c r="E20" s="1738">
        <v>3181054</v>
      </c>
      <c r="F20" s="1739">
        <v>3031840</v>
      </c>
      <c r="G20" s="1740">
        <v>3176713</v>
      </c>
      <c r="H20" s="1741"/>
      <c r="I20" s="1740"/>
      <c r="J20" s="1738"/>
      <c r="K20" s="1739"/>
      <c r="L20" s="1740"/>
      <c r="M20" s="1741"/>
      <c r="N20" s="1742"/>
      <c r="O20" s="1739"/>
      <c r="P20" s="1742"/>
      <c r="Q20" s="1709">
        <f t="shared" si="7"/>
        <v>12401758</v>
      </c>
      <c r="R20" s="1715">
        <f>'Výdaje kapitol celkem'!F16</f>
        <v>44009290</v>
      </c>
      <c r="S20" s="1709">
        <f t="shared" si="3"/>
        <v>31607532</v>
      </c>
      <c r="T20" s="1715"/>
    </row>
    <row r="21" spans="1:20" s="1716" customFormat="1" outlineLevel="1" x14ac:dyDescent="0.25">
      <c r="A21" s="2664"/>
      <c r="B21" s="1718"/>
      <c r="C21" s="1698" t="s">
        <v>77</v>
      </c>
      <c r="D21" s="1720">
        <v>196960</v>
      </c>
      <c r="E21" s="1738">
        <v>66691</v>
      </c>
      <c r="F21" s="1739">
        <v>182364</v>
      </c>
      <c r="G21" s="1740">
        <v>101578</v>
      </c>
      <c r="H21" s="1741"/>
      <c r="I21" s="1740"/>
      <c r="J21" s="1738"/>
      <c r="K21" s="1739"/>
      <c r="L21" s="1740"/>
      <c r="M21" s="1741"/>
      <c r="N21" s="1740"/>
      <c r="O21" s="1738"/>
      <c r="P21" s="1740"/>
      <c r="Q21" s="1709">
        <f t="shared" si="7"/>
        <v>547593</v>
      </c>
      <c r="R21" s="1715">
        <f>'Souhrn příjmů a výdajů 2023'!H135+'Souhrn příjmů a výdajů 2023'!H136+'Souhrn příjmů a výdajů 2023'!H137+'Souhrn příjmů a výdajů 2023'!H138</f>
        <v>4887000</v>
      </c>
      <c r="S21" s="1709">
        <f t="shared" si="3"/>
        <v>4339407</v>
      </c>
      <c r="T21" s="1715"/>
    </row>
    <row r="22" spans="1:20" s="1716" customFormat="1" ht="16.5" customHeight="1" outlineLevel="1" x14ac:dyDescent="0.25">
      <c r="A22" s="2664"/>
      <c r="B22" s="1718"/>
      <c r="C22" s="1698" t="s">
        <v>126</v>
      </c>
      <c r="D22" s="1743">
        <v>900820.78</v>
      </c>
      <c r="E22" s="1744">
        <v>84797</v>
      </c>
      <c r="F22" s="1744">
        <v>838033</v>
      </c>
      <c r="G22" s="1744">
        <v>917428</v>
      </c>
      <c r="H22" s="1745"/>
      <c r="I22" s="1744"/>
      <c r="J22" s="1744"/>
      <c r="K22" s="1744"/>
      <c r="L22" s="1744"/>
      <c r="M22" s="1745"/>
      <c r="N22" s="1744"/>
      <c r="O22" s="1744"/>
      <c r="P22" s="1744"/>
      <c r="Q22" s="1709">
        <f t="shared" si="7"/>
        <v>2741078.7800000003</v>
      </c>
      <c r="R22" s="1715">
        <f>+'Souhrn příjmů a výdajů 2023'!H139+'Souhrn příjmů a výdajů 2023'!H140+'Souhrn příjmů a výdajů 2023'!H141+'Souhrn příjmů a výdajů 2023'!H142</f>
        <v>14235250</v>
      </c>
      <c r="S22" s="1709">
        <f t="shared" si="3"/>
        <v>11494171.219999999</v>
      </c>
      <c r="T22" s="1707"/>
    </row>
    <row r="23" spans="1:20" s="1716" customFormat="1" ht="16.5" customHeight="1" outlineLevel="1" x14ac:dyDescent="0.25">
      <c r="A23" s="2664"/>
      <c r="B23" s="1718"/>
      <c r="C23" s="1698" t="s">
        <v>764</v>
      </c>
      <c r="D23" s="1743">
        <v>957047</v>
      </c>
      <c r="E23" s="1746">
        <v>2948058</v>
      </c>
      <c r="F23" s="1747">
        <v>3639755</v>
      </c>
      <c r="G23" s="1744">
        <v>1543474</v>
      </c>
      <c r="H23" s="1745"/>
      <c r="I23" s="1744"/>
      <c r="J23" s="1746"/>
      <c r="K23" s="1747"/>
      <c r="L23" s="1744"/>
      <c r="M23" s="1745"/>
      <c r="N23" s="1744"/>
      <c r="O23" s="1746"/>
      <c r="P23" s="1744"/>
      <c r="Q23" s="1709">
        <f t="shared" si="7"/>
        <v>9088334</v>
      </c>
      <c r="R23" s="1715">
        <f>+'Souhrn příjmů a výdajů 2023'!H143+'Souhrn příjmů a výdajů 2023'!H144+'Souhrn příjmů a výdajů 2023'!H145+'Souhrn příjmů a výdajů 2023'!H146+'Souhrn příjmů a výdajů 2023'!H147+'Souhrn příjmů a výdajů 2023'!H148+'Souhrn příjmů a výdajů 2023'!H149+'Souhrn příjmů a výdajů 2023'!H150+'Souhrn příjmů a výdajů 2023'!H151+'Souhrn příjmů a výdajů 2023'!H152+'Souhrn příjmů a výdajů 2023'!H153+'Souhrn příjmů a výdajů 2023'!H154</f>
        <v>54770497</v>
      </c>
      <c r="S23" s="1709">
        <f t="shared" si="3"/>
        <v>45682163</v>
      </c>
      <c r="T23" s="1707"/>
    </row>
    <row r="24" spans="1:20" s="1716" customFormat="1" outlineLevel="1" x14ac:dyDescent="0.25">
      <c r="A24" s="2664"/>
      <c r="B24" s="1718"/>
      <c r="C24" s="1698" t="s">
        <v>979</v>
      </c>
      <c r="D24" s="1743">
        <v>4502450</v>
      </c>
      <c r="E24" s="1746">
        <v>8212450</v>
      </c>
      <c r="F24" s="1747">
        <v>3710000</v>
      </c>
      <c r="G24" s="1744">
        <v>11533692</v>
      </c>
      <c r="H24" s="1745"/>
      <c r="I24" s="1744"/>
      <c r="J24" s="1746"/>
      <c r="K24" s="1747"/>
      <c r="L24" s="1744"/>
      <c r="M24" s="1745"/>
      <c r="N24" s="1744"/>
      <c r="O24" s="1746"/>
      <c r="P24" s="1744"/>
      <c r="Q24" s="1709">
        <f t="shared" si="7"/>
        <v>27958592</v>
      </c>
      <c r="R24" s="1715">
        <f>+'Souhrn příjmů a výdajů 2023'!H159+'Souhrn příjmů a výdajů 2023'!H160+'Souhrn příjmů a výdajů 2023'!H165+'Souhrn příjmů a výdajů 2023'!H166</f>
        <v>46232972</v>
      </c>
      <c r="S24" s="1709">
        <f t="shared" si="3"/>
        <v>18274380</v>
      </c>
      <c r="T24" s="1707"/>
    </row>
    <row r="25" spans="1:20" s="1716" customFormat="1" ht="14.25" outlineLevel="1" thickBot="1" x14ac:dyDescent="0.3">
      <c r="A25" s="2664"/>
      <c r="B25" s="1748"/>
      <c r="C25" s="1699" t="s">
        <v>127</v>
      </c>
      <c r="D25" s="1749">
        <v>2351488</v>
      </c>
      <c r="E25" s="1750">
        <v>196053</v>
      </c>
      <c r="F25" s="1750">
        <v>323574</v>
      </c>
      <c r="G25" s="1751">
        <v>170001</v>
      </c>
      <c r="H25" s="1752"/>
      <c r="I25" s="1751"/>
      <c r="J25" s="1750"/>
      <c r="K25" s="1753"/>
      <c r="L25" s="1751"/>
      <c r="M25" s="1752"/>
      <c r="N25" s="1751"/>
      <c r="O25" s="1750"/>
      <c r="P25" s="1751"/>
      <c r="Q25" s="1709">
        <f t="shared" si="7"/>
        <v>3041116</v>
      </c>
      <c r="R25" s="1715">
        <f>+'Souhrn příjmů a výdajů 2023'!H157+'Souhrn příjmů a výdajů 2023'!H158+'Souhrn příjmů a výdajů 2023'!H161+'Souhrn příjmů a výdajů 2023'!H162+'Souhrn příjmů a výdajů 2023'!H163+'Souhrn příjmů a výdajů 2023'!H164+'Souhrn příjmů a výdajů 2023'!H167</f>
        <v>5457587.5915000001</v>
      </c>
      <c r="S25" s="1709">
        <f t="shared" si="3"/>
        <v>2416471.5915000001</v>
      </c>
      <c r="T25" s="1707"/>
    </row>
    <row r="26" spans="1:20" s="1716" customFormat="1" ht="14.25" thickBot="1" x14ac:dyDescent="0.3">
      <c r="A26" s="2664"/>
      <c r="B26" s="1754"/>
      <c r="C26" s="1755"/>
      <c r="D26" s="1756"/>
      <c r="E26" s="1756"/>
      <c r="F26" s="1756"/>
      <c r="G26" s="1756"/>
      <c r="H26" s="1756"/>
      <c r="I26" s="1756"/>
      <c r="J26" s="1756"/>
      <c r="K26" s="1756"/>
      <c r="L26" s="1756"/>
      <c r="M26" s="1756"/>
      <c r="N26" s="1756"/>
      <c r="O26" s="1756"/>
      <c r="P26" s="1850"/>
      <c r="Q26" s="1709"/>
      <c r="R26" s="1715"/>
      <c r="S26" s="1709"/>
      <c r="T26" s="1707"/>
    </row>
    <row r="27" spans="1:20" s="1757" customFormat="1" ht="16.5" thickBot="1" x14ac:dyDescent="0.35">
      <c r="A27" s="2665"/>
      <c r="B27" s="2645" t="s">
        <v>1255</v>
      </c>
      <c r="C27" s="2650"/>
      <c r="D27" s="1732">
        <f>D5+D17-D19-D16</f>
        <v>16706542.57</v>
      </c>
      <c r="E27" s="1733">
        <f t="shared" ref="E27:P27" si="8">E5+E17-E19-E16</f>
        <v>19750148.57</v>
      </c>
      <c r="F27" s="1734">
        <f>F5+F17-F19-F16</f>
        <v>28374431.260000005</v>
      </c>
      <c r="G27" s="1735">
        <f t="shared" si="8"/>
        <v>23436552.260000005</v>
      </c>
      <c r="H27" s="1736">
        <f t="shared" si="8"/>
        <v>30074566.260000005</v>
      </c>
      <c r="I27" s="1735">
        <f t="shared" si="8"/>
        <v>30074566.260000005</v>
      </c>
      <c r="J27" s="1733">
        <f t="shared" si="8"/>
        <v>30074566.260000005</v>
      </c>
      <c r="K27" s="1734">
        <f t="shared" si="8"/>
        <v>30074566.260000005</v>
      </c>
      <c r="L27" s="1735">
        <f t="shared" si="8"/>
        <v>30074566.260000005</v>
      </c>
      <c r="M27" s="1736">
        <f t="shared" si="8"/>
        <v>30074566.260000005</v>
      </c>
      <c r="N27" s="1735">
        <f t="shared" si="8"/>
        <v>30074566.260000005</v>
      </c>
      <c r="O27" s="1733">
        <f t="shared" si="8"/>
        <v>39444566.260000005</v>
      </c>
      <c r="P27" s="1735">
        <f t="shared" si="8"/>
        <v>39444566.260000005</v>
      </c>
      <c r="Q27" s="1726"/>
      <c r="R27" s="1727"/>
      <c r="S27" s="1726"/>
      <c r="T27" s="1728"/>
    </row>
    <row r="28" spans="1:20" s="1716" customFormat="1" x14ac:dyDescent="0.25">
      <c r="A28" s="2664"/>
      <c r="B28" s="1737"/>
      <c r="C28" s="1698" t="s">
        <v>7</v>
      </c>
      <c r="D28" s="1743">
        <v>237571</v>
      </c>
      <c r="E28" s="1746">
        <v>208251.31</v>
      </c>
      <c r="F28" s="1747">
        <v>350491</v>
      </c>
      <c r="G28" s="1744">
        <v>209552</v>
      </c>
      <c r="H28" s="1745"/>
      <c r="I28" s="1744"/>
      <c r="J28" s="1746"/>
      <c r="K28" s="1747"/>
      <c r="L28" s="1744"/>
      <c r="M28" s="1745"/>
      <c r="N28" s="1744"/>
      <c r="O28" s="1746"/>
      <c r="P28" s="1744"/>
      <c r="Q28" s="1709">
        <f>SUM(D28:P28)</f>
        <v>1005865.31</v>
      </c>
      <c r="R28" s="1715">
        <f>+'Výdaje kapitol celkem'!G53</f>
        <v>2952545.0202600001</v>
      </c>
      <c r="S28" s="1709">
        <f t="shared" si="3"/>
        <v>1946679.7102600001</v>
      </c>
      <c r="T28" s="1707"/>
    </row>
    <row r="29" spans="1:20" s="1716" customFormat="1" x14ac:dyDescent="0.25">
      <c r="A29" s="2664"/>
      <c r="B29" s="1718"/>
      <c r="C29" s="1758" t="s">
        <v>296</v>
      </c>
      <c r="D29" s="1759">
        <v>231000</v>
      </c>
      <c r="E29" s="1760">
        <v>231000</v>
      </c>
      <c r="F29" s="1761">
        <v>231000</v>
      </c>
      <c r="G29" s="1762">
        <v>231000</v>
      </c>
      <c r="H29" s="1763"/>
      <c r="I29" s="1762"/>
      <c r="J29" s="1760"/>
      <c r="K29" s="1761"/>
      <c r="L29" s="1762"/>
      <c r="M29" s="1763"/>
      <c r="N29" s="1762"/>
      <c r="O29" s="1760"/>
      <c r="P29" s="1762"/>
      <c r="Q29" s="1709">
        <f>SUM(D29:P29)</f>
        <v>924000</v>
      </c>
      <c r="R29" s="1715">
        <f>'Výdaje kapitol celkem'!F66</f>
        <v>3370000</v>
      </c>
      <c r="S29" s="1709">
        <f t="shared" si="3"/>
        <v>2446000</v>
      </c>
      <c r="T29" s="1707"/>
    </row>
    <row r="30" spans="1:20" s="1716" customFormat="1" x14ac:dyDescent="0.25">
      <c r="A30" s="2664"/>
      <c r="B30" s="1743"/>
      <c r="C30" s="1698" t="s">
        <v>113</v>
      </c>
      <c r="D30" s="1743"/>
      <c r="E30" s="1746"/>
      <c r="F30" s="1747"/>
      <c r="G30" s="1744"/>
      <c r="H30" s="1745"/>
      <c r="I30" s="1744"/>
      <c r="J30" s="1746"/>
      <c r="K30" s="1747"/>
      <c r="L30" s="1744"/>
      <c r="M30" s="1745"/>
      <c r="N30" s="1744"/>
      <c r="O30" s="1746"/>
      <c r="P30" s="1744"/>
      <c r="Q30" s="1709">
        <f>SUM(D30:P30)</f>
        <v>0</v>
      </c>
      <c r="R30" s="1715"/>
      <c r="S30" s="1709">
        <f t="shared" si="3"/>
        <v>0</v>
      </c>
      <c r="T30" s="1707"/>
    </row>
    <row r="31" spans="1:20" s="1757" customFormat="1" ht="16.5" thickBot="1" x14ac:dyDescent="0.35">
      <c r="A31" s="2665"/>
      <c r="B31" s="2645" t="s">
        <v>1254</v>
      </c>
      <c r="C31" s="2646"/>
      <c r="D31" s="1721">
        <f>D27-D28-D30-D29+D16</f>
        <v>16237971.57</v>
      </c>
      <c r="E31" s="1722">
        <f t="shared" ref="E31:P31" si="9">E27-E28-E30-E29+E16</f>
        <v>19310897.260000002</v>
      </c>
      <c r="F31" s="1723">
        <f t="shared" si="9"/>
        <v>27792940.260000005</v>
      </c>
      <c r="G31" s="1724">
        <f t="shared" si="9"/>
        <v>22996000.260000005</v>
      </c>
      <c r="H31" s="1725">
        <f t="shared" si="9"/>
        <v>30074566.260000005</v>
      </c>
      <c r="I31" s="1724">
        <f t="shared" si="9"/>
        <v>30074566.260000005</v>
      </c>
      <c r="J31" s="1722">
        <f t="shared" si="9"/>
        <v>30074566.260000005</v>
      </c>
      <c r="K31" s="1723">
        <f t="shared" si="9"/>
        <v>30074566.260000005</v>
      </c>
      <c r="L31" s="1724">
        <f t="shared" si="9"/>
        <v>30074566.260000005</v>
      </c>
      <c r="M31" s="1725">
        <f t="shared" si="9"/>
        <v>30074566.260000005</v>
      </c>
      <c r="N31" s="1724">
        <f t="shared" si="9"/>
        <v>30074566.260000005</v>
      </c>
      <c r="O31" s="1722">
        <f t="shared" si="9"/>
        <v>39444566.260000005</v>
      </c>
      <c r="P31" s="1724">
        <f t="shared" si="9"/>
        <v>39444566.260000005</v>
      </c>
      <c r="Q31" s="1726"/>
      <c r="R31" s="1727">
        <f>+R29/12</f>
        <v>280833.33333333331</v>
      </c>
      <c r="S31" s="1726"/>
      <c r="T31" s="1728"/>
    </row>
    <row r="32" spans="1:20" s="1716" customFormat="1" ht="15.6" customHeight="1" thickBot="1" x14ac:dyDescent="0.3">
      <c r="A32" s="1764"/>
      <c r="B32" s="1755"/>
      <c r="C32" s="1755"/>
      <c r="D32" s="1756"/>
      <c r="E32" s="1756"/>
      <c r="F32" s="1756"/>
      <c r="G32" s="1756"/>
      <c r="H32" s="1756"/>
      <c r="I32" s="1756"/>
      <c r="J32" s="1756"/>
      <c r="K32" s="1756"/>
      <c r="L32" s="1756"/>
      <c r="M32" s="1756"/>
      <c r="N32" s="1756"/>
      <c r="O32" s="1756"/>
      <c r="P32" s="1850"/>
      <c r="Q32" s="1709"/>
      <c r="R32" s="1715"/>
      <c r="S32" s="1709"/>
      <c r="T32" s="1707"/>
    </row>
    <row r="33" spans="1:20" s="1771" customFormat="1" ht="16.5" thickBot="1" x14ac:dyDescent="0.35">
      <c r="A33" s="2651"/>
      <c r="B33" s="2643" t="s">
        <v>1496</v>
      </c>
      <c r="C33" s="2644"/>
      <c r="D33" s="1765">
        <v>217776</v>
      </c>
      <c r="E33" s="1766">
        <v>3934978</v>
      </c>
      <c r="F33" s="1767">
        <v>671735</v>
      </c>
      <c r="G33" s="1768">
        <v>2103062</v>
      </c>
      <c r="H33" s="1769"/>
      <c r="I33" s="1768"/>
      <c r="J33" s="1766"/>
      <c r="K33" s="1767"/>
      <c r="L33" s="1768"/>
      <c r="M33" s="1769"/>
      <c r="N33" s="1768"/>
      <c r="O33" s="1766"/>
      <c r="P33" s="1768"/>
      <c r="Q33" s="1726">
        <f>'Výdaje kapitol celkem'!F58+'Výdaje kapitol celkem'!F59+'Výdaje kapitol celkem'!F60+'Výdaje kapitol celkem'!F61+'Výdaje kapitol celkem'!F62+'Výdaje kapitol celkem'!F64+'Výdaje kapitol celkem'!F65</f>
        <v>66861778.480000004</v>
      </c>
      <c r="R33" s="1726"/>
      <c r="S33" s="1726"/>
      <c r="T33" s="1770"/>
    </row>
    <row r="34" spans="1:20" s="1780" customFormat="1" ht="12.95" hidden="1" customHeight="1" outlineLevel="1" x14ac:dyDescent="0.25">
      <c r="A34" s="2652"/>
      <c r="B34" s="1772"/>
      <c r="C34" s="1773" t="s">
        <v>358</v>
      </c>
      <c r="D34" s="1774"/>
      <c r="E34" s="1775"/>
      <c r="F34" s="1776"/>
      <c r="G34" s="1777"/>
      <c r="H34" s="1778"/>
      <c r="I34" s="1779"/>
      <c r="J34" s="1775"/>
      <c r="K34" s="1776"/>
      <c r="L34" s="1779"/>
      <c r="M34" s="1778"/>
      <c r="N34" s="1779"/>
      <c r="O34" s="1775"/>
      <c r="P34" s="1779"/>
      <c r="Q34" s="1709">
        <f t="shared" ref="Q34:Q51" si="10">SUM(D34:P34)</f>
        <v>0</v>
      </c>
      <c r="R34" s="1715">
        <f>'Výdaje kapitol celkem'!O69</f>
        <v>240000</v>
      </c>
      <c r="S34" s="1709">
        <f t="shared" si="3"/>
        <v>240000</v>
      </c>
      <c r="T34" s="1707"/>
    </row>
    <row r="35" spans="1:20" s="1780" customFormat="1" hidden="1" outlineLevel="1" x14ac:dyDescent="0.25">
      <c r="A35" s="2652"/>
      <c r="B35" s="1772"/>
      <c r="C35" s="1773" t="s">
        <v>139</v>
      </c>
      <c r="D35" s="1774"/>
      <c r="E35" s="1775"/>
      <c r="F35" s="1776"/>
      <c r="G35" s="1781"/>
      <c r="H35" s="1778"/>
      <c r="I35" s="1779"/>
      <c r="J35" s="1775"/>
      <c r="K35" s="1776"/>
      <c r="L35" s="1779"/>
      <c r="M35" s="1778"/>
      <c r="N35" s="1779"/>
      <c r="O35" s="1775"/>
      <c r="P35" s="1779"/>
      <c r="Q35" s="1709">
        <f t="shared" si="10"/>
        <v>0</v>
      </c>
      <c r="R35" s="1715">
        <f>'Výdaje kapitol celkem'!AB69</f>
        <v>2400000</v>
      </c>
      <c r="S35" s="1709">
        <f t="shared" si="3"/>
        <v>2400000</v>
      </c>
      <c r="T35" s="1707"/>
    </row>
    <row r="36" spans="1:20" s="1780" customFormat="1" hidden="1" outlineLevel="1" x14ac:dyDescent="0.25">
      <c r="A36" s="2652"/>
      <c r="B36" s="1772"/>
      <c r="C36" s="1773" t="s">
        <v>141</v>
      </c>
      <c r="D36" s="1774"/>
      <c r="E36" s="1775"/>
      <c r="F36" s="1776"/>
      <c r="G36" s="1781"/>
      <c r="H36" s="1778"/>
      <c r="I36" s="1779"/>
      <c r="J36" s="1775"/>
      <c r="K36" s="1776"/>
      <c r="L36" s="1779"/>
      <c r="M36" s="1778"/>
      <c r="N36" s="1779"/>
      <c r="O36" s="1775"/>
      <c r="P36" s="1779"/>
      <c r="Q36" s="1709">
        <f t="shared" si="10"/>
        <v>0</v>
      </c>
      <c r="R36" s="1715">
        <f>'Výdaje kapitol celkem'!AH69</f>
        <v>60000</v>
      </c>
      <c r="S36" s="1709">
        <f t="shared" si="3"/>
        <v>60000</v>
      </c>
      <c r="T36" s="1707"/>
    </row>
    <row r="37" spans="1:20" s="1780" customFormat="1" hidden="1" outlineLevel="1" x14ac:dyDescent="0.25">
      <c r="A37" s="2652"/>
      <c r="B37" s="1772"/>
      <c r="C37" s="1773" t="s">
        <v>1261</v>
      </c>
      <c r="D37" s="1774"/>
      <c r="E37" s="1775"/>
      <c r="F37" s="1776"/>
      <c r="G37" s="1781"/>
      <c r="H37" s="1778"/>
      <c r="I37" s="1779"/>
      <c r="J37" s="1775"/>
      <c r="K37" s="1776"/>
      <c r="L37" s="1779"/>
      <c r="M37" s="1778"/>
      <c r="N37" s="1779"/>
      <c r="O37" s="1775"/>
      <c r="P37" s="1779"/>
      <c r="Q37" s="1709">
        <f t="shared" si="10"/>
        <v>0</v>
      </c>
      <c r="R37" s="1715">
        <f>'Výdaje kapitol celkem'!X69</f>
        <v>500000</v>
      </c>
      <c r="S37" s="1709">
        <f t="shared" si="3"/>
        <v>500000</v>
      </c>
      <c r="T37" s="1707"/>
    </row>
    <row r="38" spans="1:20" s="1780" customFormat="1" hidden="1" outlineLevel="1" x14ac:dyDescent="0.25">
      <c r="A38" s="2652"/>
      <c r="B38" s="1772"/>
      <c r="C38" s="1773" t="s">
        <v>140</v>
      </c>
      <c r="D38" s="1774"/>
      <c r="E38" s="1775"/>
      <c r="F38" s="1776"/>
      <c r="G38" s="1779"/>
      <c r="H38" s="1778"/>
      <c r="I38" s="1779"/>
      <c r="J38" s="1775"/>
      <c r="K38" s="1776"/>
      <c r="L38" s="1779"/>
      <c r="M38" s="1778"/>
      <c r="N38" s="1779"/>
      <c r="O38" s="1775"/>
      <c r="P38" s="1779"/>
      <c r="Q38" s="1709">
        <f t="shared" si="10"/>
        <v>0</v>
      </c>
      <c r="R38" s="1715">
        <f>'Výdaje kapitol celkem'!AE69</f>
        <v>0</v>
      </c>
      <c r="S38" s="1709">
        <f t="shared" si="3"/>
        <v>0</v>
      </c>
      <c r="T38" s="1707"/>
    </row>
    <row r="39" spans="1:20" s="1780" customFormat="1" hidden="1" outlineLevel="1" x14ac:dyDescent="0.25">
      <c r="A39" s="2652"/>
      <c r="B39" s="1772"/>
      <c r="C39" s="1773" t="s">
        <v>142</v>
      </c>
      <c r="D39" s="1774"/>
      <c r="E39" s="1775"/>
      <c r="F39" s="1776"/>
      <c r="G39" s="1779"/>
      <c r="H39" s="1778"/>
      <c r="I39" s="1779"/>
      <c r="J39" s="1775"/>
      <c r="K39" s="1776"/>
      <c r="L39" s="1779"/>
      <c r="M39" s="1778"/>
      <c r="N39" s="1779"/>
      <c r="O39" s="1775"/>
      <c r="P39" s="1779"/>
      <c r="Q39" s="1709">
        <f t="shared" si="10"/>
        <v>0</v>
      </c>
      <c r="R39" s="1715">
        <f>'Výdaje kapitol celkem'!AK69</f>
        <v>14900000</v>
      </c>
      <c r="S39" s="1709">
        <f t="shared" si="3"/>
        <v>14900000</v>
      </c>
      <c r="T39" s="1707"/>
    </row>
    <row r="40" spans="1:20" s="1780" customFormat="1" hidden="1" outlineLevel="1" x14ac:dyDescent="0.25">
      <c r="A40" s="2652"/>
      <c r="B40" s="1772"/>
      <c r="C40" s="1773" t="s">
        <v>1238</v>
      </c>
      <c r="D40" s="1774"/>
      <c r="E40" s="1775"/>
      <c r="F40" s="1776"/>
      <c r="G40" s="1779"/>
      <c r="H40" s="1778"/>
      <c r="I40" s="1779"/>
      <c r="J40" s="1775"/>
      <c r="K40" s="1776"/>
      <c r="L40" s="1779"/>
      <c r="M40" s="1778"/>
      <c r="N40" s="1779"/>
      <c r="O40" s="1775"/>
      <c r="P40" s="1779"/>
      <c r="Q40" s="1709">
        <f t="shared" si="10"/>
        <v>0</v>
      </c>
      <c r="R40" s="1715">
        <f>'Výdaje kapitol celkem'!K58+'Výdaje kapitol celkem'!K59+'Výdaje kapitol celkem'!K60+'Výdaje kapitol celkem'!K61+'Výdaje kapitol celkem'!K62+'Výdaje kapitol celkem'!K63+'Výdaje kapitol celkem'!K64+'Výdaje kapitol celkem'!K65+'Výdaje kapitol celkem'!K66</f>
        <v>2372124</v>
      </c>
      <c r="S40" s="1709">
        <f t="shared" si="3"/>
        <v>2372124</v>
      </c>
      <c r="T40" s="1707"/>
    </row>
    <row r="41" spans="1:20" s="1780" customFormat="1" hidden="1" outlineLevel="1" x14ac:dyDescent="0.25">
      <c r="A41" s="2652"/>
      <c r="B41" s="1772"/>
      <c r="C41" s="1773" t="s">
        <v>1239</v>
      </c>
      <c r="D41" s="1774"/>
      <c r="E41" s="1775"/>
      <c r="F41" s="1776"/>
      <c r="G41" s="1779"/>
      <c r="H41" s="1778"/>
      <c r="I41" s="1779"/>
      <c r="J41" s="1775"/>
      <c r="K41" s="1776"/>
      <c r="L41" s="1779"/>
      <c r="M41" s="1778"/>
      <c r="N41" s="1779"/>
      <c r="O41" s="1775"/>
      <c r="P41" s="1779"/>
      <c r="Q41" s="1709">
        <f t="shared" si="10"/>
        <v>0</v>
      </c>
      <c r="R41" s="1715">
        <f>'Výdaje kapitol celkem'!DG69</f>
        <v>150000</v>
      </c>
      <c r="S41" s="1709">
        <f t="shared" si="3"/>
        <v>150000</v>
      </c>
      <c r="T41" s="1707"/>
    </row>
    <row r="42" spans="1:20" s="1780" customFormat="1" hidden="1" outlineLevel="1" x14ac:dyDescent="0.25">
      <c r="A42" s="2652"/>
      <c r="B42" s="1772"/>
      <c r="C42" s="1773" t="s">
        <v>295</v>
      </c>
      <c r="D42" s="1774"/>
      <c r="E42" s="1775"/>
      <c r="F42" s="1776"/>
      <c r="G42" s="1779"/>
      <c r="H42" s="1778"/>
      <c r="I42" s="1779"/>
      <c r="J42" s="1775"/>
      <c r="K42" s="1776"/>
      <c r="L42" s="1779"/>
      <c r="M42" s="1778"/>
      <c r="N42" s="1779"/>
      <c r="O42" s="1775"/>
      <c r="P42" s="1779"/>
      <c r="Q42" s="1709">
        <f t="shared" si="10"/>
        <v>0</v>
      </c>
      <c r="R42" s="1715">
        <f>'Výdaje kapitol celkem'!AQ69</f>
        <v>280000</v>
      </c>
      <c r="S42" s="1709">
        <f t="shared" si="3"/>
        <v>280000</v>
      </c>
      <c r="T42" s="1707"/>
    </row>
    <row r="43" spans="1:20" s="1780" customFormat="1" hidden="1" outlineLevel="1" x14ac:dyDescent="0.25">
      <c r="A43" s="2652"/>
      <c r="B43" s="1772"/>
      <c r="C43" s="1773" t="s">
        <v>1185</v>
      </c>
      <c r="D43" s="1774"/>
      <c r="E43" s="1775"/>
      <c r="F43" s="1776"/>
      <c r="G43" s="1779"/>
      <c r="H43" s="1778"/>
      <c r="I43" s="1779"/>
      <c r="J43" s="1775"/>
      <c r="K43" s="1776"/>
      <c r="L43" s="1779"/>
      <c r="M43" s="1778"/>
      <c r="N43" s="1779"/>
      <c r="O43" s="1775"/>
      <c r="P43" s="1779"/>
      <c r="Q43" s="1709">
        <f t="shared" si="10"/>
        <v>0</v>
      </c>
      <c r="R43" s="1715">
        <f>'Výdaje kapitol celkem'!AT69</f>
        <v>131000</v>
      </c>
      <c r="S43" s="1709">
        <f t="shared" si="3"/>
        <v>131000</v>
      </c>
      <c r="T43" s="1707"/>
    </row>
    <row r="44" spans="1:20" s="1780" customFormat="1" hidden="1" outlineLevel="1" x14ac:dyDescent="0.25">
      <c r="A44" s="2652"/>
      <c r="B44" s="1772"/>
      <c r="C44" s="1773" t="s">
        <v>146</v>
      </c>
      <c r="D44" s="1774"/>
      <c r="E44" s="1775"/>
      <c r="F44" s="1776"/>
      <c r="G44" s="1779"/>
      <c r="H44" s="1778"/>
      <c r="I44" s="1779"/>
      <c r="J44" s="1775"/>
      <c r="K44" s="1776"/>
      <c r="L44" s="1779"/>
      <c r="M44" s="1778"/>
      <c r="N44" s="1779"/>
      <c r="O44" s="1775"/>
      <c r="P44" s="1779"/>
      <c r="Q44" s="1709">
        <f t="shared" si="10"/>
        <v>0</v>
      </c>
      <c r="R44" s="1715">
        <f>'Výdaje kapitol celkem'!AZ69</f>
        <v>31736654.48</v>
      </c>
      <c r="S44" s="1709">
        <f t="shared" si="3"/>
        <v>31736654.48</v>
      </c>
      <c r="T44" s="1707"/>
    </row>
    <row r="45" spans="1:20" s="1780" customFormat="1" hidden="1" outlineLevel="1" x14ac:dyDescent="0.25">
      <c r="A45" s="2652"/>
      <c r="B45" s="1772"/>
      <c r="C45" s="1773" t="s">
        <v>948</v>
      </c>
      <c r="D45" s="1774"/>
      <c r="E45" s="1775"/>
      <c r="F45" s="1776"/>
      <c r="G45" s="1779"/>
      <c r="H45" s="1778"/>
      <c r="I45" s="1779"/>
      <c r="J45" s="1775"/>
      <c r="K45" s="1776"/>
      <c r="L45" s="1779"/>
      <c r="M45" s="1778"/>
      <c r="N45" s="1779"/>
      <c r="O45" s="1775"/>
      <c r="P45" s="1779"/>
      <c r="Q45" s="1709">
        <f t="shared" si="10"/>
        <v>0</v>
      </c>
      <c r="R45" s="1715">
        <f>'Výdaje kapitol celkem'!BV69</f>
        <v>550000</v>
      </c>
      <c r="S45" s="1709">
        <f t="shared" si="3"/>
        <v>550000</v>
      </c>
      <c r="T45" s="1707"/>
    </row>
    <row r="46" spans="1:20" s="1780" customFormat="1" hidden="1" outlineLevel="1" x14ac:dyDescent="0.25">
      <c r="A46" s="2652"/>
      <c r="B46" s="1772"/>
      <c r="C46" s="1773" t="s">
        <v>154</v>
      </c>
      <c r="D46" s="1774"/>
      <c r="E46" s="1775"/>
      <c r="F46" s="1776"/>
      <c r="G46" s="1779"/>
      <c r="H46" s="1778"/>
      <c r="I46" s="1779"/>
      <c r="J46" s="1775"/>
      <c r="K46" s="1776"/>
      <c r="L46" s="1779"/>
      <c r="M46" s="1778"/>
      <c r="N46" s="1779"/>
      <c r="O46" s="1775"/>
      <c r="P46" s="1779"/>
      <c r="Q46" s="1709">
        <f t="shared" si="10"/>
        <v>0</v>
      </c>
      <c r="R46" s="1715">
        <f>'Výdaje kapitol celkem'!CC69</f>
        <v>2200000</v>
      </c>
      <c r="S46" s="1709">
        <f t="shared" si="3"/>
        <v>2200000</v>
      </c>
      <c r="T46" s="1707"/>
    </row>
    <row r="47" spans="1:20" s="1780" customFormat="1" hidden="1" outlineLevel="1" x14ac:dyDescent="0.25">
      <c r="A47" s="2652"/>
      <c r="B47" s="1772"/>
      <c r="C47" s="1773" t="s">
        <v>1240</v>
      </c>
      <c r="D47" s="1774"/>
      <c r="E47" s="1775"/>
      <c r="F47" s="1776"/>
      <c r="G47" s="1779"/>
      <c r="H47" s="1778"/>
      <c r="I47" s="1779"/>
      <c r="J47" s="1775"/>
      <c r="K47" s="1776"/>
      <c r="L47" s="1779"/>
      <c r="M47" s="1778"/>
      <c r="N47" s="1779"/>
      <c r="O47" s="1775"/>
      <c r="P47" s="1779"/>
      <c r="Q47" s="1709">
        <f t="shared" si="10"/>
        <v>0</v>
      </c>
      <c r="R47" s="1715">
        <f>'Výdaje kapitol celkem'!CS69</f>
        <v>250000</v>
      </c>
      <c r="S47" s="1709">
        <f t="shared" si="3"/>
        <v>250000</v>
      </c>
      <c r="T47" s="1707"/>
    </row>
    <row r="48" spans="1:20" s="1780" customFormat="1" hidden="1" outlineLevel="1" x14ac:dyDescent="0.25">
      <c r="A48" s="2652"/>
      <c r="B48" s="1772"/>
      <c r="C48" s="1773" t="s">
        <v>156</v>
      </c>
      <c r="D48" s="1774"/>
      <c r="E48" s="1775"/>
      <c r="F48" s="1776"/>
      <c r="G48" s="1779"/>
      <c r="H48" s="1778"/>
      <c r="I48" s="1779"/>
      <c r="J48" s="1775"/>
      <c r="K48" s="1776"/>
      <c r="L48" s="1779"/>
      <c r="M48" s="1778"/>
      <c r="N48" s="1779"/>
      <c r="O48" s="1775"/>
      <c r="P48" s="1779"/>
      <c r="Q48" s="1709">
        <f t="shared" si="10"/>
        <v>0</v>
      </c>
      <c r="R48" s="1715">
        <f>'Výdaje kapitol celkem'!CM69</f>
        <v>4650000</v>
      </c>
      <c r="S48" s="1709">
        <f t="shared" si="3"/>
        <v>4650000</v>
      </c>
      <c r="T48" s="1707"/>
    </row>
    <row r="49" spans="1:20" s="1780" customFormat="1" hidden="1" outlineLevel="1" x14ac:dyDescent="0.25">
      <c r="A49" s="2652"/>
      <c r="B49" s="1772"/>
      <c r="C49" s="1773" t="s">
        <v>155</v>
      </c>
      <c r="D49" s="1774"/>
      <c r="E49" s="1775"/>
      <c r="F49" s="1776"/>
      <c r="G49" s="1779"/>
      <c r="H49" s="1778"/>
      <c r="I49" s="1779"/>
      <c r="J49" s="1775"/>
      <c r="K49" s="1776"/>
      <c r="L49" s="1779"/>
      <c r="M49" s="1778"/>
      <c r="N49" s="1779"/>
      <c r="O49" s="1775"/>
      <c r="P49" s="1779"/>
      <c r="Q49" s="1709">
        <f t="shared" si="10"/>
        <v>0</v>
      </c>
      <c r="R49" s="1715">
        <f>'Výdaje kapitol celkem'!CG69</f>
        <v>2650000</v>
      </c>
      <c r="S49" s="1709">
        <f t="shared" si="3"/>
        <v>2650000</v>
      </c>
      <c r="T49" s="1707"/>
    </row>
    <row r="50" spans="1:20" s="1780" customFormat="1" hidden="1" outlineLevel="1" x14ac:dyDescent="0.25">
      <c r="A50" s="2652"/>
      <c r="B50" s="1772"/>
      <c r="C50" s="1782" t="s">
        <v>1241</v>
      </c>
      <c r="D50" s="1783"/>
      <c r="E50" s="1784"/>
      <c r="F50" s="1785"/>
      <c r="G50" s="1786"/>
      <c r="H50" s="1787"/>
      <c r="I50" s="1786"/>
      <c r="J50" s="1784"/>
      <c r="K50" s="1785"/>
      <c r="L50" s="1786"/>
      <c r="M50" s="1787"/>
      <c r="N50" s="1786"/>
      <c r="O50" s="1784"/>
      <c r="P50" s="1786"/>
      <c r="Q50" s="1709">
        <f t="shared" si="10"/>
        <v>0</v>
      </c>
      <c r="R50" s="1715">
        <f>'Výdaje kapitol celkem'!BY69</f>
        <v>550000</v>
      </c>
      <c r="S50" s="1709">
        <f t="shared" si="3"/>
        <v>550000</v>
      </c>
      <c r="T50" s="1707"/>
    </row>
    <row r="51" spans="1:20" s="1780" customFormat="1" ht="14.25" hidden="1" outlineLevel="1" thickBot="1" x14ac:dyDescent="0.3">
      <c r="A51" s="2652"/>
      <c r="B51" s="1788"/>
      <c r="C51" s="1773" t="s">
        <v>153</v>
      </c>
      <c r="D51" s="1774"/>
      <c r="E51" s="1775"/>
      <c r="F51" s="1776"/>
      <c r="G51" s="1779"/>
      <c r="H51" s="1778"/>
      <c r="I51" s="1779"/>
      <c r="J51" s="1775"/>
      <c r="K51" s="1776"/>
      <c r="L51" s="1779"/>
      <c r="M51" s="1778"/>
      <c r="N51" s="1779"/>
      <c r="O51" s="1775"/>
      <c r="P51" s="1779"/>
      <c r="Q51" s="1709">
        <f t="shared" si="10"/>
        <v>0</v>
      </c>
      <c r="R51" s="1715">
        <f>'Výdaje kapitol celkem'!BZ69</f>
        <v>592000</v>
      </c>
      <c r="S51" s="1709">
        <f>+R51-Q51</f>
        <v>592000</v>
      </c>
      <c r="T51" s="1707"/>
    </row>
    <row r="52" spans="1:20" s="1708" customFormat="1" ht="16.5" collapsed="1" thickBot="1" x14ac:dyDescent="0.35">
      <c r="A52" s="2653"/>
      <c r="B52" s="2645" t="s">
        <v>1251</v>
      </c>
      <c r="C52" s="2646"/>
      <c r="D52" s="1721">
        <f t="shared" ref="D52:O52" si="11">D31-D33</f>
        <v>16020195.57</v>
      </c>
      <c r="E52" s="1722">
        <f t="shared" si="11"/>
        <v>15375919.260000002</v>
      </c>
      <c r="F52" s="1723">
        <f t="shared" si="11"/>
        <v>27121205.260000005</v>
      </c>
      <c r="G52" s="1724">
        <f t="shared" si="11"/>
        <v>20892938.260000005</v>
      </c>
      <c r="H52" s="1725">
        <f t="shared" si="11"/>
        <v>30074566.260000005</v>
      </c>
      <c r="I52" s="1724">
        <f t="shared" si="11"/>
        <v>30074566.260000005</v>
      </c>
      <c r="J52" s="1722">
        <f t="shared" si="11"/>
        <v>30074566.260000005</v>
      </c>
      <c r="K52" s="1723">
        <f t="shared" si="11"/>
        <v>30074566.260000005</v>
      </c>
      <c r="L52" s="1724">
        <f t="shared" si="11"/>
        <v>30074566.260000005</v>
      </c>
      <c r="M52" s="1725">
        <f t="shared" si="11"/>
        <v>30074566.260000005</v>
      </c>
      <c r="N52" s="1724">
        <f t="shared" si="11"/>
        <v>30074566.260000005</v>
      </c>
      <c r="O52" s="1722">
        <f t="shared" si="11"/>
        <v>39444566.260000005</v>
      </c>
      <c r="P52" s="1724">
        <f t="shared" ref="P52" si="12">P31-P33</f>
        <v>39444566.260000005</v>
      </c>
      <c r="Q52" s="1709"/>
      <c r="R52" s="1715"/>
      <c r="S52" s="1709"/>
      <c r="T52" s="1707"/>
    </row>
    <row r="53" spans="1:20" s="1716" customFormat="1" x14ac:dyDescent="0.25">
      <c r="A53" s="2647"/>
      <c r="B53" s="1772"/>
      <c r="C53" s="1789" t="s">
        <v>117</v>
      </c>
      <c r="D53" s="1743">
        <v>1409522</v>
      </c>
      <c r="E53" s="1746">
        <v>1409522</v>
      </c>
      <c r="F53" s="1747">
        <v>1975562</v>
      </c>
      <c r="G53" s="1744">
        <v>1409522</v>
      </c>
      <c r="H53" s="1745"/>
      <c r="I53" s="1744"/>
      <c r="J53" s="1746"/>
      <c r="K53" s="1747"/>
      <c r="L53" s="1744"/>
      <c r="M53" s="1745"/>
      <c r="N53" s="1744"/>
      <c r="O53" s="1746"/>
      <c r="P53" s="1744"/>
      <c r="Q53" s="1709">
        <f>SUM(D53:P53)</f>
        <v>6204128</v>
      </c>
      <c r="R53" s="1715">
        <f>'Souhrn příjmů a výdajů 2023'!H186</f>
        <v>19114264</v>
      </c>
      <c r="S53" s="1709">
        <f>+R53-Q53</f>
        <v>12910136</v>
      </c>
      <c r="T53" s="1707"/>
    </row>
    <row r="54" spans="1:20" s="1797" customFormat="1" x14ac:dyDescent="0.25">
      <c r="A54" s="2648"/>
      <c r="B54" s="1790"/>
      <c r="C54" s="1791" t="s">
        <v>473</v>
      </c>
      <c r="D54" s="1792"/>
      <c r="E54" s="1793"/>
      <c r="F54" s="1794"/>
      <c r="G54" s="1795"/>
      <c r="H54" s="1796"/>
      <c r="I54" s="1795"/>
      <c r="J54" s="1793"/>
      <c r="K54" s="1794"/>
      <c r="L54" s="1795"/>
      <c r="M54" s="1796"/>
      <c r="N54" s="1795"/>
      <c r="O54" s="1793"/>
      <c r="P54" s="1795"/>
      <c r="Q54" s="1709">
        <f>SUM(D54:P54)</f>
        <v>0</v>
      </c>
      <c r="R54" s="1715"/>
      <c r="S54" s="1715">
        <f>+R54-Q54</f>
        <v>0</v>
      </c>
      <c r="T54" s="1707"/>
    </row>
    <row r="55" spans="1:20" s="1716" customFormat="1" ht="14.25" thickBot="1" x14ac:dyDescent="0.3">
      <c r="A55" s="2648"/>
      <c r="B55" s="1788"/>
      <c r="C55" s="1798" t="s">
        <v>474</v>
      </c>
      <c r="D55" s="1749"/>
      <c r="E55" s="1750"/>
      <c r="F55" s="1753"/>
      <c r="G55" s="1751"/>
      <c r="H55" s="1752"/>
      <c r="I55" s="1751"/>
      <c r="J55" s="1750"/>
      <c r="K55" s="1753"/>
      <c r="L55" s="1751"/>
      <c r="M55" s="1752"/>
      <c r="N55" s="1751"/>
      <c r="O55" s="1750"/>
      <c r="P55" s="1751"/>
      <c r="Q55" s="1709">
        <f>SUM(D55:P55)</f>
        <v>0</v>
      </c>
      <c r="R55" s="1715"/>
      <c r="S55" s="1709">
        <f t="shared" si="3"/>
        <v>0</v>
      </c>
      <c r="T55" s="1707"/>
    </row>
    <row r="56" spans="1:20" s="1716" customFormat="1" ht="16.5" thickBot="1" x14ac:dyDescent="0.35">
      <c r="A56" s="2649"/>
      <c r="B56" s="2645" t="s">
        <v>1252</v>
      </c>
      <c r="C56" s="2650"/>
      <c r="D56" s="1732">
        <f>+D53+D54+D55</f>
        <v>1409522</v>
      </c>
      <c r="E56" s="1733">
        <f t="shared" ref="E56:F56" si="13">+E53+E54+E55</f>
        <v>1409522</v>
      </c>
      <c r="F56" s="1734">
        <f t="shared" si="13"/>
        <v>1975562</v>
      </c>
      <c r="G56" s="1735">
        <f>+G53+G54+G55</f>
        <v>1409522</v>
      </c>
      <c r="H56" s="1736">
        <f>+H53+H54+H55</f>
        <v>0</v>
      </c>
      <c r="I56" s="1735">
        <f t="shared" ref="I56:K56" si="14">+I53+I54+I55</f>
        <v>0</v>
      </c>
      <c r="J56" s="1733">
        <f t="shared" si="14"/>
        <v>0</v>
      </c>
      <c r="K56" s="1734">
        <f t="shared" si="14"/>
        <v>0</v>
      </c>
      <c r="L56" s="1735">
        <f>+L53+L54+L55</f>
        <v>0</v>
      </c>
      <c r="M56" s="1736">
        <f>+M53+M54+M55</f>
        <v>0</v>
      </c>
      <c r="N56" s="1735">
        <f t="shared" ref="N56:O56" si="15">+N53+N54+N55</f>
        <v>0</v>
      </c>
      <c r="O56" s="1733">
        <f t="shared" si="15"/>
        <v>0</v>
      </c>
      <c r="P56" s="1735">
        <f>+P53+P54+P55</f>
        <v>0</v>
      </c>
      <c r="Q56" s="1715"/>
      <c r="R56" s="1715"/>
      <c r="S56" s="1709"/>
      <c r="T56" s="1707"/>
    </row>
    <row r="57" spans="1:20" s="1708" customFormat="1" ht="15.75" customHeight="1" thickBot="1" x14ac:dyDescent="0.3">
      <c r="A57" s="1799"/>
      <c r="B57" s="2641" t="s">
        <v>1253</v>
      </c>
      <c r="C57" s="2642"/>
      <c r="D57" s="1800">
        <f>D52-D56</f>
        <v>14610673.57</v>
      </c>
      <c r="E57" s="1801">
        <f t="shared" ref="E57:P57" si="16">E52-E56</f>
        <v>13966397.260000002</v>
      </c>
      <c r="F57" s="1802">
        <f t="shared" si="16"/>
        <v>25145643.260000005</v>
      </c>
      <c r="G57" s="1803">
        <f t="shared" si="16"/>
        <v>19483416.260000005</v>
      </c>
      <c r="H57" s="1804">
        <f t="shared" si="16"/>
        <v>30074566.260000005</v>
      </c>
      <c r="I57" s="1803">
        <f t="shared" si="16"/>
        <v>30074566.260000005</v>
      </c>
      <c r="J57" s="1801">
        <f t="shared" si="16"/>
        <v>30074566.260000005</v>
      </c>
      <c r="K57" s="1802">
        <f t="shared" si="16"/>
        <v>30074566.260000005</v>
      </c>
      <c r="L57" s="1803">
        <f>L52-L56</f>
        <v>30074566.260000005</v>
      </c>
      <c r="M57" s="1804">
        <f t="shared" si="16"/>
        <v>30074566.260000005</v>
      </c>
      <c r="N57" s="1803">
        <f t="shared" si="16"/>
        <v>30074566.260000005</v>
      </c>
      <c r="O57" s="1801">
        <f t="shared" si="16"/>
        <v>39444566.260000005</v>
      </c>
      <c r="P57" s="1803">
        <f t="shared" si="16"/>
        <v>39444566.260000005</v>
      </c>
      <c r="Q57" s="1709"/>
      <c r="R57" s="1715"/>
      <c r="S57" s="1709"/>
      <c r="T57" s="1707"/>
    </row>
    <row r="58" spans="1:20" s="1780" customFormat="1" ht="14.25" thickBot="1" x14ac:dyDescent="0.3">
      <c r="A58" s="1805"/>
      <c r="B58" s="1806" t="s">
        <v>765</v>
      </c>
      <c r="C58" s="1807"/>
      <c r="D58" s="1808">
        <v>5000000</v>
      </c>
      <c r="E58" s="1809">
        <v>5000000</v>
      </c>
      <c r="F58" s="1809">
        <v>5000000</v>
      </c>
      <c r="G58" s="1809">
        <v>5000000</v>
      </c>
      <c r="H58" s="1809">
        <v>5000000</v>
      </c>
      <c r="I58" s="1810">
        <v>5000000</v>
      </c>
      <c r="J58" s="1809">
        <v>5000000</v>
      </c>
      <c r="K58" s="1809">
        <v>5000000</v>
      </c>
      <c r="L58" s="1809">
        <v>5000000</v>
      </c>
      <c r="M58" s="1809">
        <v>5000000</v>
      </c>
      <c r="N58" s="1810">
        <v>5000000</v>
      </c>
      <c r="O58" s="1809">
        <v>5000000</v>
      </c>
      <c r="P58" s="1811">
        <v>5000000</v>
      </c>
      <c r="Q58" s="1709"/>
      <c r="R58" s="1715"/>
      <c r="S58" s="1709"/>
      <c r="T58" s="1707"/>
    </row>
    <row r="59" spans="1:20" s="1708" customFormat="1" ht="15.75" customHeight="1" thickBot="1" x14ac:dyDescent="0.3">
      <c r="A59" s="1812"/>
      <c r="B59" s="2641" t="s">
        <v>1258</v>
      </c>
      <c r="C59" s="2642"/>
      <c r="D59" s="1800">
        <f t="shared" ref="D59:P59" si="17">+D57+D58</f>
        <v>19610673.57</v>
      </c>
      <c r="E59" s="1801">
        <f t="shared" si="17"/>
        <v>18966397.260000002</v>
      </c>
      <c r="F59" s="1802">
        <f t="shared" si="17"/>
        <v>30145643.260000005</v>
      </c>
      <c r="G59" s="1803">
        <f t="shared" si="17"/>
        <v>24483416.260000005</v>
      </c>
      <c r="H59" s="1804">
        <f t="shared" si="17"/>
        <v>35074566.260000005</v>
      </c>
      <c r="I59" s="1803">
        <f t="shared" si="17"/>
        <v>35074566.260000005</v>
      </c>
      <c r="J59" s="1801">
        <f t="shared" si="17"/>
        <v>35074566.260000005</v>
      </c>
      <c r="K59" s="1802">
        <f t="shared" si="17"/>
        <v>35074566.260000005</v>
      </c>
      <c r="L59" s="1803">
        <f t="shared" si="17"/>
        <v>35074566.260000005</v>
      </c>
      <c r="M59" s="1804">
        <f t="shared" si="17"/>
        <v>35074566.260000005</v>
      </c>
      <c r="N59" s="1803">
        <f t="shared" si="17"/>
        <v>35074566.260000005</v>
      </c>
      <c r="O59" s="1801">
        <f t="shared" si="17"/>
        <v>44444566.260000005</v>
      </c>
      <c r="P59" s="1803">
        <f t="shared" si="17"/>
        <v>44444566.260000005</v>
      </c>
      <c r="Q59" s="1709"/>
      <c r="R59" s="1715"/>
      <c r="S59" s="1709"/>
      <c r="T59" s="1707"/>
    </row>
    <row r="60" spans="1:20" s="972" customFormat="1" x14ac:dyDescent="0.25">
      <c r="A60" s="967"/>
      <c r="B60" s="967"/>
      <c r="C60" s="967" t="s">
        <v>237</v>
      </c>
      <c r="D60" s="969"/>
      <c r="E60" s="969"/>
      <c r="F60" s="969"/>
      <c r="G60" s="969"/>
      <c r="H60" s="969"/>
      <c r="I60" s="969"/>
      <c r="J60" s="969"/>
      <c r="K60" s="969"/>
      <c r="L60" s="969"/>
      <c r="M60" s="969"/>
      <c r="N60" s="969"/>
      <c r="O60" s="969"/>
      <c r="P60" s="967"/>
      <c r="Q60" s="967"/>
      <c r="R60" s="967"/>
      <c r="S60" s="967"/>
      <c r="T60" s="967"/>
    </row>
    <row r="61" spans="1:20" s="975" customFormat="1" x14ac:dyDescent="0.25">
      <c r="A61" s="974" t="s">
        <v>546</v>
      </c>
      <c r="B61" s="974"/>
      <c r="C61" s="974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71"/>
      <c r="S61" s="969"/>
      <c r="T61" s="971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52" bestFit="1" customWidth="1"/>
    <col min="2" max="2" width="12.28515625" style="652" customWidth="1"/>
    <col min="3" max="3" width="8.7109375" style="652"/>
    <col min="4" max="4" width="11.28515625" style="652" bestFit="1" customWidth="1"/>
    <col min="5" max="5" width="11.140625" style="652" bestFit="1" customWidth="1"/>
    <col min="6" max="6" width="11.28515625" style="652" bestFit="1" customWidth="1"/>
    <col min="7" max="7" width="7.28515625" style="652" bestFit="1" customWidth="1"/>
    <col min="8" max="9" width="6.42578125" style="652" bestFit="1" customWidth="1"/>
    <col min="10" max="10" width="7.140625" style="652" bestFit="1" customWidth="1"/>
    <col min="11" max="13" width="6.42578125" style="652" bestFit="1" customWidth="1"/>
    <col min="14" max="14" width="6.5703125" style="652" bestFit="1" customWidth="1"/>
    <col min="15" max="15" width="9" style="652" customWidth="1"/>
    <col min="16" max="16" width="11.7109375" style="652" bestFit="1" customWidth="1"/>
    <col min="17" max="17" width="10" style="653" bestFit="1" customWidth="1"/>
    <col min="18" max="18" width="10" style="652" bestFit="1" customWidth="1"/>
    <col min="19" max="19" width="9.85546875" style="652" customWidth="1"/>
    <col min="20" max="28" width="8.7109375" style="652"/>
    <col min="29" max="29" width="11.28515625" style="652" customWidth="1"/>
    <col min="30" max="30" width="16.7109375" style="652" customWidth="1"/>
    <col min="31" max="16384" width="8.7109375" style="652"/>
  </cols>
  <sheetData>
    <row r="1" spans="1:29" ht="12.75" thickBot="1" x14ac:dyDescent="0.25"/>
    <row r="2" spans="1:29" ht="12.75" thickBot="1" x14ac:dyDescent="0.25">
      <c r="D2" s="654" t="s">
        <v>1047</v>
      </c>
      <c r="E2" s="654" t="s">
        <v>1048</v>
      </c>
      <c r="F2" s="654" t="s">
        <v>1049</v>
      </c>
      <c r="G2" s="654" t="s">
        <v>1050</v>
      </c>
      <c r="H2" s="654" t="s">
        <v>1051</v>
      </c>
      <c r="I2" s="654" t="s">
        <v>1052</v>
      </c>
      <c r="J2" s="654" t="s">
        <v>1053</v>
      </c>
      <c r="K2" s="654" t="s">
        <v>1054</v>
      </c>
      <c r="L2" s="654" t="s">
        <v>1055</v>
      </c>
      <c r="M2" s="654" t="s">
        <v>1056</v>
      </c>
      <c r="N2" s="654" t="s">
        <v>1057</v>
      </c>
      <c r="O2" s="655" t="s">
        <v>1058</v>
      </c>
      <c r="P2" s="656" t="s">
        <v>601</v>
      </c>
      <c r="Q2" s="653" t="s">
        <v>612</v>
      </c>
      <c r="R2" s="652" t="s">
        <v>613</v>
      </c>
      <c r="S2" s="652" t="s">
        <v>614</v>
      </c>
      <c r="T2" s="652" t="s">
        <v>615</v>
      </c>
      <c r="U2" s="652" t="s">
        <v>616</v>
      </c>
      <c r="V2" s="652" t="s">
        <v>190</v>
      </c>
      <c r="W2" s="652" t="s">
        <v>191</v>
      </c>
      <c r="X2" s="652" t="s">
        <v>617</v>
      </c>
      <c r="Y2" s="652" t="s">
        <v>618</v>
      </c>
      <c r="Z2" s="652" t="s">
        <v>619</v>
      </c>
      <c r="AA2" s="652" t="s">
        <v>620</v>
      </c>
      <c r="AB2" s="652" t="s">
        <v>621</v>
      </c>
      <c r="AC2" s="652" t="s">
        <v>869</v>
      </c>
    </row>
    <row r="3" spans="1:29" x14ac:dyDescent="0.2">
      <c r="A3" s="2667" t="s">
        <v>1059</v>
      </c>
      <c r="B3" s="2669" t="s">
        <v>1060</v>
      </c>
      <c r="C3" s="657" t="s">
        <v>1061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2">
      <c r="A4" s="2668"/>
      <c r="B4" s="2670"/>
      <c r="C4" s="661" t="s">
        <v>1062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2">
      <c r="A5" s="2668"/>
      <c r="B5" s="2670"/>
      <c r="C5" s="661" t="s">
        <v>1063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2">
      <c r="A6" s="2668"/>
      <c r="B6" s="2670"/>
      <c r="C6" s="661" t="s">
        <v>1064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75" thickBot="1" x14ac:dyDescent="0.25">
      <c r="A7" s="2668"/>
      <c r="B7" s="2671"/>
      <c r="C7" s="669" t="s">
        <v>1065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2">
      <c r="A8" s="2672" t="s">
        <v>1066</v>
      </c>
      <c r="B8" s="2674" t="s">
        <v>970</v>
      </c>
      <c r="C8" s="673" t="s">
        <v>1061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677">
        <f>SUM(P15,P10)</f>
        <v>195272</v>
      </c>
    </row>
    <row r="9" spans="1:29" x14ac:dyDescent="0.2">
      <c r="A9" s="2673"/>
      <c r="B9" s="2675"/>
      <c r="C9" s="676" t="s">
        <v>1062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678"/>
    </row>
    <row r="10" spans="1:29" x14ac:dyDescent="0.2">
      <c r="A10" s="2673"/>
      <c r="B10" s="2675"/>
      <c r="C10" s="676" t="s">
        <v>1063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678"/>
    </row>
    <row r="11" spans="1:29" x14ac:dyDescent="0.2">
      <c r="A11" s="2673"/>
      <c r="B11" s="2675"/>
      <c r="C11" s="676" t="s">
        <v>1064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678"/>
    </row>
    <row r="12" spans="1:29" ht="12.75" thickBot="1" x14ac:dyDescent="0.25">
      <c r="A12" s="2673"/>
      <c r="B12" s="2676"/>
      <c r="C12" s="682" t="s">
        <v>1065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678"/>
    </row>
    <row r="13" spans="1:29" x14ac:dyDescent="0.2">
      <c r="A13" s="2673"/>
      <c r="B13" s="2680" t="s">
        <v>1067</v>
      </c>
      <c r="C13" s="686" t="s">
        <v>1061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678"/>
    </row>
    <row r="14" spans="1:29" x14ac:dyDescent="0.2">
      <c r="A14" s="2673"/>
      <c r="B14" s="2681"/>
      <c r="C14" s="676" t="s">
        <v>1062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678"/>
    </row>
    <row r="15" spans="1:29" x14ac:dyDescent="0.2">
      <c r="A15" s="2673"/>
      <c r="B15" s="2681"/>
      <c r="C15" s="676" t="s">
        <v>1063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678"/>
    </row>
    <row r="16" spans="1:29" ht="14.45" customHeight="1" x14ac:dyDescent="0.2">
      <c r="A16" s="2673"/>
      <c r="B16" s="2681"/>
      <c r="C16" s="676" t="s">
        <v>1064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678"/>
    </row>
    <row r="17" spans="1:29" ht="12.75" thickBot="1" x14ac:dyDescent="0.25">
      <c r="A17" s="2673"/>
      <c r="B17" s="2681"/>
      <c r="C17" s="676" t="s">
        <v>1065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679"/>
    </row>
    <row r="18" spans="1:29" ht="12.75" thickBot="1" x14ac:dyDescent="0.25">
      <c r="A18" s="690" t="s">
        <v>1068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2">
      <c r="A19" s="2682" t="s">
        <v>1059</v>
      </c>
      <c r="B19" s="2684" t="s">
        <v>1069</v>
      </c>
      <c r="C19" s="696" t="s">
        <v>1061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2">
      <c r="A20" s="2682"/>
      <c r="B20" s="2684"/>
      <c r="C20" s="696" t="s">
        <v>1062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2">
      <c r="A21" s="2682"/>
      <c r="B21" s="2684"/>
      <c r="C21" s="696" t="s">
        <v>1063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2">
      <c r="A22" s="2682"/>
      <c r="B22" s="2684"/>
      <c r="C22" s="696" t="s">
        <v>1064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75" thickBot="1" x14ac:dyDescent="0.25">
      <c r="A23" s="2683"/>
      <c r="B23" s="2684"/>
      <c r="C23" s="696" t="s">
        <v>1065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2">
      <c r="A24" s="2685" t="s">
        <v>1066</v>
      </c>
      <c r="B24" s="2688" t="s">
        <v>1070</v>
      </c>
      <c r="C24" s="707" t="s">
        <v>1061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691" t="s">
        <v>1071</v>
      </c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3"/>
    </row>
    <row r="25" spans="1:29" x14ac:dyDescent="0.2">
      <c r="A25" s="2686"/>
      <c r="B25" s="2689"/>
      <c r="C25" s="710" t="s">
        <v>1062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694"/>
      <c r="R25" s="2695"/>
      <c r="S25" s="2695"/>
      <c r="T25" s="2695"/>
      <c r="U25" s="2695"/>
      <c r="V25" s="2695"/>
      <c r="W25" s="2695"/>
      <c r="X25" s="2695"/>
      <c r="Y25" s="2695"/>
      <c r="Z25" s="2695"/>
      <c r="AA25" s="2695"/>
      <c r="AB25" s="2696"/>
    </row>
    <row r="26" spans="1:29" x14ac:dyDescent="0.2">
      <c r="A26" s="2686"/>
      <c r="B26" s="2689"/>
      <c r="C26" s="710" t="s">
        <v>1063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694"/>
      <c r="R26" s="2695"/>
      <c r="S26" s="2695"/>
      <c r="T26" s="2695"/>
      <c r="U26" s="2695"/>
      <c r="V26" s="2695"/>
      <c r="W26" s="2695"/>
      <c r="X26" s="2695"/>
      <c r="Y26" s="2695"/>
      <c r="Z26" s="2695"/>
      <c r="AA26" s="2695"/>
      <c r="AB26" s="2696"/>
    </row>
    <row r="27" spans="1:29" x14ac:dyDescent="0.2">
      <c r="A27" s="2686"/>
      <c r="B27" s="2689"/>
      <c r="C27" s="710" t="s">
        <v>1064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694"/>
      <c r="R27" s="2695"/>
      <c r="S27" s="2695"/>
      <c r="T27" s="2695"/>
      <c r="U27" s="2695"/>
      <c r="V27" s="2695"/>
      <c r="W27" s="2695"/>
      <c r="X27" s="2695"/>
      <c r="Y27" s="2695"/>
      <c r="Z27" s="2695"/>
      <c r="AA27" s="2695"/>
      <c r="AB27" s="2696"/>
    </row>
    <row r="28" spans="1:29" x14ac:dyDescent="0.2">
      <c r="A28" s="2686"/>
      <c r="B28" s="2690"/>
      <c r="C28" s="716" t="s">
        <v>1065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694"/>
      <c r="R28" s="2695"/>
      <c r="S28" s="2695"/>
      <c r="T28" s="2695"/>
      <c r="U28" s="2695"/>
      <c r="V28" s="2695"/>
      <c r="W28" s="2695"/>
      <c r="X28" s="2695"/>
      <c r="Y28" s="2695"/>
      <c r="Z28" s="2695"/>
      <c r="AA28" s="2695"/>
      <c r="AB28" s="2696"/>
    </row>
    <row r="29" spans="1:29" x14ac:dyDescent="0.2">
      <c r="A29" s="2686"/>
      <c r="B29" s="2700" t="s">
        <v>1072</v>
      </c>
      <c r="C29" s="719" t="s">
        <v>1061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694"/>
      <c r="R29" s="2695"/>
      <c r="S29" s="2695"/>
      <c r="T29" s="2695"/>
      <c r="U29" s="2695"/>
      <c r="V29" s="2695"/>
      <c r="W29" s="2695"/>
      <c r="X29" s="2695"/>
      <c r="Y29" s="2695"/>
      <c r="Z29" s="2695"/>
      <c r="AA29" s="2695"/>
      <c r="AB29" s="2696"/>
    </row>
    <row r="30" spans="1:29" x14ac:dyDescent="0.2">
      <c r="A30" s="2686"/>
      <c r="B30" s="2689"/>
      <c r="C30" s="710" t="s">
        <v>1062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694"/>
      <c r="R30" s="2695"/>
      <c r="S30" s="2695"/>
      <c r="T30" s="2695"/>
      <c r="U30" s="2695"/>
      <c r="V30" s="2695"/>
      <c r="W30" s="2695"/>
      <c r="X30" s="2695"/>
      <c r="Y30" s="2695"/>
      <c r="Z30" s="2695"/>
      <c r="AA30" s="2695"/>
      <c r="AB30" s="2696"/>
    </row>
    <row r="31" spans="1:29" x14ac:dyDescent="0.2">
      <c r="A31" s="2686"/>
      <c r="B31" s="2689"/>
      <c r="C31" s="710" t="s">
        <v>1063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694"/>
      <c r="R31" s="2695"/>
      <c r="S31" s="2695"/>
      <c r="T31" s="2695"/>
      <c r="U31" s="2695"/>
      <c r="V31" s="2695"/>
      <c r="W31" s="2695"/>
      <c r="X31" s="2695"/>
      <c r="Y31" s="2695"/>
      <c r="Z31" s="2695"/>
      <c r="AA31" s="2695"/>
      <c r="AB31" s="2696"/>
    </row>
    <row r="32" spans="1:29" x14ac:dyDescent="0.2">
      <c r="A32" s="2686"/>
      <c r="B32" s="2689"/>
      <c r="C32" s="710" t="s">
        <v>1064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694"/>
      <c r="R32" s="2695"/>
      <c r="S32" s="2695"/>
      <c r="T32" s="2695"/>
      <c r="U32" s="2695"/>
      <c r="V32" s="2695"/>
      <c r="W32" s="2695"/>
      <c r="X32" s="2695"/>
      <c r="Y32" s="2695"/>
      <c r="Z32" s="2695"/>
      <c r="AA32" s="2695"/>
      <c r="AB32" s="2696"/>
    </row>
    <row r="33" spans="1:31" x14ac:dyDescent="0.2">
      <c r="A33" s="2686"/>
      <c r="B33" s="2690"/>
      <c r="C33" s="716" t="s">
        <v>1065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694"/>
      <c r="R33" s="2695"/>
      <c r="S33" s="2695"/>
      <c r="T33" s="2695"/>
      <c r="U33" s="2695"/>
      <c r="V33" s="2695"/>
      <c r="W33" s="2695"/>
      <c r="X33" s="2695"/>
      <c r="Y33" s="2695"/>
      <c r="Z33" s="2695"/>
      <c r="AA33" s="2695"/>
      <c r="AB33" s="2696"/>
    </row>
    <row r="34" spans="1:31" ht="15" customHeight="1" x14ac:dyDescent="0.2">
      <c r="A34" s="2686"/>
      <c r="B34" s="2700" t="s">
        <v>1073</v>
      </c>
      <c r="C34" s="719" t="s">
        <v>1061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694"/>
      <c r="R34" s="2695"/>
      <c r="S34" s="2695"/>
      <c r="T34" s="2695"/>
      <c r="U34" s="2695"/>
      <c r="V34" s="2695"/>
      <c r="W34" s="2695"/>
      <c r="X34" s="2695"/>
      <c r="Y34" s="2695"/>
      <c r="Z34" s="2695"/>
      <c r="AA34" s="2695"/>
      <c r="AB34" s="2696"/>
    </row>
    <row r="35" spans="1:31" x14ac:dyDescent="0.2">
      <c r="A35" s="2686"/>
      <c r="B35" s="2689"/>
      <c r="C35" s="710" t="s">
        <v>1062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694"/>
      <c r="R35" s="2695"/>
      <c r="S35" s="2695"/>
      <c r="T35" s="2695"/>
      <c r="U35" s="2695"/>
      <c r="V35" s="2695"/>
      <c r="W35" s="2695"/>
      <c r="X35" s="2695"/>
      <c r="Y35" s="2695"/>
      <c r="Z35" s="2695"/>
      <c r="AA35" s="2695"/>
      <c r="AB35" s="2696"/>
    </row>
    <row r="36" spans="1:31" x14ac:dyDescent="0.2">
      <c r="A36" s="2686"/>
      <c r="B36" s="2689"/>
      <c r="C36" s="710" t="s">
        <v>1063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694"/>
      <c r="R36" s="2695"/>
      <c r="S36" s="2695"/>
      <c r="T36" s="2695"/>
      <c r="U36" s="2695"/>
      <c r="V36" s="2695"/>
      <c r="W36" s="2695"/>
      <c r="X36" s="2695"/>
      <c r="Y36" s="2695"/>
      <c r="Z36" s="2695"/>
      <c r="AA36" s="2695"/>
      <c r="AB36" s="2696"/>
    </row>
    <row r="37" spans="1:31" x14ac:dyDescent="0.2">
      <c r="A37" s="2686"/>
      <c r="B37" s="2689"/>
      <c r="C37" s="710" t="s">
        <v>1064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694"/>
      <c r="R37" s="2695"/>
      <c r="S37" s="2695"/>
      <c r="T37" s="2695"/>
      <c r="U37" s="2695"/>
      <c r="V37" s="2695"/>
      <c r="W37" s="2695"/>
      <c r="X37" s="2695"/>
      <c r="Y37" s="2695"/>
      <c r="Z37" s="2695"/>
      <c r="AA37" s="2695"/>
      <c r="AB37" s="2696"/>
    </row>
    <row r="38" spans="1:31" x14ac:dyDescent="0.2">
      <c r="A38" s="2686"/>
      <c r="B38" s="2690"/>
      <c r="C38" s="716" t="s">
        <v>1065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694"/>
      <c r="R38" s="2695"/>
      <c r="S38" s="2695"/>
      <c r="T38" s="2695"/>
      <c r="U38" s="2695"/>
      <c r="V38" s="2695"/>
      <c r="W38" s="2695"/>
      <c r="X38" s="2695"/>
      <c r="Y38" s="2695"/>
      <c r="Z38" s="2695"/>
      <c r="AA38" s="2695"/>
      <c r="AB38" s="2696"/>
    </row>
    <row r="39" spans="1:31" x14ac:dyDescent="0.2">
      <c r="A39" s="2686"/>
      <c r="B39" s="2700" t="s">
        <v>1074</v>
      </c>
      <c r="C39" s="719" t="s">
        <v>1061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694"/>
      <c r="R39" s="2695"/>
      <c r="S39" s="2695"/>
      <c r="T39" s="2695"/>
      <c r="U39" s="2695"/>
      <c r="V39" s="2695"/>
      <c r="W39" s="2695"/>
      <c r="X39" s="2695"/>
      <c r="Y39" s="2695"/>
      <c r="Z39" s="2695"/>
      <c r="AA39" s="2695"/>
      <c r="AB39" s="2696"/>
    </row>
    <row r="40" spans="1:31" x14ac:dyDescent="0.2">
      <c r="A40" s="2686"/>
      <c r="B40" s="2689"/>
      <c r="C40" s="710" t="s">
        <v>1062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694"/>
      <c r="R40" s="2695"/>
      <c r="S40" s="2695"/>
      <c r="T40" s="2695"/>
      <c r="U40" s="2695"/>
      <c r="V40" s="2695"/>
      <c r="W40" s="2695"/>
      <c r="X40" s="2695"/>
      <c r="Y40" s="2695"/>
      <c r="Z40" s="2695"/>
      <c r="AA40" s="2695"/>
      <c r="AB40" s="2696"/>
    </row>
    <row r="41" spans="1:31" ht="12.75" thickBot="1" x14ac:dyDescent="0.25">
      <c r="A41" s="2686"/>
      <c r="B41" s="2689"/>
      <c r="C41" s="710" t="s">
        <v>1063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697"/>
      <c r="R41" s="2698"/>
      <c r="S41" s="2698"/>
      <c r="T41" s="2698"/>
      <c r="U41" s="2698"/>
      <c r="V41" s="2698"/>
      <c r="W41" s="2698"/>
      <c r="X41" s="2698"/>
      <c r="Y41" s="2698"/>
      <c r="Z41" s="2698"/>
      <c r="AA41" s="2698"/>
      <c r="AB41" s="2699"/>
    </row>
    <row r="42" spans="1:31" x14ac:dyDescent="0.2">
      <c r="A42" s="2686"/>
      <c r="B42" s="2689"/>
      <c r="C42" s="710" t="s">
        <v>1064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1075</v>
      </c>
    </row>
    <row r="43" spans="1:31" ht="12.75" thickBot="1" x14ac:dyDescent="0.25">
      <c r="A43" s="2687"/>
      <c r="B43" s="2701"/>
      <c r="C43" s="725" t="s">
        <v>1065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1076</v>
      </c>
    </row>
    <row r="44" spans="1:31" ht="15" customHeight="1" x14ac:dyDescent="0.2">
      <c r="A44" s="2702" t="s">
        <v>1077</v>
      </c>
      <c r="B44" s="2705" t="s">
        <v>1078</v>
      </c>
      <c r="C44" s="732" t="s">
        <v>1061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08" t="s">
        <v>1079</v>
      </c>
      <c r="R44" s="2708"/>
      <c r="S44" s="2708"/>
      <c r="T44" s="2708"/>
      <c r="U44" s="2708"/>
      <c r="V44" s="2708"/>
      <c r="W44" s="2708"/>
      <c r="X44" s="2708"/>
      <c r="Y44" s="2708"/>
      <c r="Z44" s="2708"/>
      <c r="AA44" s="2708"/>
      <c r="AB44" s="2709"/>
      <c r="AE44" s="652">
        <v>557642</v>
      </c>
    </row>
    <row r="45" spans="1:31" x14ac:dyDescent="0.2">
      <c r="A45" s="2703"/>
      <c r="B45" s="2706"/>
      <c r="C45" s="735" t="s">
        <v>1062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10"/>
      <c r="R45" s="2710"/>
      <c r="S45" s="2710"/>
      <c r="T45" s="2710"/>
      <c r="U45" s="2710"/>
      <c r="V45" s="2710"/>
      <c r="W45" s="2710"/>
      <c r="X45" s="2710"/>
      <c r="Y45" s="2710"/>
      <c r="Z45" s="2710"/>
      <c r="AA45" s="2710"/>
      <c r="AB45" s="2711"/>
      <c r="AE45" s="652">
        <v>-6873</v>
      </c>
    </row>
    <row r="46" spans="1:31" x14ac:dyDescent="0.2">
      <c r="A46" s="2703"/>
      <c r="B46" s="2706"/>
      <c r="C46" s="735" t="s">
        <v>1063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10"/>
      <c r="R46" s="2710"/>
      <c r="S46" s="2710"/>
      <c r="T46" s="2710"/>
      <c r="U46" s="2710"/>
      <c r="V46" s="2710"/>
      <c r="W46" s="2710"/>
      <c r="X46" s="2710"/>
      <c r="Y46" s="2710"/>
      <c r="Z46" s="2710"/>
      <c r="AA46" s="2710"/>
      <c r="AB46" s="2711"/>
      <c r="AE46" s="652">
        <f>SUM(AE44:AE45)</f>
        <v>550769</v>
      </c>
    </row>
    <row r="47" spans="1:31" x14ac:dyDescent="0.2">
      <c r="A47" s="2703"/>
      <c r="B47" s="2706"/>
      <c r="C47" s="735" t="s">
        <v>1064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10"/>
      <c r="R47" s="2710"/>
      <c r="S47" s="2710"/>
      <c r="T47" s="2710"/>
      <c r="U47" s="2710"/>
      <c r="V47" s="2710"/>
      <c r="W47" s="2710"/>
      <c r="X47" s="2710"/>
      <c r="Y47" s="2710"/>
      <c r="Z47" s="2710"/>
      <c r="AA47" s="2710"/>
      <c r="AB47" s="2711"/>
    </row>
    <row r="48" spans="1:31" x14ac:dyDescent="0.2">
      <c r="A48" s="2703"/>
      <c r="B48" s="2707"/>
      <c r="C48" s="742" t="s">
        <v>1065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10"/>
      <c r="R48" s="2710"/>
      <c r="S48" s="2710"/>
      <c r="T48" s="2710"/>
      <c r="U48" s="2710"/>
      <c r="V48" s="2710"/>
      <c r="W48" s="2710"/>
      <c r="X48" s="2710"/>
      <c r="Y48" s="2710"/>
      <c r="Z48" s="2710"/>
      <c r="AA48" s="2710"/>
      <c r="AB48" s="2711"/>
    </row>
    <row r="49" spans="1:34" x14ac:dyDescent="0.2">
      <c r="A49" s="2703"/>
      <c r="B49" s="2712" t="s">
        <v>1080</v>
      </c>
      <c r="C49" s="745" t="s">
        <v>1061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  <c r="AA49" s="2710"/>
      <c r="AB49" s="2711"/>
      <c r="AE49" s="652">
        <v>12099</v>
      </c>
    </row>
    <row r="50" spans="1:34" ht="14.25" customHeight="1" x14ac:dyDescent="0.2">
      <c r="A50" s="2703"/>
      <c r="B50" s="2706"/>
      <c r="C50" s="735" t="s">
        <v>1062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10"/>
      <c r="R50" s="2710"/>
      <c r="S50" s="2710"/>
      <c r="T50" s="2710"/>
      <c r="U50" s="2710"/>
      <c r="V50" s="2710"/>
      <c r="W50" s="2710"/>
      <c r="X50" s="2710"/>
      <c r="Y50" s="2710"/>
      <c r="Z50" s="2710"/>
      <c r="AA50" s="2710"/>
      <c r="AB50" s="2711"/>
      <c r="AE50" s="652">
        <v>-7604</v>
      </c>
    </row>
    <row r="51" spans="1:34" x14ac:dyDescent="0.2">
      <c r="A51" s="2703"/>
      <c r="B51" s="2706"/>
      <c r="C51" s="735" t="s">
        <v>1063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10"/>
      <c r="R51" s="2710"/>
      <c r="S51" s="2710"/>
      <c r="T51" s="2710"/>
      <c r="U51" s="2710"/>
      <c r="V51" s="2710"/>
      <c r="W51" s="2710"/>
      <c r="X51" s="2710"/>
      <c r="Y51" s="2710"/>
      <c r="Z51" s="2710"/>
      <c r="AA51" s="2710"/>
      <c r="AB51" s="2711"/>
      <c r="AE51" s="652">
        <f>SUM(AE49:AE50)</f>
        <v>4495</v>
      </c>
    </row>
    <row r="52" spans="1:34" x14ac:dyDescent="0.2">
      <c r="A52" s="2703"/>
      <c r="B52" s="2706"/>
      <c r="C52" s="735" t="s">
        <v>1064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10"/>
      <c r="R52" s="2710"/>
      <c r="S52" s="2710"/>
      <c r="T52" s="2710"/>
      <c r="U52" s="2710"/>
      <c r="V52" s="2710"/>
      <c r="W52" s="2710"/>
      <c r="X52" s="2710"/>
      <c r="Y52" s="2710"/>
      <c r="Z52" s="2710"/>
      <c r="AA52" s="2710"/>
      <c r="AB52" s="2711"/>
    </row>
    <row r="53" spans="1:34" x14ac:dyDescent="0.2">
      <c r="A53" s="2703"/>
      <c r="B53" s="2707"/>
      <c r="C53" s="742" t="s">
        <v>1065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10"/>
      <c r="R53" s="2710"/>
      <c r="S53" s="2710"/>
      <c r="T53" s="2710"/>
      <c r="U53" s="2710"/>
      <c r="V53" s="2710"/>
      <c r="W53" s="2710"/>
      <c r="X53" s="2710"/>
      <c r="Y53" s="2710"/>
      <c r="Z53" s="2710"/>
      <c r="AA53" s="2710"/>
      <c r="AB53" s="2711"/>
    </row>
    <row r="54" spans="1:34" x14ac:dyDescent="0.2">
      <c r="A54" s="2703"/>
      <c r="B54" s="2712" t="s">
        <v>1081</v>
      </c>
      <c r="C54" s="745" t="s">
        <v>1061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10"/>
      <c r="R54" s="2710"/>
      <c r="S54" s="2710"/>
      <c r="T54" s="2710"/>
      <c r="U54" s="2710"/>
      <c r="V54" s="2710"/>
      <c r="W54" s="2710"/>
      <c r="X54" s="2710"/>
      <c r="Y54" s="2710"/>
      <c r="Z54" s="2710"/>
      <c r="AA54" s="2710"/>
      <c r="AB54" s="2711"/>
      <c r="AE54" s="652">
        <v>374165</v>
      </c>
    </row>
    <row r="55" spans="1:34" x14ac:dyDescent="0.2">
      <c r="A55" s="2703"/>
      <c r="B55" s="2706"/>
      <c r="C55" s="735" t="s">
        <v>1062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10"/>
      <c r="R55" s="2710"/>
      <c r="S55" s="2710"/>
      <c r="T55" s="2710"/>
      <c r="U55" s="2710"/>
      <c r="V55" s="2710"/>
      <c r="W55" s="2710"/>
      <c r="X55" s="2710"/>
      <c r="Y55" s="2710"/>
      <c r="Z55" s="2710"/>
      <c r="AA55" s="2710"/>
      <c r="AB55" s="2711"/>
      <c r="AE55" s="652">
        <v>-334740</v>
      </c>
    </row>
    <row r="56" spans="1:34" x14ac:dyDescent="0.2">
      <c r="A56" s="2703"/>
      <c r="B56" s="2706"/>
      <c r="C56" s="735" t="s">
        <v>1063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10"/>
      <c r="R56" s="2710"/>
      <c r="S56" s="2710"/>
      <c r="T56" s="2710"/>
      <c r="U56" s="2710"/>
      <c r="V56" s="2710"/>
      <c r="W56" s="2710"/>
      <c r="X56" s="2710"/>
      <c r="Y56" s="2710"/>
      <c r="Z56" s="2710"/>
      <c r="AA56" s="2710"/>
      <c r="AB56" s="2711"/>
      <c r="AE56" s="652">
        <f>SUM(AE54:AE55)</f>
        <v>39425</v>
      </c>
    </row>
    <row r="57" spans="1:34" x14ac:dyDescent="0.2">
      <c r="A57" s="2703"/>
      <c r="B57" s="2706"/>
      <c r="C57" s="735" t="s">
        <v>1064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10"/>
      <c r="R57" s="2710"/>
      <c r="S57" s="2710"/>
      <c r="T57" s="2710"/>
      <c r="U57" s="2710"/>
      <c r="V57" s="2710"/>
      <c r="W57" s="2710"/>
      <c r="X57" s="2710"/>
      <c r="Y57" s="2710"/>
      <c r="Z57" s="2710"/>
      <c r="AA57" s="2710"/>
      <c r="AB57" s="2711"/>
    </row>
    <row r="58" spans="1:34" x14ac:dyDescent="0.2">
      <c r="A58" s="2703"/>
      <c r="B58" s="2707"/>
      <c r="C58" s="742" t="s">
        <v>1065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10"/>
      <c r="R58" s="2710"/>
      <c r="S58" s="2710"/>
      <c r="T58" s="2710"/>
      <c r="U58" s="2710"/>
      <c r="V58" s="2710"/>
      <c r="W58" s="2710"/>
      <c r="X58" s="2710"/>
      <c r="Y58" s="2710"/>
      <c r="Z58" s="2710"/>
      <c r="AA58" s="2710"/>
      <c r="AB58" s="2711"/>
      <c r="AE58" s="652">
        <v>5024</v>
      </c>
    </row>
    <row r="59" spans="1:34" x14ac:dyDescent="0.2">
      <c r="A59" s="2703"/>
      <c r="B59" s="2712" t="s">
        <v>1082</v>
      </c>
      <c r="C59" s="745" t="s">
        <v>1061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10"/>
      <c r="R59" s="2710"/>
      <c r="S59" s="2710"/>
      <c r="T59" s="2710"/>
      <c r="U59" s="2710"/>
      <c r="V59" s="2710"/>
      <c r="W59" s="2710"/>
      <c r="X59" s="2710"/>
      <c r="Y59" s="2710"/>
      <c r="Z59" s="2710"/>
      <c r="AA59" s="2710"/>
      <c r="AB59" s="2711"/>
    </row>
    <row r="60" spans="1:34" x14ac:dyDescent="0.2">
      <c r="A60" s="2703"/>
      <c r="B60" s="2706"/>
      <c r="C60" s="735" t="s">
        <v>1062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10"/>
      <c r="R60" s="2710"/>
      <c r="S60" s="2710"/>
      <c r="T60" s="2710"/>
      <c r="U60" s="2710"/>
      <c r="V60" s="2710"/>
      <c r="W60" s="2710"/>
      <c r="X60" s="2710"/>
      <c r="Y60" s="2710"/>
      <c r="Z60" s="2710"/>
      <c r="AA60" s="2710"/>
      <c r="AB60" s="2711"/>
    </row>
    <row r="61" spans="1:34" x14ac:dyDescent="0.2">
      <c r="A61" s="2703"/>
      <c r="B61" s="2706"/>
      <c r="C61" s="735" t="s">
        <v>1063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10"/>
      <c r="R61" s="2710"/>
      <c r="S61" s="2710"/>
      <c r="T61" s="2710"/>
      <c r="U61" s="2710"/>
      <c r="V61" s="2710"/>
      <c r="W61" s="2710"/>
      <c r="X61" s="2710"/>
      <c r="Y61" s="2710"/>
      <c r="Z61" s="2710"/>
      <c r="AA61" s="2710"/>
      <c r="AB61" s="2711"/>
    </row>
    <row r="62" spans="1:34" x14ac:dyDescent="0.2">
      <c r="A62" s="2703"/>
      <c r="B62" s="2706"/>
      <c r="C62" s="735" t="s">
        <v>1064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10"/>
      <c r="R62" s="2710"/>
      <c r="S62" s="2710"/>
      <c r="T62" s="2710"/>
      <c r="U62" s="2710"/>
      <c r="V62" s="2710"/>
      <c r="W62" s="2710"/>
      <c r="X62" s="2710"/>
      <c r="Y62" s="2710"/>
      <c r="Z62" s="2710"/>
      <c r="AA62" s="2710"/>
      <c r="AB62" s="2711"/>
      <c r="AE62" s="652">
        <v>2052</v>
      </c>
      <c r="AG62" s="724">
        <f>SUM(AE62,AE58,AE56,AE51,AE46)</f>
        <v>601765</v>
      </c>
      <c r="AH62" s="652" t="s">
        <v>1083</v>
      </c>
    </row>
    <row r="63" spans="1:34" x14ac:dyDescent="0.2">
      <c r="A63" s="2703"/>
      <c r="B63" s="2707"/>
      <c r="C63" s="742" t="s">
        <v>1065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10"/>
      <c r="R63" s="2710"/>
      <c r="S63" s="2710"/>
      <c r="T63" s="2710"/>
      <c r="U63" s="2710"/>
      <c r="V63" s="2710"/>
      <c r="W63" s="2710"/>
      <c r="X63" s="2710"/>
      <c r="Y63" s="2710"/>
      <c r="Z63" s="2710"/>
      <c r="AA63" s="2710"/>
      <c r="AB63" s="2711"/>
    </row>
    <row r="64" spans="1:34" x14ac:dyDescent="0.2">
      <c r="A64" s="2703"/>
      <c r="B64" s="746"/>
      <c r="C64" s="745" t="s">
        <v>1061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10"/>
      <c r="R64" s="2710"/>
      <c r="S64" s="2710"/>
      <c r="T64" s="2710"/>
      <c r="U64" s="2710"/>
      <c r="V64" s="2710"/>
      <c r="W64" s="2710"/>
      <c r="X64" s="2710"/>
      <c r="Y64" s="2710"/>
      <c r="Z64" s="2710"/>
      <c r="AA64" s="2710"/>
      <c r="AB64" s="2711"/>
    </row>
    <row r="65" spans="1:30" x14ac:dyDescent="0.2">
      <c r="A65" s="2703"/>
      <c r="B65" s="746" t="s">
        <v>1084</v>
      </c>
      <c r="C65" s="735" t="s">
        <v>1062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10"/>
      <c r="R65" s="2710"/>
      <c r="S65" s="2710"/>
      <c r="T65" s="2710"/>
      <c r="U65" s="2710"/>
      <c r="V65" s="2710"/>
      <c r="W65" s="2710"/>
      <c r="X65" s="2710"/>
      <c r="Y65" s="2710"/>
      <c r="Z65" s="2710"/>
      <c r="AA65" s="2710"/>
      <c r="AB65" s="2711"/>
    </row>
    <row r="66" spans="1:30" x14ac:dyDescent="0.2">
      <c r="A66" s="2703"/>
      <c r="B66" s="746" t="s">
        <v>1085</v>
      </c>
      <c r="C66" s="735" t="s">
        <v>1063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10"/>
      <c r="R66" s="2710"/>
      <c r="S66" s="2710"/>
      <c r="T66" s="2710"/>
      <c r="U66" s="2710"/>
      <c r="V66" s="2710"/>
      <c r="W66" s="2710"/>
      <c r="X66" s="2710"/>
      <c r="Y66" s="2710"/>
      <c r="Z66" s="2710"/>
      <c r="AA66" s="2710"/>
      <c r="AB66" s="2711"/>
    </row>
    <row r="67" spans="1:30" x14ac:dyDescent="0.2">
      <c r="A67" s="2703"/>
      <c r="B67" s="746"/>
      <c r="C67" s="735" t="s">
        <v>1064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1086</v>
      </c>
    </row>
    <row r="68" spans="1:30" ht="24.75" customHeight="1" thickBot="1" x14ac:dyDescent="0.25">
      <c r="A68" s="2704"/>
      <c r="B68" s="751"/>
      <c r="C68" s="752" t="s">
        <v>1065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1087</v>
      </c>
    </row>
    <row r="69" spans="1:30" ht="12.75" thickBot="1" x14ac:dyDescent="0.2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75" hidden="1" thickBot="1" x14ac:dyDescent="0.2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2">
      <c r="A71" s="2702" t="s">
        <v>1088</v>
      </c>
      <c r="B71" s="2716"/>
      <c r="C71" s="732" t="s">
        <v>1089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2">
      <c r="A72" s="2703"/>
      <c r="B72" s="2717"/>
      <c r="C72" s="735" t="s">
        <v>1062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2">
      <c r="A73" s="2703"/>
      <c r="B73" s="2717"/>
      <c r="C73" s="735" t="s">
        <v>1063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2">
      <c r="A74" s="2703"/>
      <c r="B74" s="2717"/>
      <c r="C74" s="735" t="s">
        <v>1090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75" thickBot="1" x14ac:dyDescent="0.25">
      <c r="A75" s="2704"/>
      <c r="B75" s="2718"/>
      <c r="C75" s="752" t="s">
        <v>1065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75" thickBot="1" x14ac:dyDescent="0.2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2">
      <c r="A77" s="2719" t="s">
        <v>1091</v>
      </c>
      <c r="B77" s="2722" t="s">
        <v>1092</v>
      </c>
      <c r="C77" s="779" t="s">
        <v>1089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2">
      <c r="A78" s="2720"/>
      <c r="B78" s="2723"/>
      <c r="C78" s="781" t="s">
        <v>1062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2">
      <c r="A79" s="2720"/>
      <c r="B79" s="2723"/>
      <c r="C79" s="781" t="s">
        <v>1063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2">
      <c r="A80" s="2720"/>
      <c r="B80" s="2723"/>
      <c r="C80" s="781" t="s">
        <v>1090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75" thickBot="1" x14ac:dyDescent="0.25">
      <c r="A81" s="2721"/>
      <c r="B81" s="2724"/>
      <c r="C81" s="787" t="s">
        <v>1065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2">
      <c r="A82" s="2672" t="s">
        <v>1093</v>
      </c>
      <c r="B82" s="2726" t="s">
        <v>1094</v>
      </c>
      <c r="C82" s="790" t="s">
        <v>1089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2">
      <c r="A83" s="2673"/>
      <c r="B83" s="2727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2">
      <c r="A84" s="2673"/>
      <c r="B84" s="2727"/>
      <c r="C84" s="792" t="s">
        <v>1062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2">
      <c r="A85" s="2673"/>
      <c r="B85" s="2727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2">
      <c r="A86" s="2673"/>
      <c r="B86" s="2727"/>
      <c r="C86" s="792" t="s">
        <v>1063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2">
      <c r="A87" s="2673"/>
      <c r="B87" s="2727"/>
      <c r="C87" s="792" t="s">
        <v>1090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75" thickBot="1" x14ac:dyDescent="0.25">
      <c r="A88" s="2725"/>
      <c r="B88" s="2728"/>
      <c r="C88" s="796" t="s">
        <v>1065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2">
      <c r="B89" s="799" t="s">
        <v>1095</v>
      </c>
      <c r="C89" s="800" t="s">
        <v>1061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2">
      <c r="B90" s="802"/>
      <c r="C90" s="803" t="s">
        <v>1096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75" thickBot="1" x14ac:dyDescent="0.25">
      <c r="B91" s="806"/>
      <c r="C91" s="807" t="s">
        <v>1063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2">
      <c r="B92" s="810" t="s">
        <v>1097</v>
      </c>
      <c r="C92" s="811" t="s">
        <v>1061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2">
      <c r="B93" s="813"/>
      <c r="C93" s="814" t="s">
        <v>1096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75" thickBot="1" x14ac:dyDescent="0.25">
      <c r="B94" s="816"/>
      <c r="C94" s="817" t="s">
        <v>1063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2">
      <c r="B95" s="2713" t="s">
        <v>1098</v>
      </c>
      <c r="C95" s="820" t="s">
        <v>1061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2">
      <c r="B96" s="2714"/>
      <c r="C96" s="822" t="s">
        <v>1096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25">
      <c r="B97" s="2715"/>
      <c r="C97" s="825" t="s">
        <v>1063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75" thickBot="1" x14ac:dyDescent="0.25"/>
    <row r="99" spans="1:17" ht="15" customHeight="1" x14ac:dyDescent="0.2">
      <c r="A99" s="2702" t="s">
        <v>1088</v>
      </c>
      <c r="B99" s="2716"/>
      <c r="C99" s="732" t="s">
        <v>1089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2">
      <c r="A100" s="2703"/>
      <c r="B100" s="2717"/>
      <c r="C100" s="735" t="s">
        <v>1062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2">
      <c r="A101" s="2703"/>
      <c r="B101" s="2717"/>
      <c r="C101" s="735" t="s">
        <v>1063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2">
      <c r="A102" s="2703"/>
      <c r="B102" s="2717"/>
      <c r="C102" s="735" t="s">
        <v>1090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75" thickBot="1" x14ac:dyDescent="0.25">
      <c r="A103" s="2704"/>
      <c r="B103" s="2718"/>
      <c r="C103" s="752" t="s">
        <v>1065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2">
      <c r="B106" s="652" t="s">
        <v>1099</v>
      </c>
      <c r="D106" s="652" t="s">
        <v>1100</v>
      </c>
      <c r="F106" s="652" t="s">
        <v>584</v>
      </c>
    </row>
    <row r="109" spans="1:17" ht="12.75" x14ac:dyDescent="0.2">
      <c r="A109" s="828" t="s">
        <v>1101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2.75" x14ac:dyDescent="0.2">
      <c r="A110" s="828" t="s">
        <v>1102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2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2.75" x14ac:dyDescent="0.2">
      <c r="A113" s="828" t="s">
        <v>1103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2.75" x14ac:dyDescent="0.2">
      <c r="A114" s="828" t="s">
        <v>1104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2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2.75" x14ac:dyDescent="0.2">
      <c r="A117" s="828" t="s">
        <v>1105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276"/>
  <sheetViews>
    <sheetView topLeftCell="A39" zoomScale="81" zoomScaleNormal="81" workbookViewId="0">
      <selection activeCell="C87" sqref="C87"/>
    </sheetView>
  </sheetViews>
  <sheetFormatPr defaultColWidth="9.140625" defaultRowHeight="13.5" outlineLevelRow="1" outlineLevelCol="2" x14ac:dyDescent="0.25"/>
  <cols>
    <col min="1" max="1" width="11.85546875" style="1103" customWidth="1"/>
    <col min="2" max="2" width="21" style="1103" bestFit="1" customWidth="1"/>
    <col min="3" max="3" width="57.42578125" style="1103" customWidth="1"/>
    <col min="4" max="4" width="12" style="1240" hidden="1" customWidth="1" outlineLevel="2"/>
    <col min="5" max="5" width="9.140625" style="1240" hidden="1" customWidth="1" outlineLevel="2"/>
    <col min="6" max="6" width="8.85546875" style="1240" hidden="1" customWidth="1" outlineLevel="2"/>
    <col min="7" max="7" width="21" style="1240" bestFit="1" customWidth="1" collapsed="1"/>
    <col min="8" max="10" width="17.28515625" style="1858" customWidth="1"/>
    <col min="11" max="11" width="16.28515625" style="1241" customWidth="1"/>
    <col min="12" max="12" width="15.28515625" style="1242" hidden="1" customWidth="1" outlineLevel="2"/>
    <col min="13" max="13" width="11.42578125" style="1103" hidden="1" customWidth="1" outlineLevel="2"/>
    <col min="14" max="14" width="12.140625" style="1240" hidden="1" customWidth="1" outlineLevel="2"/>
    <col min="15" max="15" width="15.28515625" style="1240" hidden="1" customWidth="1" outlineLevel="2"/>
    <col min="16" max="16" width="21.5703125" style="1103" customWidth="1" collapsed="1"/>
    <col min="17" max="17" width="14.7109375" style="1243" customWidth="1"/>
    <col min="18" max="18" width="15.7109375" style="1244" customWidth="1"/>
    <col min="19" max="16384" width="9.140625" style="1103"/>
  </cols>
  <sheetData>
    <row r="1" spans="1:18" ht="20.25" customHeight="1" x14ac:dyDescent="0.3">
      <c r="A1" s="1245" t="s">
        <v>1579</v>
      </c>
      <c r="B1" s="1096"/>
      <c r="C1" s="919"/>
      <c r="D1" s="933"/>
      <c r="E1" s="933"/>
      <c r="F1" s="933"/>
      <c r="G1" s="933"/>
      <c r="H1" s="917"/>
      <c r="I1" s="917"/>
      <c r="J1" s="917"/>
      <c r="K1" s="1098"/>
      <c r="L1" s="1099"/>
      <c r="M1" s="1097"/>
      <c r="N1" s="1100"/>
      <c r="O1" s="1100"/>
      <c r="P1" s="1097"/>
      <c r="Q1" s="1101"/>
      <c r="R1" s="1102"/>
    </row>
    <row r="2" spans="1:18" ht="15" customHeight="1" x14ac:dyDescent="0.3">
      <c r="A2" s="2567" t="s">
        <v>2234</v>
      </c>
      <c r="B2" s="1104"/>
      <c r="C2" s="1097"/>
      <c r="D2" s="1100"/>
      <c r="E2" s="1100"/>
      <c r="F2" s="1100"/>
      <c r="G2" s="1100"/>
      <c r="H2" s="1857"/>
      <c r="I2" s="1857"/>
      <c r="J2" s="1857"/>
      <c r="K2" s="1098"/>
      <c r="L2" s="1099"/>
      <c r="M2" s="1097"/>
      <c r="N2" s="1100"/>
      <c r="O2" s="1100"/>
      <c r="P2" s="1097"/>
      <c r="Q2" s="1101"/>
      <c r="R2" s="1102"/>
    </row>
    <row r="3" spans="1:18" ht="15" customHeight="1" thickBot="1" x14ac:dyDescent="0.3">
      <c r="A3" s="1104"/>
      <c r="B3" s="1104"/>
      <c r="C3" s="1097"/>
      <c r="D3" s="1100"/>
      <c r="E3" s="1100"/>
      <c r="F3" s="1100"/>
      <c r="G3" s="1100"/>
      <c r="H3" s="1857"/>
      <c r="I3" s="1857"/>
      <c r="J3" s="1857"/>
      <c r="K3" s="1098"/>
      <c r="L3" s="1099"/>
      <c r="M3" s="1097"/>
      <c r="N3" s="1100"/>
      <c r="O3" s="1100"/>
      <c r="P3" s="1097"/>
      <c r="Q3" s="1101"/>
      <c r="R3" s="1102"/>
    </row>
    <row r="4" spans="1:18" ht="35.450000000000003" customHeight="1" thickBot="1" x14ac:dyDescent="0.3">
      <c r="A4" s="1105" t="s">
        <v>121</v>
      </c>
      <c r="B4" s="1106" t="s">
        <v>490</v>
      </c>
      <c r="C4" s="1107" t="s">
        <v>649</v>
      </c>
      <c r="D4" s="1105" t="s">
        <v>643</v>
      </c>
      <c r="E4" s="1105" t="s">
        <v>644</v>
      </c>
      <c r="F4" s="1105" t="s">
        <v>645</v>
      </c>
      <c r="G4" s="1105" t="s">
        <v>637</v>
      </c>
      <c r="H4" s="1108" t="s">
        <v>1580</v>
      </c>
      <c r="I4" s="1108" t="s">
        <v>2048</v>
      </c>
      <c r="J4" s="1108" t="s">
        <v>2217</v>
      </c>
      <c r="K4" s="1109" t="s">
        <v>5</v>
      </c>
      <c r="L4" s="1110" t="s">
        <v>784</v>
      </c>
      <c r="M4" s="1108" t="s">
        <v>4</v>
      </c>
      <c r="N4" s="1108" t="s">
        <v>642</v>
      </c>
      <c r="O4" s="1108" t="s">
        <v>638</v>
      </c>
      <c r="P4" s="1108" t="s">
        <v>639</v>
      </c>
      <c r="Q4" s="1101"/>
      <c r="R4" s="1102"/>
    </row>
    <row r="5" spans="1:18" ht="14.25" thickBot="1" x14ac:dyDescent="0.3">
      <c r="A5" s="1111"/>
      <c r="B5" s="1112" t="s">
        <v>3</v>
      </c>
      <c r="C5" s="1111"/>
      <c r="D5" s="1113"/>
      <c r="E5" s="1113"/>
      <c r="F5" s="1113"/>
      <c r="G5" s="1113"/>
      <c r="H5" s="1113"/>
      <c r="I5" s="1113"/>
      <c r="J5" s="1113"/>
      <c r="K5" s="1114"/>
      <c r="L5" s="1115"/>
      <c r="M5" s="1113"/>
      <c r="N5" s="1113"/>
      <c r="O5" s="1113"/>
      <c r="P5" s="1116"/>
      <c r="Q5" s="1101" t="s">
        <v>768</v>
      </c>
      <c r="R5" s="1102" t="s">
        <v>711</v>
      </c>
    </row>
    <row r="6" spans="1:18" outlineLevel="1" x14ac:dyDescent="0.25">
      <c r="A6" s="1117"/>
      <c r="B6" s="1118" t="s">
        <v>249</v>
      </c>
      <c r="C6" s="1119" t="s">
        <v>951</v>
      </c>
      <c r="D6" s="1120"/>
      <c r="E6" s="1120"/>
      <c r="F6" s="1121"/>
      <c r="G6" s="1120" t="s">
        <v>640</v>
      </c>
      <c r="H6" s="1122">
        <v>350000</v>
      </c>
      <c r="I6" s="1122">
        <v>350000</v>
      </c>
      <c r="J6" s="1122">
        <f>[5]TSÚ!$B$11</f>
        <v>350000</v>
      </c>
      <c r="K6" s="1123">
        <f>+J6-I6</f>
        <v>0</v>
      </c>
      <c r="L6" s="1124"/>
      <c r="M6" s="1125"/>
      <c r="N6" s="1126"/>
      <c r="O6" s="1126"/>
      <c r="P6" s="1122"/>
      <c r="Q6" s="1101"/>
      <c r="R6" s="1102"/>
    </row>
    <row r="7" spans="1:18" outlineLevel="1" x14ac:dyDescent="0.25">
      <c r="A7" s="1117"/>
      <c r="B7" s="1127" t="s">
        <v>249</v>
      </c>
      <c r="C7" s="1119" t="s">
        <v>1723</v>
      </c>
      <c r="D7" s="1128"/>
      <c r="E7" s="1128"/>
      <c r="F7" s="1129"/>
      <c r="G7" s="1128" t="s">
        <v>640</v>
      </c>
      <c r="H7" s="1130">
        <v>450000</v>
      </c>
      <c r="I7" s="1130">
        <v>450000</v>
      </c>
      <c r="J7" s="1130">
        <f>[5]TSÚ!$B$12</f>
        <v>450000</v>
      </c>
      <c r="K7" s="1131">
        <f t="shared" ref="K7:K70" si="0">+J7-I7</f>
        <v>0</v>
      </c>
      <c r="L7" s="1132"/>
      <c r="M7" s="1133"/>
      <c r="N7" s="1134"/>
      <c r="O7" s="1134"/>
      <c r="P7" s="1130"/>
      <c r="Q7" s="1101"/>
      <c r="R7" s="1102"/>
    </row>
    <row r="8" spans="1:18" outlineLevel="1" x14ac:dyDescent="0.25">
      <c r="A8" s="1117"/>
      <c r="B8" s="1127" t="s">
        <v>249</v>
      </c>
      <c r="C8" s="1119" t="s">
        <v>952</v>
      </c>
      <c r="D8" s="1128"/>
      <c r="E8" s="1128"/>
      <c r="F8" s="1129"/>
      <c r="G8" s="1128" t="s">
        <v>640</v>
      </c>
      <c r="H8" s="1130">
        <v>1300000</v>
      </c>
      <c r="I8" s="1130">
        <v>1300000</v>
      </c>
      <c r="J8" s="1130">
        <f>[5]TSÚ!$B$13</f>
        <v>1300000</v>
      </c>
      <c r="K8" s="1131">
        <f t="shared" si="0"/>
        <v>0</v>
      </c>
      <c r="L8" s="1132"/>
      <c r="M8" s="1133"/>
      <c r="N8" s="1134"/>
      <c r="O8" s="1134"/>
      <c r="P8" s="1130"/>
      <c r="Q8" s="1101"/>
      <c r="R8" s="1102"/>
    </row>
    <row r="9" spans="1:18" outlineLevel="1" x14ac:dyDescent="0.25">
      <c r="A9" s="1117"/>
      <c r="B9" s="1127" t="s">
        <v>249</v>
      </c>
      <c r="C9" s="1119" t="s">
        <v>887</v>
      </c>
      <c r="D9" s="1128"/>
      <c r="E9" s="1128"/>
      <c r="F9" s="1129"/>
      <c r="G9" s="1128" t="s">
        <v>640</v>
      </c>
      <c r="H9" s="1130">
        <v>420000</v>
      </c>
      <c r="I9" s="1130">
        <v>420000</v>
      </c>
      <c r="J9" s="1130">
        <f>[5]TSÚ!$B$14</f>
        <v>420000</v>
      </c>
      <c r="K9" s="1131">
        <f t="shared" si="0"/>
        <v>0</v>
      </c>
      <c r="L9" s="1132"/>
      <c r="M9" s="1133"/>
      <c r="N9" s="1134"/>
      <c r="O9" s="1134"/>
      <c r="P9" s="1130"/>
      <c r="Q9" s="1101"/>
      <c r="R9" s="1102"/>
    </row>
    <row r="10" spans="1:18" outlineLevel="1" x14ac:dyDescent="0.25">
      <c r="A10" s="1117"/>
      <c r="B10" s="1127" t="s">
        <v>249</v>
      </c>
      <c r="C10" s="1119" t="s">
        <v>1718</v>
      </c>
      <c r="D10" s="1128"/>
      <c r="E10" s="1128"/>
      <c r="F10" s="1129"/>
      <c r="G10" s="1128" t="s">
        <v>640</v>
      </c>
      <c r="H10" s="1130">
        <v>250000</v>
      </c>
      <c r="I10" s="1130">
        <v>250000</v>
      </c>
      <c r="J10" s="1130">
        <f>[5]TSÚ!$B$15</f>
        <v>250000</v>
      </c>
      <c r="K10" s="1131">
        <f t="shared" si="0"/>
        <v>0</v>
      </c>
      <c r="L10" s="1132"/>
      <c r="M10" s="1133"/>
      <c r="N10" s="1134"/>
      <c r="O10" s="1134"/>
      <c r="P10" s="1130"/>
      <c r="Q10" s="1101"/>
      <c r="R10" s="1102"/>
    </row>
    <row r="11" spans="1:18" hidden="1" outlineLevel="1" x14ac:dyDescent="0.25">
      <c r="A11" s="1117"/>
      <c r="B11" s="1127" t="s">
        <v>249</v>
      </c>
      <c r="C11" s="1119" t="s">
        <v>1717</v>
      </c>
      <c r="D11" s="1128"/>
      <c r="E11" s="1128"/>
      <c r="F11" s="1129"/>
      <c r="G11" s="1128" t="s">
        <v>640</v>
      </c>
      <c r="H11" s="1130">
        <v>0</v>
      </c>
      <c r="I11" s="1130">
        <v>0</v>
      </c>
      <c r="J11" s="1130">
        <f>[5]TSÚ!$B$16</f>
        <v>0</v>
      </c>
      <c r="K11" s="1131">
        <f t="shared" si="0"/>
        <v>0</v>
      </c>
      <c r="L11" s="1132"/>
      <c r="M11" s="1133"/>
      <c r="N11" s="1134"/>
      <c r="O11" s="1134"/>
      <c r="P11" s="1130"/>
      <c r="Q11" s="1101"/>
      <c r="R11" s="1102"/>
    </row>
    <row r="12" spans="1:18" ht="14.25" outlineLevel="1" thickBot="1" x14ac:dyDescent="0.3">
      <c r="A12" s="1117"/>
      <c r="B12" s="1127" t="s">
        <v>249</v>
      </c>
      <c r="C12" s="1119" t="s">
        <v>964</v>
      </c>
      <c r="D12" s="1128"/>
      <c r="E12" s="1128"/>
      <c r="F12" s="1129"/>
      <c r="G12" s="1128" t="s">
        <v>640</v>
      </c>
      <c r="H12" s="1130">
        <v>0</v>
      </c>
      <c r="I12" s="1130">
        <v>0</v>
      </c>
      <c r="J12" s="1130">
        <f>[5]TSÚ!$B$17</f>
        <v>0</v>
      </c>
      <c r="K12" s="1131">
        <f t="shared" si="0"/>
        <v>0</v>
      </c>
      <c r="L12" s="1132"/>
      <c r="M12" s="1133"/>
      <c r="N12" s="1134"/>
      <c r="O12" s="1134"/>
      <c r="P12" s="1130"/>
      <c r="Q12" s="1101"/>
      <c r="R12" s="1102"/>
    </row>
    <row r="13" spans="1:18" ht="14.25" thickBot="1" x14ac:dyDescent="0.3">
      <c r="A13" s="2729" t="s">
        <v>624</v>
      </c>
      <c r="B13" s="2730"/>
      <c r="C13" s="2102"/>
      <c r="D13" s="2103"/>
      <c r="E13" s="2103"/>
      <c r="F13" s="2104"/>
      <c r="G13" s="2103"/>
      <c r="H13" s="2105">
        <v>2770000</v>
      </c>
      <c r="I13" s="2105">
        <v>2770000</v>
      </c>
      <c r="J13" s="2105">
        <f>SUM(J6:J12)</f>
        <v>2770000</v>
      </c>
      <c r="K13" s="2159">
        <f t="shared" si="0"/>
        <v>0</v>
      </c>
      <c r="L13" s="2105"/>
      <c r="M13" s="2105">
        <f>SUM(M6:M12)</f>
        <v>0</v>
      </c>
      <c r="N13" s="2105"/>
      <c r="O13" s="2105"/>
      <c r="P13" s="2105"/>
      <c r="Q13" s="1140">
        <f>'Výdaje kapitol celkem'!S66</f>
        <v>2770000</v>
      </c>
      <c r="R13" s="1141">
        <f>+Q13-J13</f>
        <v>0</v>
      </c>
    </row>
    <row r="14" spans="1:18" ht="14.25" hidden="1" outlineLevel="1" thickBot="1" x14ac:dyDescent="0.3">
      <c r="A14" s="1142"/>
      <c r="B14" s="1127" t="s">
        <v>135</v>
      </c>
      <c r="C14" s="1119"/>
      <c r="D14" s="1128"/>
      <c r="E14" s="1128"/>
      <c r="F14" s="1129"/>
      <c r="G14" s="1128" t="s">
        <v>640</v>
      </c>
      <c r="H14" s="1130"/>
      <c r="I14" s="1130"/>
      <c r="J14" s="1130"/>
      <c r="K14" s="1131">
        <f t="shared" si="0"/>
        <v>0</v>
      </c>
      <c r="L14" s="1130"/>
      <c r="M14" s="1130"/>
      <c r="N14" s="1130"/>
      <c r="O14" s="1130"/>
      <c r="P14" s="1130"/>
      <c r="Q14" s="1101"/>
      <c r="R14" s="1141"/>
    </row>
    <row r="15" spans="1:18" ht="14.25" hidden="1" outlineLevel="1" thickBot="1" x14ac:dyDescent="0.3">
      <c r="A15" s="1143"/>
      <c r="B15" s="1127" t="s">
        <v>135</v>
      </c>
      <c r="C15" s="1119"/>
      <c r="D15" s="1128"/>
      <c r="E15" s="1128"/>
      <c r="F15" s="1129"/>
      <c r="G15" s="1128" t="s">
        <v>640</v>
      </c>
      <c r="H15" s="1130"/>
      <c r="I15" s="1130"/>
      <c r="J15" s="1130"/>
      <c r="K15" s="1131">
        <f t="shared" si="0"/>
        <v>0</v>
      </c>
      <c r="L15" s="1130"/>
      <c r="M15" s="1130"/>
      <c r="N15" s="1130"/>
      <c r="O15" s="1130"/>
      <c r="P15" s="1130"/>
      <c r="Q15" s="1101"/>
      <c r="R15" s="1141"/>
    </row>
    <row r="16" spans="1:18" ht="14.25" hidden="1" outlineLevel="1" thickBot="1" x14ac:dyDescent="0.3">
      <c r="A16" s="1144" t="s">
        <v>198</v>
      </c>
      <c r="B16" s="1127" t="s">
        <v>135</v>
      </c>
      <c r="C16" s="1145"/>
      <c r="D16" s="1146"/>
      <c r="E16" s="1146"/>
      <c r="F16" s="1147"/>
      <c r="G16" s="1146" t="s">
        <v>640</v>
      </c>
      <c r="H16" s="1148"/>
      <c r="I16" s="1148"/>
      <c r="J16" s="1148"/>
      <c r="K16" s="1149">
        <f t="shared" si="0"/>
        <v>0</v>
      </c>
      <c r="L16" s="1148"/>
      <c r="M16" s="1148"/>
      <c r="N16" s="1148"/>
      <c r="O16" s="1148"/>
      <c r="P16" s="1148"/>
      <c r="Q16" s="1101"/>
      <c r="R16" s="1141"/>
    </row>
    <row r="17" spans="1:18" ht="14.25" hidden="1" collapsed="1" thickBot="1" x14ac:dyDescent="0.3">
      <c r="A17" s="2729" t="s">
        <v>1230</v>
      </c>
      <c r="B17" s="2730" t="s">
        <v>135</v>
      </c>
      <c r="C17" s="2102"/>
      <c r="D17" s="2103"/>
      <c r="E17" s="2103"/>
      <c r="F17" s="2104"/>
      <c r="G17" s="2103"/>
      <c r="H17" s="2105">
        <v>0</v>
      </c>
      <c r="I17" s="2105">
        <v>0</v>
      </c>
      <c r="J17" s="2105">
        <f>SUM(J14:J16)</f>
        <v>0</v>
      </c>
      <c r="K17" s="2159">
        <f t="shared" si="0"/>
        <v>0</v>
      </c>
      <c r="L17" s="2105"/>
      <c r="M17" s="2105">
        <f>SUM(M14:M16)</f>
        <v>0</v>
      </c>
      <c r="N17" s="2105"/>
      <c r="O17" s="2105"/>
      <c r="P17" s="2105"/>
      <c r="Q17" s="1140">
        <f>'Výdaje kapitol celkem'!V69</f>
        <v>0</v>
      </c>
      <c r="R17" s="1141">
        <f>+Q17-J17</f>
        <v>0</v>
      </c>
    </row>
    <row r="18" spans="1:18" outlineLevel="1" x14ac:dyDescent="0.25">
      <c r="A18" s="1142"/>
      <c r="B18" s="1127" t="s">
        <v>358</v>
      </c>
      <c r="C18" s="1119"/>
      <c r="D18" s="1128"/>
      <c r="E18" s="1128"/>
      <c r="F18" s="1129"/>
      <c r="G18" s="1128" t="s">
        <v>640</v>
      </c>
      <c r="H18" s="1130">
        <v>90000</v>
      </c>
      <c r="I18" s="1130">
        <v>90000</v>
      </c>
      <c r="J18" s="1130">
        <f>[2]Správa!$B$146</f>
        <v>90000</v>
      </c>
      <c r="K18" s="1131">
        <f t="shared" si="0"/>
        <v>0</v>
      </c>
      <c r="L18" s="1130"/>
      <c r="M18" s="1130"/>
      <c r="N18" s="1130"/>
      <c r="O18" s="1130"/>
      <c r="P18" s="1130"/>
      <c r="Q18" s="1101"/>
      <c r="R18" s="1141"/>
    </row>
    <row r="19" spans="1:18" s="1160" customFormat="1" outlineLevel="1" x14ac:dyDescent="0.25">
      <c r="A19" s="1143"/>
      <c r="B19" s="1153" t="s">
        <v>358</v>
      </c>
      <c r="C19" s="1154"/>
      <c r="D19" s="1155"/>
      <c r="E19" s="1155"/>
      <c r="F19" s="1156"/>
      <c r="G19" s="1155" t="s">
        <v>640</v>
      </c>
      <c r="H19" s="1157">
        <v>150000</v>
      </c>
      <c r="I19" s="1157">
        <v>150000</v>
      </c>
      <c r="J19" s="1157">
        <f>[2]Správa!$B$147</f>
        <v>150000</v>
      </c>
      <c r="K19" s="1158">
        <f t="shared" si="0"/>
        <v>0</v>
      </c>
      <c r="L19" s="1157"/>
      <c r="M19" s="1157"/>
      <c r="N19" s="1157"/>
      <c r="O19" s="1157"/>
      <c r="P19" s="1157"/>
      <c r="Q19" s="1159"/>
      <c r="R19" s="1141"/>
    </row>
    <row r="20" spans="1:18" ht="14.25" outlineLevel="1" thickBot="1" x14ac:dyDescent="0.3">
      <c r="A20" s="1161">
        <v>6171</v>
      </c>
      <c r="B20" s="1162" t="s">
        <v>358</v>
      </c>
      <c r="C20" s="1163"/>
      <c r="D20" s="1164"/>
      <c r="E20" s="1164"/>
      <c r="F20" s="1165"/>
      <c r="G20" s="1164" t="s">
        <v>640</v>
      </c>
      <c r="H20" s="2010"/>
      <c r="I20" s="2010"/>
      <c r="J20" s="2010"/>
      <c r="K20" s="2160">
        <f t="shared" si="0"/>
        <v>0</v>
      </c>
      <c r="L20" s="2010"/>
      <c r="M20" s="2010"/>
      <c r="N20" s="2010"/>
      <c r="O20" s="2010"/>
      <c r="P20" s="2010"/>
      <c r="Q20" s="1101"/>
      <c r="R20" s="1141"/>
    </row>
    <row r="21" spans="1:18" ht="14.25" thickBot="1" x14ac:dyDescent="0.3">
      <c r="A21" s="2729" t="s">
        <v>2051</v>
      </c>
      <c r="B21" s="2730" t="s">
        <v>358</v>
      </c>
      <c r="C21" s="2102"/>
      <c r="D21" s="2103"/>
      <c r="E21" s="2103"/>
      <c r="F21" s="2104"/>
      <c r="G21" s="2103"/>
      <c r="H21" s="2105">
        <v>240000</v>
      </c>
      <c r="I21" s="2105">
        <v>240000</v>
      </c>
      <c r="J21" s="2105">
        <f>SUM(J18:J20)</f>
        <v>240000</v>
      </c>
      <c r="K21" s="2159">
        <f t="shared" si="0"/>
        <v>0</v>
      </c>
      <c r="L21" s="2105"/>
      <c r="M21" s="2105">
        <f>SUM(M18:M20)</f>
        <v>0</v>
      </c>
      <c r="N21" s="2105"/>
      <c r="O21" s="2105"/>
      <c r="P21" s="2105"/>
      <c r="Q21" s="1140">
        <f>'Výdaje kapitol celkem'!O69</f>
        <v>240000</v>
      </c>
      <c r="R21" s="1141">
        <f>+Q21-J21</f>
        <v>0</v>
      </c>
    </row>
    <row r="22" spans="1:18" outlineLevel="1" x14ac:dyDescent="0.25">
      <c r="A22" s="1142"/>
      <c r="B22" s="1127"/>
      <c r="C22" s="1119" t="s">
        <v>2215</v>
      </c>
      <c r="D22" s="1128"/>
      <c r="E22" s="1128"/>
      <c r="F22" s="1129"/>
      <c r="G22" s="1128" t="s">
        <v>640</v>
      </c>
      <c r="H22" s="1130">
        <v>0</v>
      </c>
      <c r="I22" s="1130">
        <v>600000</v>
      </c>
      <c r="J22" s="1130">
        <f>+'[3]Particitivní rozpočet'!$B$89+'[3]Particitivní rozpočet'!$B$117+'[2]Participativní rozpočet'!$B$89+'[2]Participativní rozpočet'!$B$117</f>
        <v>600000</v>
      </c>
      <c r="K22" s="1131">
        <f t="shared" si="0"/>
        <v>0</v>
      </c>
      <c r="L22" s="1131"/>
      <c r="M22" s="1131"/>
      <c r="N22" s="1131"/>
      <c r="O22" s="1131"/>
      <c r="P22" s="1131"/>
      <c r="Q22" s="1101"/>
      <c r="R22" s="1141"/>
    </row>
    <row r="23" spans="1:18" ht="14.25" outlineLevel="1" thickBot="1" x14ac:dyDescent="0.3">
      <c r="A23" s="1143" t="s">
        <v>2049</v>
      </c>
      <c r="B23" s="1168"/>
      <c r="C23" s="1169"/>
      <c r="D23" s="1170"/>
      <c r="E23" s="1170"/>
      <c r="F23" s="1171"/>
      <c r="G23" s="1170" t="s">
        <v>640</v>
      </c>
      <c r="H23" s="1167">
        <v>0</v>
      </c>
      <c r="I23" s="1167">
        <v>0</v>
      </c>
      <c r="J23" s="1167">
        <f>'[5]Hotel Budka'!$B$15</f>
        <v>0</v>
      </c>
      <c r="K23" s="1172">
        <f t="shared" si="0"/>
        <v>0</v>
      </c>
      <c r="L23" s="1167"/>
      <c r="M23" s="1167"/>
      <c r="N23" s="1167"/>
      <c r="O23" s="1167"/>
      <c r="P23" s="1167"/>
      <c r="Q23" s="1101"/>
      <c r="R23" s="1141"/>
    </row>
    <row r="24" spans="1:18" ht="14.25" thickBot="1" x14ac:dyDescent="0.3">
      <c r="A24" s="2729" t="s">
        <v>2052</v>
      </c>
      <c r="B24" s="2730" t="s">
        <v>192</v>
      </c>
      <c r="C24" s="2102"/>
      <c r="D24" s="2103"/>
      <c r="E24" s="2103"/>
      <c r="F24" s="2104"/>
      <c r="G24" s="2103"/>
      <c r="H24" s="2105">
        <v>0</v>
      </c>
      <c r="I24" s="2105">
        <v>600000</v>
      </c>
      <c r="J24" s="2105">
        <f>SUM(J22:J23)</f>
        <v>600000</v>
      </c>
      <c r="K24" s="2159">
        <f t="shared" si="0"/>
        <v>0</v>
      </c>
      <c r="L24" s="2105"/>
      <c r="M24" s="2105">
        <f t="shared" ref="M24" si="1">SUM(M22:M23)</f>
        <v>0</v>
      </c>
      <c r="N24" s="2105"/>
      <c r="O24" s="2105"/>
      <c r="P24" s="2105"/>
      <c r="Q24" s="1140">
        <f>'Výdaje kapitol celkem'!L69</f>
        <v>600000</v>
      </c>
      <c r="R24" s="1141">
        <f>+Q24-J24</f>
        <v>0</v>
      </c>
    </row>
    <row r="25" spans="1:18" outlineLevel="1" x14ac:dyDescent="0.25">
      <c r="A25" s="1142"/>
      <c r="B25" s="1127" t="s">
        <v>1261</v>
      </c>
      <c r="C25" s="1119" t="s">
        <v>1616</v>
      </c>
      <c r="D25" s="1128"/>
      <c r="E25" s="1128"/>
      <c r="F25" s="1129"/>
      <c r="G25" s="1128" t="s">
        <v>640</v>
      </c>
      <c r="H25" s="1130">
        <v>500000</v>
      </c>
      <c r="I25" s="1130">
        <v>500000</v>
      </c>
      <c r="J25" s="1130">
        <f>'[5]Hotel Budka'!$B$11</f>
        <v>500000</v>
      </c>
      <c r="K25" s="1131">
        <f t="shared" si="0"/>
        <v>0</v>
      </c>
      <c r="L25" s="1131"/>
      <c r="M25" s="1131"/>
      <c r="N25" s="1131"/>
      <c r="O25" s="1131"/>
      <c r="P25" s="1131"/>
      <c r="Q25" s="1101"/>
      <c r="R25" s="1141"/>
    </row>
    <row r="26" spans="1:18" ht="14.25" outlineLevel="1" thickBot="1" x14ac:dyDescent="0.3">
      <c r="A26" s="1143" t="s">
        <v>1262</v>
      </c>
      <c r="B26" s="1168" t="s">
        <v>1261</v>
      </c>
      <c r="C26" s="1169" t="s">
        <v>1617</v>
      </c>
      <c r="D26" s="1170"/>
      <c r="E26" s="1170"/>
      <c r="F26" s="1171"/>
      <c r="G26" s="1170" t="s">
        <v>640</v>
      </c>
      <c r="H26" s="1167">
        <v>0</v>
      </c>
      <c r="I26" s="1167">
        <v>0</v>
      </c>
      <c r="J26" s="1167">
        <f>'[5]Hotel Budka'!$B$15</f>
        <v>0</v>
      </c>
      <c r="K26" s="1172">
        <f t="shared" si="0"/>
        <v>0</v>
      </c>
      <c r="L26" s="1167"/>
      <c r="M26" s="1167"/>
      <c r="N26" s="1167"/>
      <c r="O26" s="1167"/>
      <c r="P26" s="1167"/>
      <c r="Q26" s="1101"/>
      <c r="R26" s="1141"/>
    </row>
    <row r="27" spans="1:18" ht="14.25" thickBot="1" x14ac:dyDescent="0.3">
      <c r="A27" s="2729" t="s">
        <v>1451</v>
      </c>
      <c r="B27" s="2730" t="s">
        <v>192</v>
      </c>
      <c r="C27" s="2102"/>
      <c r="D27" s="2103"/>
      <c r="E27" s="2103"/>
      <c r="F27" s="2104"/>
      <c r="G27" s="2103"/>
      <c r="H27" s="2105">
        <v>500000</v>
      </c>
      <c r="I27" s="2105">
        <v>500000</v>
      </c>
      <c r="J27" s="2105">
        <f>SUM(J25:J26)</f>
        <v>500000</v>
      </c>
      <c r="K27" s="2159">
        <f t="shared" si="0"/>
        <v>0</v>
      </c>
      <c r="L27" s="2105"/>
      <c r="M27" s="2105">
        <f t="shared" ref="M27" si="2">SUM(M25:M26)</f>
        <v>0</v>
      </c>
      <c r="N27" s="2105"/>
      <c r="O27" s="2105"/>
      <c r="P27" s="2105"/>
      <c r="Q27" s="1140">
        <f>'Výdaje kapitol celkem'!X69</f>
        <v>500000</v>
      </c>
      <c r="R27" s="1141">
        <f>+Q27-J27</f>
        <v>0</v>
      </c>
    </row>
    <row r="28" spans="1:18" hidden="1" outlineLevel="1" x14ac:dyDescent="0.25">
      <c r="A28" s="1142"/>
      <c r="B28" s="1127" t="s">
        <v>192</v>
      </c>
      <c r="C28" s="1119"/>
      <c r="D28" s="1128"/>
      <c r="E28" s="1128"/>
      <c r="F28" s="1129"/>
      <c r="G28" s="1128" t="s">
        <v>640</v>
      </c>
      <c r="H28" s="1130"/>
      <c r="I28" s="1130"/>
      <c r="J28" s="1130"/>
      <c r="K28" s="1131">
        <f t="shared" si="0"/>
        <v>0</v>
      </c>
      <c r="L28" s="1130"/>
      <c r="M28" s="1130"/>
      <c r="N28" s="1130"/>
      <c r="O28" s="1130"/>
      <c r="P28" s="1130"/>
      <c r="Q28" s="1101"/>
      <c r="R28" s="1141"/>
    </row>
    <row r="29" spans="1:18" ht="14.25" hidden="1" outlineLevel="1" thickBot="1" x14ac:dyDescent="0.3">
      <c r="A29" s="1143">
        <v>3314</v>
      </c>
      <c r="B29" s="1168" t="s">
        <v>192</v>
      </c>
      <c r="C29" s="1169"/>
      <c r="D29" s="1170"/>
      <c r="E29" s="1170"/>
      <c r="F29" s="1171"/>
      <c r="G29" s="1170" t="s">
        <v>640</v>
      </c>
      <c r="H29" s="1167"/>
      <c r="I29" s="1167"/>
      <c r="J29" s="1167"/>
      <c r="K29" s="1172">
        <f t="shared" si="0"/>
        <v>0</v>
      </c>
      <c r="L29" s="1167"/>
      <c r="M29" s="1167"/>
      <c r="N29" s="1167"/>
      <c r="O29" s="1167"/>
      <c r="P29" s="1167"/>
      <c r="Q29" s="1101"/>
      <c r="R29" s="1141"/>
    </row>
    <row r="30" spans="1:18" ht="14.25" hidden="1" collapsed="1" thickBot="1" x14ac:dyDescent="0.3">
      <c r="A30" s="2729" t="s">
        <v>2015</v>
      </c>
      <c r="B30" s="2730" t="s">
        <v>192</v>
      </c>
      <c r="C30" s="2102"/>
      <c r="D30" s="2103"/>
      <c r="E30" s="2103"/>
      <c r="F30" s="2104"/>
      <c r="G30" s="2103"/>
      <c r="H30" s="2105">
        <v>0</v>
      </c>
      <c r="I30" s="2105">
        <v>0</v>
      </c>
      <c r="J30" s="2105">
        <f>SUM(J28:J29)</f>
        <v>0</v>
      </c>
      <c r="K30" s="2159">
        <f t="shared" si="0"/>
        <v>0</v>
      </c>
      <c r="L30" s="2105"/>
      <c r="M30" s="2105">
        <f t="shared" ref="M30" si="3">SUM(M28:M29)</f>
        <v>0</v>
      </c>
      <c r="N30" s="2105"/>
      <c r="O30" s="2105"/>
      <c r="P30" s="2105"/>
      <c r="Q30" s="1140">
        <f>'Výdaje kapitol celkem'!Y69</f>
        <v>0</v>
      </c>
      <c r="R30" s="1141">
        <f>+Q30-J30</f>
        <v>0</v>
      </c>
    </row>
    <row r="31" spans="1:18" s="1181" customFormat="1" outlineLevel="1" x14ac:dyDescent="0.25">
      <c r="A31" s="1175"/>
      <c r="B31" s="1176" t="s">
        <v>139</v>
      </c>
      <c r="C31" s="1177" t="s">
        <v>1615</v>
      </c>
      <c r="D31" s="1178"/>
      <c r="E31" s="1178"/>
      <c r="F31" s="1179"/>
      <c r="G31" s="1178" t="s">
        <v>640</v>
      </c>
      <c r="H31" s="2011">
        <v>0</v>
      </c>
      <c r="I31" s="2011">
        <v>0</v>
      </c>
      <c r="J31" s="2011">
        <f>[5]Byty!$B$8</f>
        <v>0</v>
      </c>
      <c r="K31" s="2156">
        <f t="shared" si="0"/>
        <v>0</v>
      </c>
      <c r="L31" s="2011"/>
      <c r="M31" s="2011"/>
      <c r="N31" s="2011"/>
      <c r="O31" s="2011"/>
      <c r="P31" s="2011"/>
      <c r="Q31" s="1101"/>
      <c r="R31" s="1141"/>
    </row>
    <row r="32" spans="1:18" s="1181" customFormat="1" hidden="1" outlineLevel="1" x14ac:dyDescent="0.25">
      <c r="A32" s="1175"/>
      <c r="B32" s="1127" t="s">
        <v>139</v>
      </c>
      <c r="C32" s="1177" t="s">
        <v>1614</v>
      </c>
      <c r="D32" s="1178"/>
      <c r="E32" s="1178"/>
      <c r="F32" s="1179"/>
      <c r="G32" s="1178" t="s">
        <v>640</v>
      </c>
      <c r="H32" s="2011">
        <v>0</v>
      </c>
      <c r="I32" s="2011">
        <v>0</v>
      </c>
      <c r="J32" s="2011">
        <f>[5]Byty!$B$9</f>
        <v>0</v>
      </c>
      <c r="K32" s="2156">
        <f t="shared" si="0"/>
        <v>0</v>
      </c>
      <c r="L32" s="2011"/>
      <c r="M32" s="2011"/>
      <c r="N32" s="2011"/>
      <c r="O32" s="2011"/>
      <c r="P32" s="2011"/>
      <c r="Q32" s="1100"/>
      <c r="R32" s="1141"/>
    </row>
    <row r="33" spans="1:18" s="1181" customFormat="1" ht="27" outlineLevel="1" x14ac:dyDescent="0.25">
      <c r="A33" s="1175"/>
      <c r="B33" s="1127" t="s">
        <v>139</v>
      </c>
      <c r="C33" s="1177" t="s">
        <v>1613</v>
      </c>
      <c r="D33" s="1178"/>
      <c r="E33" s="1178"/>
      <c r="F33" s="1179"/>
      <c r="G33" s="1178" t="s">
        <v>640</v>
      </c>
      <c r="H33" s="2011">
        <v>2400000</v>
      </c>
      <c r="I33" s="2011">
        <v>2400000</v>
      </c>
      <c r="J33" s="2011">
        <f>[5]Byty!$B$33</f>
        <v>2400000</v>
      </c>
      <c r="K33" s="2156">
        <f t="shared" si="0"/>
        <v>0</v>
      </c>
      <c r="L33" s="2011"/>
      <c r="M33" s="2011"/>
      <c r="N33" s="2011"/>
      <c r="O33" s="2011"/>
      <c r="P33" s="1896"/>
      <c r="Q33" s="1100"/>
      <c r="R33" s="1141"/>
    </row>
    <row r="34" spans="1:18" s="1181" customFormat="1" hidden="1" outlineLevel="1" x14ac:dyDescent="0.25">
      <c r="A34" s="1175"/>
      <c r="B34" s="1127" t="s">
        <v>139</v>
      </c>
      <c r="C34" s="1177"/>
      <c r="D34" s="1178"/>
      <c r="E34" s="1178"/>
      <c r="F34" s="1179"/>
      <c r="G34" s="1178" t="s">
        <v>640</v>
      </c>
      <c r="H34" s="2011"/>
      <c r="I34" s="2011"/>
      <c r="J34" s="2011"/>
      <c r="K34" s="2156">
        <f t="shared" si="0"/>
        <v>0</v>
      </c>
      <c r="L34" s="2011"/>
      <c r="M34" s="2011"/>
      <c r="N34" s="2011"/>
      <c r="O34" s="2011"/>
      <c r="P34" s="2011"/>
      <c r="Q34" s="1100"/>
      <c r="R34" s="1141"/>
    </row>
    <row r="35" spans="1:18" s="1181" customFormat="1" ht="14.25" outlineLevel="1" thickBot="1" x14ac:dyDescent="0.3">
      <c r="A35" s="1143">
        <v>3612</v>
      </c>
      <c r="B35" s="1176" t="s">
        <v>139</v>
      </c>
      <c r="C35" s="1182"/>
      <c r="D35" s="1183"/>
      <c r="E35" s="1183"/>
      <c r="F35" s="1184"/>
      <c r="G35" s="1183" t="s">
        <v>640</v>
      </c>
      <c r="H35" s="2012"/>
      <c r="I35" s="2012"/>
      <c r="J35" s="2012"/>
      <c r="K35" s="2161">
        <f t="shared" si="0"/>
        <v>0</v>
      </c>
      <c r="L35" s="2012"/>
      <c r="M35" s="2012"/>
      <c r="N35" s="2012"/>
      <c r="O35" s="2012"/>
      <c r="P35" s="2012"/>
      <c r="Q35" s="1100"/>
      <c r="R35" s="1141"/>
    </row>
    <row r="36" spans="1:18" ht="14.25" thickBot="1" x14ac:dyDescent="0.3">
      <c r="A36" s="2729" t="s">
        <v>625</v>
      </c>
      <c r="B36" s="2730"/>
      <c r="C36" s="2102"/>
      <c r="D36" s="2103"/>
      <c r="E36" s="2103"/>
      <c r="F36" s="2104"/>
      <c r="G36" s="2103"/>
      <c r="H36" s="2105">
        <v>2400000</v>
      </c>
      <c r="I36" s="2105">
        <v>2400000</v>
      </c>
      <c r="J36" s="2105">
        <f>SUM(J32:J35)</f>
        <v>2400000</v>
      </c>
      <c r="K36" s="2159">
        <f t="shared" si="0"/>
        <v>0</v>
      </c>
      <c r="L36" s="2105"/>
      <c r="M36" s="2105">
        <f>SUM(M31:M35)</f>
        <v>0</v>
      </c>
      <c r="N36" s="2105"/>
      <c r="O36" s="2105"/>
      <c r="P36" s="2105"/>
      <c r="Q36" s="1140">
        <f>'Výdaje kapitol celkem'!AB69</f>
        <v>2400000</v>
      </c>
      <c r="R36" s="1141">
        <f>+Q36-J36</f>
        <v>0</v>
      </c>
    </row>
    <row r="37" spans="1:18" s="1181" customFormat="1" outlineLevel="1" x14ac:dyDescent="0.25">
      <c r="A37" s="1175"/>
      <c r="B37" s="1127" t="s">
        <v>141</v>
      </c>
      <c r="C37" s="1177" t="s">
        <v>1621</v>
      </c>
      <c r="D37" s="1178"/>
      <c r="E37" s="1178"/>
      <c r="F37" s="1179"/>
      <c r="G37" s="1178" t="s">
        <v>640</v>
      </c>
      <c r="H37" s="2011">
        <v>30000</v>
      </c>
      <c r="I37" s="2011">
        <v>30000</v>
      </c>
      <c r="J37" s="2011">
        <f>[5]Nebyty!$B$20</f>
        <v>30000</v>
      </c>
      <c r="K37" s="2156">
        <f t="shared" si="0"/>
        <v>0</v>
      </c>
      <c r="L37" s="2011"/>
      <c r="M37" s="2011"/>
      <c r="N37" s="2011"/>
      <c r="O37" s="2011"/>
      <c r="P37" s="2011"/>
      <c r="Q37" s="1101"/>
      <c r="R37" s="1141"/>
    </row>
    <row r="38" spans="1:18" s="1181" customFormat="1" ht="15" hidden="1" customHeight="1" outlineLevel="1" x14ac:dyDescent="0.25">
      <c r="A38" s="1175"/>
      <c r="B38" s="1176" t="s">
        <v>141</v>
      </c>
      <c r="C38" s="1881" t="s">
        <v>1618</v>
      </c>
      <c r="D38" s="1183"/>
      <c r="E38" s="1183"/>
      <c r="F38" s="1184"/>
      <c r="G38" s="1183" t="s">
        <v>640</v>
      </c>
      <c r="H38" s="2012">
        <v>0</v>
      </c>
      <c r="I38" s="2012">
        <v>0</v>
      </c>
      <c r="J38" s="2012">
        <f>[5]Nebyty!$B$9</f>
        <v>0</v>
      </c>
      <c r="K38" s="2161">
        <f t="shared" si="0"/>
        <v>0</v>
      </c>
      <c r="L38" s="2012"/>
      <c r="M38" s="2012"/>
      <c r="N38" s="2012"/>
      <c r="O38" s="2012"/>
      <c r="P38" s="2012"/>
      <c r="Q38" s="1101"/>
      <c r="R38" s="1141"/>
    </row>
    <row r="39" spans="1:18" s="1181" customFormat="1" ht="15" customHeight="1" outlineLevel="1" x14ac:dyDescent="0.25">
      <c r="A39" s="1175"/>
      <c r="B39" s="1127" t="s">
        <v>141</v>
      </c>
      <c r="C39" s="1190" t="s">
        <v>1620</v>
      </c>
      <c r="D39" s="1178"/>
      <c r="E39" s="1178"/>
      <c r="F39" s="1179"/>
      <c r="G39" s="1178" t="s">
        <v>640</v>
      </c>
      <c r="H39" s="2011">
        <v>30000</v>
      </c>
      <c r="I39" s="2011">
        <v>30000</v>
      </c>
      <c r="J39" s="2011">
        <f>[5]Nebyty!$B$35</f>
        <v>30000</v>
      </c>
      <c r="K39" s="2156">
        <f t="shared" si="0"/>
        <v>0</v>
      </c>
      <c r="L39" s="2011"/>
      <c r="M39" s="2011"/>
      <c r="N39" s="2011"/>
      <c r="O39" s="2011"/>
      <c r="P39" s="2011"/>
      <c r="Q39" s="1101"/>
      <c r="R39" s="1141"/>
    </row>
    <row r="40" spans="1:18" s="1181" customFormat="1" ht="15" hidden="1" customHeight="1" outlineLevel="1" x14ac:dyDescent="0.25">
      <c r="A40" s="1175"/>
      <c r="B40" s="1127" t="s">
        <v>141</v>
      </c>
      <c r="C40" s="1190" t="s">
        <v>1619</v>
      </c>
      <c r="D40" s="1178"/>
      <c r="E40" s="1178"/>
      <c r="F40" s="1179"/>
      <c r="G40" s="1178" t="s">
        <v>640</v>
      </c>
      <c r="H40" s="2011">
        <v>0</v>
      </c>
      <c r="I40" s="2011">
        <v>0</v>
      </c>
      <c r="J40" s="2011">
        <f>[5]Nebyty!$B$25</f>
        <v>0</v>
      </c>
      <c r="K40" s="2156">
        <f t="shared" si="0"/>
        <v>0</v>
      </c>
      <c r="L40" s="2011"/>
      <c r="M40" s="2011"/>
      <c r="N40" s="2011"/>
      <c r="O40" s="2011"/>
      <c r="P40" s="2011"/>
      <c r="Q40" s="1101"/>
      <c r="R40" s="1141"/>
    </row>
    <row r="41" spans="1:18" s="1181" customFormat="1" hidden="1" outlineLevel="1" x14ac:dyDescent="0.25">
      <c r="A41" s="1143"/>
      <c r="B41" s="1127" t="s">
        <v>141</v>
      </c>
      <c r="C41" s="1190" t="s">
        <v>1622</v>
      </c>
      <c r="D41" s="1178"/>
      <c r="E41" s="1178"/>
      <c r="F41" s="1179"/>
      <c r="G41" s="1178" t="s">
        <v>640</v>
      </c>
      <c r="H41" s="2011">
        <v>0</v>
      </c>
      <c r="I41" s="2011">
        <v>0</v>
      </c>
      <c r="J41" s="2011">
        <f>[5]Nebyty!$B$40</f>
        <v>0</v>
      </c>
      <c r="K41" s="2156">
        <f t="shared" si="0"/>
        <v>0</v>
      </c>
      <c r="L41" s="2011"/>
      <c r="M41" s="2011"/>
      <c r="N41" s="2011"/>
      <c r="O41" s="2011"/>
      <c r="P41" s="2011"/>
      <c r="Q41" s="1101"/>
      <c r="R41" s="1141"/>
    </row>
    <row r="42" spans="1:18" s="1181" customFormat="1" ht="15" hidden="1" customHeight="1" outlineLevel="1" x14ac:dyDescent="0.25">
      <c r="A42" s="1175"/>
      <c r="B42" s="1127" t="s">
        <v>141</v>
      </c>
      <c r="C42" s="1190" t="s">
        <v>1623</v>
      </c>
      <c r="D42" s="1178"/>
      <c r="E42" s="1178"/>
      <c r="F42" s="1179"/>
      <c r="G42" s="1178" t="s">
        <v>640</v>
      </c>
      <c r="H42" s="2011">
        <v>0</v>
      </c>
      <c r="I42" s="2011">
        <v>0</v>
      </c>
      <c r="J42" s="2011">
        <f>[5]Nebyty!$B$41</f>
        <v>0</v>
      </c>
      <c r="K42" s="2156">
        <f t="shared" si="0"/>
        <v>0</v>
      </c>
      <c r="L42" s="2011"/>
      <c r="M42" s="2011"/>
      <c r="N42" s="2011"/>
      <c r="O42" s="2011"/>
      <c r="P42" s="2011"/>
      <c r="Q42" s="1101"/>
      <c r="R42" s="1141"/>
    </row>
    <row r="43" spans="1:18" s="1181" customFormat="1" ht="15" hidden="1" customHeight="1" outlineLevel="1" x14ac:dyDescent="0.25">
      <c r="A43" s="1175"/>
      <c r="B43" s="1127" t="s">
        <v>141</v>
      </c>
      <c r="C43" s="1190" t="s">
        <v>1615</v>
      </c>
      <c r="D43" s="1178"/>
      <c r="E43" s="1178"/>
      <c r="F43" s="1179"/>
      <c r="G43" s="1178" t="s">
        <v>640</v>
      </c>
      <c r="H43" s="2011">
        <v>0</v>
      </c>
      <c r="I43" s="2011">
        <v>0</v>
      </c>
      <c r="J43" s="2011">
        <f>[5]Nebyty!$B$51</f>
        <v>0</v>
      </c>
      <c r="K43" s="2156">
        <f t="shared" si="0"/>
        <v>0</v>
      </c>
      <c r="L43" s="2011"/>
      <c r="M43" s="2011"/>
      <c r="N43" s="2011"/>
      <c r="O43" s="2011"/>
      <c r="P43" s="2011"/>
      <c r="Q43" s="1101"/>
      <c r="R43" s="1141"/>
    </row>
    <row r="44" spans="1:18" s="1181" customFormat="1" ht="15" hidden="1" customHeight="1" outlineLevel="1" x14ac:dyDescent="0.25">
      <c r="A44" s="1175"/>
      <c r="B44" s="1127" t="s">
        <v>141</v>
      </c>
      <c r="C44" s="1190" t="s">
        <v>1624</v>
      </c>
      <c r="D44" s="1178"/>
      <c r="E44" s="1178"/>
      <c r="F44" s="1179"/>
      <c r="G44" s="1178" t="s">
        <v>640</v>
      </c>
      <c r="H44" s="2011">
        <v>0</v>
      </c>
      <c r="I44" s="2011">
        <v>0</v>
      </c>
      <c r="J44" s="2011">
        <f>[5]Nebyty!$B$52</f>
        <v>0</v>
      </c>
      <c r="K44" s="2156">
        <f t="shared" si="0"/>
        <v>0</v>
      </c>
      <c r="L44" s="2011"/>
      <c r="M44" s="2011"/>
      <c r="N44" s="2011"/>
      <c r="O44" s="2011"/>
      <c r="P44" s="2011"/>
      <c r="Q44" s="1101"/>
      <c r="R44" s="1141"/>
    </row>
    <row r="45" spans="1:18" s="1181" customFormat="1" ht="15" customHeight="1" outlineLevel="1" x14ac:dyDescent="0.25">
      <c r="A45" s="1175"/>
      <c r="B45" s="1127" t="s">
        <v>141</v>
      </c>
      <c r="C45" s="1190" t="s">
        <v>1625</v>
      </c>
      <c r="D45" s="1178"/>
      <c r="E45" s="1178"/>
      <c r="F45" s="1179"/>
      <c r="G45" s="1178" t="s">
        <v>640</v>
      </c>
      <c r="H45" s="2011">
        <v>700000</v>
      </c>
      <c r="I45" s="2011">
        <v>0</v>
      </c>
      <c r="J45" s="2156">
        <f>[5]Nebyty!$B$66</f>
        <v>0</v>
      </c>
      <c r="K45" s="2156">
        <f t="shared" si="0"/>
        <v>0</v>
      </c>
      <c r="L45" s="2156"/>
      <c r="M45" s="2156"/>
      <c r="N45" s="2156"/>
      <c r="O45" s="2156"/>
      <c r="P45" s="1896"/>
      <c r="Q45" s="1101"/>
      <c r="R45" s="1141"/>
    </row>
    <row r="46" spans="1:18" s="1181" customFormat="1" ht="15" hidden="1" customHeight="1" outlineLevel="1" x14ac:dyDescent="0.25">
      <c r="A46" s="1175"/>
      <c r="B46" s="1127" t="s">
        <v>141</v>
      </c>
      <c r="C46" s="1190" t="s">
        <v>1626</v>
      </c>
      <c r="D46" s="1178"/>
      <c r="E46" s="1178"/>
      <c r="F46" s="1179"/>
      <c r="G46" s="1178" t="s">
        <v>640</v>
      </c>
      <c r="H46" s="2011">
        <v>0</v>
      </c>
      <c r="I46" s="2011">
        <v>0</v>
      </c>
      <c r="J46" s="2011">
        <f>[5]Nebyty!$B$67</f>
        <v>0</v>
      </c>
      <c r="K46" s="2156">
        <f t="shared" si="0"/>
        <v>0</v>
      </c>
      <c r="L46" s="2011"/>
      <c r="M46" s="2011"/>
      <c r="N46" s="2011"/>
      <c r="O46" s="2011"/>
      <c r="P46" s="2011"/>
      <c r="Q46" s="1101"/>
      <c r="R46" s="1141"/>
    </row>
    <row r="47" spans="1:18" s="1181" customFormat="1" ht="15" hidden="1" customHeight="1" outlineLevel="1" x14ac:dyDescent="0.25">
      <c r="A47" s="1175"/>
      <c r="B47" s="1176" t="s">
        <v>141</v>
      </c>
      <c r="C47" s="1881" t="s">
        <v>1627</v>
      </c>
      <c r="D47" s="1183"/>
      <c r="E47" s="1183"/>
      <c r="F47" s="1184"/>
      <c r="G47" s="1183" t="s">
        <v>640</v>
      </c>
      <c r="H47" s="2012">
        <v>0</v>
      </c>
      <c r="I47" s="2012">
        <v>0</v>
      </c>
      <c r="J47" s="2012">
        <f>[5]Nebyty!$B$77</f>
        <v>0</v>
      </c>
      <c r="K47" s="2161">
        <f t="shared" si="0"/>
        <v>0</v>
      </c>
      <c r="L47" s="2012"/>
      <c r="M47" s="2012"/>
      <c r="N47" s="2012"/>
      <c r="O47" s="2012"/>
      <c r="P47" s="2012"/>
      <c r="Q47" s="1101"/>
      <c r="R47" s="1141"/>
    </row>
    <row r="48" spans="1:18" s="1181" customFormat="1" ht="15" hidden="1" customHeight="1" outlineLevel="1" x14ac:dyDescent="0.25">
      <c r="A48" s="1175"/>
      <c r="B48" s="1176" t="s">
        <v>141</v>
      </c>
      <c r="C48" s="1881" t="s">
        <v>1628</v>
      </c>
      <c r="D48" s="1183"/>
      <c r="E48" s="1183"/>
      <c r="F48" s="1184"/>
      <c r="G48" s="1183" t="s">
        <v>640</v>
      </c>
      <c r="H48" s="2012">
        <v>0</v>
      </c>
      <c r="I48" s="2012">
        <v>0</v>
      </c>
      <c r="J48" s="2012">
        <f>[5]Nebyty!$B$78</f>
        <v>0</v>
      </c>
      <c r="K48" s="2161">
        <f t="shared" si="0"/>
        <v>0</v>
      </c>
      <c r="L48" s="2012"/>
      <c r="M48" s="2012"/>
      <c r="N48" s="2012"/>
      <c r="O48" s="2012"/>
      <c r="P48" s="2012"/>
      <c r="Q48" s="1101"/>
      <c r="R48" s="1141"/>
    </row>
    <row r="49" spans="1:18" s="1181" customFormat="1" ht="15" hidden="1" customHeight="1" outlineLevel="1" x14ac:dyDescent="0.25">
      <c r="A49" s="1175"/>
      <c r="B49" s="1176" t="s">
        <v>141</v>
      </c>
      <c r="C49" s="1881" t="s">
        <v>1629</v>
      </c>
      <c r="D49" s="1183"/>
      <c r="E49" s="1183"/>
      <c r="F49" s="1184"/>
      <c r="G49" s="1183" t="s">
        <v>640</v>
      </c>
      <c r="H49" s="2012">
        <v>0</v>
      </c>
      <c r="I49" s="2012">
        <v>0</v>
      </c>
      <c r="J49" s="2012">
        <f>[5]Nebyty!$B$88</f>
        <v>0</v>
      </c>
      <c r="K49" s="2161">
        <f t="shared" si="0"/>
        <v>0</v>
      </c>
      <c r="L49" s="2012"/>
      <c r="M49" s="2012"/>
      <c r="N49" s="2012"/>
      <c r="O49" s="2012"/>
      <c r="P49" s="2012"/>
      <c r="Q49" s="1101"/>
      <c r="R49" s="1141"/>
    </row>
    <row r="50" spans="1:18" s="1181" customFormat="1" ht="15" hidden="1" customHeight="1" outlineLevel="1" x14ac:dyDescent="0.25">
      <c r="A50" s="1175"/>
      <c r="B50" s="1176" t="s">
        <v>141</v>
      </c>
      <c r="C50" s="1881" t="s">
        <v>1630</v>
      </c>
      <c r="D50" s="1183"/>
      <c r="E50" s="1183"/>
      <c r="F50" s="1184"/>
      <c r="G50" s="1183" t="s">
        <v>640</v>
      </c>
      <c r="H50" s="2012">
        <v>0</v>
      </c>
      <c r="I50" s="2012">
        <v>0</v>
      </c>
      <c r="J50" s="2012">
        <f>[5]Nebyty!$B$89</f>
        <v>0</v>
      </c>
      <c r="K50" s="2161">
        <f t="shared" si="0"/>
        <v>0</v>
      </c>
      <c r="L50" s="2012"/>
      <c r="M50" s="2012"/>
      <c r="N50" s="2012"/>
      <c r="O50" s="2012"/>
      <c r="P50" s="2012"/>
      <c r="Q50" s="1101"/>
      <c r="R50" s="1141"/>
    </row>
    <row r="51" spans="1:18" s="1181" customFormat="1" ht="15" hidden="1" customHeight="1" outlineLevel="1" x14ac:dyDescent="0.25">
      <c r="A51" s="1175"/>
      <c r="B51" s="1176" t="s">
        <v>141</v>
      </c>
      <c r="C51" s="1881" t="s">
        <v>1726</v>
      </c>
      <c r="D51" s="1183"/>
      <c r="E51" s="1183"/>
      <c r="F51" s="1184"/>
      <c r="G51" s="1183" t="s">
        <v>640</v>
      </c>
      <c r="H51" s="2012">
        <v>0</v>
      </c>
      <c r="I51" s="2012">
        <v>0</v>
      </c>
      <c r="J51" s="2012">
        <f>[3]Nebyty!$B$23</f>
        <v>0</v>
      </c>
      <c r="K51" s="2161">
        <f t="shared" si="0"/>
        <v>0</v>
      </c>
      <c r="L51" s="2012"/>
      <c r="M51" s="2012"/>
      <c r="N51" s="2012"/>
      <c r="O51" s="2012"/>
      <c r="P51" s="2012"/>
      <c r="Q51" s="1101"/>
      <c r="R51" s="1141"/>
    </row>
    <row r="52" spans="1:18" s="1181" customFormat="1" ht="15" customHeight="1" outlineLevel="1" thickBot="1" x14ac:dyDescent="0.3">
      <c r="A52" s="1175"/>
      <c r="B52" s="1168" t="s">
        <v>141</v>
      </c>
      <c r="C52" s="1191" t="s">
        <v>1727</v>
      </c>
      <c r="D52" s="1192"/>
      <c r="E52" s="1192"/>
      <c r="F52" s="1193"/>
      <c r="G52" s="1192"/>
      <c r="H52" s="2013">
        <v>0</v>
      </c>
      <c r="I52" s="2013">
        <v>0</v>
      </c>
      <c r="J52" s="2013">
        <f>[3]Nebyty!$B$24</f>
        <v>0</v>
      </c>
      <c r="K52" s="2162">
        <f t="shared" si="0"/>
        <v>0</v>
      </c>
      <c r="L52" s="2013"/>
      <c r="M52" s="2013"/>
      <c r="N52" s="2013"/>
      <c r="O52" s="2013"/>
      <c r="P52" s="2012"/>
      <c r="Q52" s="1101"/>
      <c r="R52" s="1141"/>
    </row>
    <row r="53" spans="1:18" ht="14.25" thickBot="1" x14ac:dyDescent="0.3">
      <c r="A53" s="2729" t="s">
        <v>1231</v>
      </c>
      <c r="B53" s="2730"/>
      <c r="C53" s="2102"/>
      <c r="D53" s="2103"/>
      <c r="E53" s="2103"/>
      <c r="F53" s="2104"/>
      <c r="G53" s="2103"/>
      <c r="H53" s="2105">
        <v>760000</v>
      </c>
      <c r="I53" s="2105">
        <v>60000</v>
      </c>
      <c r="J53" s="2105">
        <f>SUM(J37:J52)</f>
        <v>60000</v>
      </c>
      <c r="K53" s="2159">
        <f t="shared" si="0"/>
        <v>0</v>
      </c>
      <c r="L53" s="2105"/>
      <c r="M53" s="2105">
        <f>SUM(M37:M46)</f>
        <v>0</v>
      </c>
      <c r="N53" s="2105"/>
      <c r="O53" s="2105"/>
      <c r="P53" s="2105"/>
      <c r="Q53" s="1140">
        <f>'Výdaje kapitol celkem'!AH69</f>
        <v>60000</v>
      </c>
      <c r="R53" s="1141">
        <f>+Q53-J53</f>
        <v>0</v>
      </c>
    </row>
    <row r="54" spans="1:18" s="1181" customFormat="1" ht="15" hidden="1" customHeight="1" outlineLevel="1" x14ac:dyDescent="0.25">
      <c r="A54" s="1175"/>
      <c r="B54" s="1127" t="s">
        <v>140</v>
      </c>
      <c r="C54" s="1190"/>
      <c r="D54" s="1178"/>
      <c r="E54" s="1178"/>
      <c r="F54" s="1179"/>
      <c r="G54" s="1178" t="s">
        <v>640</v>
      </c>
      <c r="H54" s="2011"/>
      <c r="I54" s="2011"/>
      <c r="J54" s="2011"/>
      <c r="K54" s="2156">
        <f t="shared" si="0"/>
        <v>0</v>
      </c>
      <c r="L54" s="2011"/>
      <c r="M54" s="2011"/>
      <c r="N54" s="2011"/>
      <c r="O54" s="2011"/>
      <c r="P54" s="2011"/>
      <c r="Q54" s="1101"/>
      <c r="R54" s="1141"/>
    </row>
    <row r="55" spans="1:18" s="1181" customFormat="1" ht="15" hidden="1" customHeight="1" outlineLevel="1" x14ac:dyDescent="0.25">
      <c r="A55" s="1175"/>
      <c r="B55" s="1127" t="s">
        <v>140</v>
      </c>
      <c r="C55" s="1190"/>
      <c r="D55" s="1178"/>
      <c r="E55" s="1178"/>
      <c r="F55" s="1179"/>
      <c r="G55" s="1178" t="s">
        <v>640</v>
      </c>
      <c r="H55" s="2011"/>
      <c r="I55" s="2011"/>
      <c r="J55" s="2011"/>
      <c r="K55" s="2156">
        <f t="shared" si="0"/>
        <v>0</v>
      </c>
      <c r="L55" s="2011"/>
      <c r="M55" s="2011"/>
      <c r="N55" s="2011"/>
      <c r="O55" s="2011"/>
      <c r="P55" s="2011"/>
      <c r="Q55" s="1101"/>
      <c r="R55" s="1141"/>
    </row>
    <row r="56" spans="1:18" s="1181" customFormat="1" ht="15" hidden="1" customHeight="1" outlineLevel="1" thickBot="1" x14ac:dyDescent="0.3">
      <c r="A56" s="1144" t="s">
        <v>169</v>
      </c>
      <c r="B56" s="1168" t="s">
        <v>140</v>
      </c>
      <c r="C56" s="1191"/>
      <c r="D56" s="1192"/>
      <c r="E56" s="1192"/>
      <c r="F56" s="1193"/>
      <c r="G56" s="1192" t="s">
        <v>640</v>
      </c>
      <c r="H56" s="2013"/>
      <c r="I56" s="2013"/>
      <c r="J56" s="2013"/>
      <c r="K56" s="2162">
        <f t="shared" si="0"/>
        <v>0</v>
      </c>
      <c r="L56" s="2013"/>
      <c r="M56" s="2013"/>
      <c r="N56" s="2013"/>
      <c r="O56" s="2013"/>
      <c r="P56" s="2013"/>
      <c r="Q56" s="1101"/>
      <c r="R56" s="1141"/>
    </row>
    <row r="57" spans="1:18" ht="14.25" hidden="1" collapsed="1" thickBot="1" x14ac:dyDescent="0.3">
      <c r="A57" s="2729" t="s">
        <v>1197</v>
      </c>
      <c r="B57" s="2730" t="s">
        <v>140</v>
      </c>
      <c r="C57" s="2102"/>
      <c r="D57" s="2103"/>
      <c r="E57" s="2103"/>
      <c r="F57" s="2104"/>
      <c r="G57" s="2103" t="s">
        <v>640</v>
      </c>
      <c r="H57" s="2105">
        <v>0</v>
      </c>
      <c r="I57" s="2105">
        <v>0</v>
      </c>
      <c r="J57" s="2105">
        <f>SUM(J54:J56)</f>
        <v>0</v>
      </c>
      <c r="K57" s="2159">
        <f t="shared" si="0"/>
        <v>0</v>
      </c>
      <c r="L57" s="2105"/>
      <c r="M57" s="2105">
        <f>SUM(M54:M56)</f>
        <v>0</v>
      </c>
      <c r="N57" s="2105"/>
      <c r="O57" s="2105"/>
      <c r="P57" s="2105"/>
      <c r="Q57" s="1140">
        <f>'Výdaje kapitol celkem'!AE69</f>
        <v>0</v>
      </c>
      <c r="R57" s="1141">
        <f>+Q57-J57</f>
        <v>0</v>
      </c>
    </row>
    <row r="58" spans="1:18" s="1181" customFormat="1" hidden="1" outlineLevel="1" x14ac:dyDescent="0.25">
      <c r="A58" s="1143"/>
      <c r="B58" s="1177" t="s">
        <v>710</v>
      </c>
      <c r="C58" s="1177"/>
      <c r="D58" s="1178"/>
      <c r="E58" s="1178"/>
      <c r="F58" s="1179"/>
      <c r="G58" s="1178" t="s">
        <v>640</v>
      </c>
      <c r="H58" s="2011"/>
      <c r="I58" s="2011"/>
      <c r="J58" s="2011"/>
      <c r="K58" s="2156">
        <f t="shared" si="0"/>
        <v>0</v>
      </c>
      <c r="L58" s="2011"/>
      <c r="M58" s="2011"/>
      <c r="N58" s="2011"/>
      <c r="O58" s="2011"/>
      <c r="P58" s="2011"/>
      <c r="Q58" s="1101"/>
      <c r="R58" s="1141"/>
    </row>
    <row r="59" spans="1:18" s="1181" customFormat="1" ht="14.25" hidden="1" outlineLevel="1" thickBot="1" x14ac:dyDescent="0.3">
      <c r="A59" s="1144">
        <v>4351</v>
      </c>
      <c r="B59" s="1194" t="s">
        <v>710</v>
      </c>
      <c r="C59" s="1194"/>
      <c r="D59" s="1192"/>
      <c r="E59" s="1192"/>
      <c r="F59" s="1193"/>
      <c r="G59" s="1196" t="s">
        <v>640</v>
      </c>
      <c r="H59" s="2014"/>
      <c r="I59" s="2014"/>
      <c r="J59" s="2014"/>
      <c r="K59" s="2163">
        <f t="shared" si="0"/>
        <v>0</v>
      </c>
      <c r="L59" s="2014"/>
      <c r="M59" s="2014"/>
      <c r="N59" s="2014"/>
      <c r="O59" s="2014"/>
      <c r="P59" s="2014"/>
      <c r="Q59" s="1101"/>
      <c r="R59" s="1141"/>
    </row>
    <row r="60" spans="1:18" ht="14.45" hidden="1" customHeight="1" collapsed="1" thickBot="1" x14ac:dyDescent="0.3">
      <c r="A60" s="2729" t="s">
        <v>2016</v>
      </c>
      <c r="B60" s="2730"/>
      <c r="C60" s="2102"/>
      <c r="D60" s="2103"/>
      <c r="E60" s="2103"/>
      <c r="F60" s="2104"/>
      <c r="G60" s="2103" t="s">
        <v>640</v>
      </c>
      <c r="H60" s="2105">
        <v>0</v>
      </c>
      <c r="I60" s="2105">
        <v>0</v>
      </c>
      <c r="J60" s="2105">
        <f>SUM(J58:J59)</f>
        <v>0</v>
      </c>
      <c r="K60" s="2159">
        <f t="shared" si="0"/>
        <v>0</v>
      </c>
      <c r="L60" s="2105"/>
      <c r="M60" s="2105">
        <f t="shared" ref="M60" si="4">SUM(M58:M59)</f>
        <v>0</v>
      </c>
      <c r="N60" s="2105"/>
      <c r="O60" s="2105"/>
      <c r="P60" s="2105"/>
      <c r="Q60" s="1140">
        <f>'Výdaje kapitol celkem'!T69</f>
        <v>0</v>
      </c>
      <c r="R60" s="1141">
        <f>+Q60-J60</f>
        <v>0</v>
      </c>
    </row>
    <row r="61" spans="1:18" s="1181" customFormat="1" ht="15" customHeight="1" outlineLevel="1" x14ac:dyDescent="0.25">
      <c r="A61" s="1175"/>
      <c r="B61" s="1127" t="s">
        <v>142</v>
      </c>
      <c r="C61" s="1190" t="s">
        <v>1743</v>
      </c>
      <c r="D61" s="1178"/>
      <c r="E61" s="1178"/>
      <c r="F61" s="1179"/>
      <c r="G61" s="1178" t="s">
        <v>640</v>
      </c>
      <c r="H61" s="2011">
        <v>200000</v>
      </c>
      <c r="I61" s="2011">
        <v>200000</v>
      </c>
      <c r="J61" s="2011">
        <f>[2]Hasiči!$B$83</f>
        <v>200000</v>
      </c>
      <c r="K61" s="2156">
        <f t="shared" si="0"/>
        <v>0</v>
      </c>
      <c r="L61" s="2011"/>
      <c r="M61" s="2011">
        <f>[7]Hasiči!$C$33</f>
        <v>0</v>
      </c>
      <c r="N61" s="2011"/>
      <c r="O61" s="2011"/>
      <c r="P61" s="2011"/>
      <c r="Q61" s="1101"/>
      <c r="R61" s="1141"/>
    </row>
    <row r="62" spans="1:18" s="1181" customFormat="1" ht="15" customHeight="1" outlineLevel="1" x14ac:dyDescent="0.25">
      <c r="A62" s="1175"/>
      <c r="B62" s="2001" t="s">
        <v>142</v>
      </c>
      <c r="C62" s="2001" t="s">
        <v>1728</v>
      </c>
      <c r="D62" s="1999"/>
      <c r="E62" s="1999"/>
      <c r="F62" s="2002"/>
      <c r="G62" s="1999" t="s">
        <v>2017</v>
      </c>
      <c r="H62" s="2015">
        <v>12250000</v>
      </c>
      <c r="I62" s="2015">
        <v>14700000</v>
      </c>
      <c r="J62" s="2015">
        <f>[3]Hasiči!$B$41</f>
        <v>14700000</v>
      </c>
      <c r="K62" s="2164">
        <f t="shared" si="0"/>
        <v>0</v>
      </c>
      <c r="L62" s="2015"/>
      <c r="M62" s="2015">
        <f>[7]Hasiči!$C$40</f>
        <v>0</v>
      </c>
      <c r="N62" s="2015"/>
      <c r="O62" s="2015"/>
      <c r="P62" s="2015"/>
      <c r="Q62" s="1101"/>
      <c r="R62" s="1141"/>
    </row>
    <row r="63" spans="1:18" s="1181" customFormat="1" hidden="1" outlineLevel="1" x14ac:dyDescent="0.25">
      <c r="A63" s="1143"/>
      <c r="B63" s="1182" t="s">
        <v>142</v>
      </c>
      <c r="C63" s="1182"/>
      <c r="D63" s="1183"/>
      <c r="E63" s="1183"/>
      <c r="F63" s="1184"/>
      <c r="G63" s="1183" t="s">
        <v>640</v>
      </c>
      <c r="H63" s="2012"/>
      <c r="I63" s="2012"/>
      <c r="J63" s="2012"/>
      <c r="K63" s="2161">
        <f t="shared" si="0"/>
        <v>0</v>
      </c>
      <c r="L63" s="2012"/>
      <c r="M63" s="2012"/>
      <c r="N63" s="2012"/>
      <c r="O63" s="2012"/>
      <c r="P63" s="2012"/>
      <c r="Q63" s="1101"/>
      <c r="R63" s="1141"/>
    </row>
    <row r="64" spans="1:18" s="1181" customFormat="1" ht="14.25" outlineLevel="1" thickBot="1" x14ac:dyDescent="0.3">
      <c r="A64" s="1144">
        <v>5512</v>
      </c>
      <c r="B64" s="1182" t="s">
        <v>142</v>
      </c>
      <c r="C64" s="1182"/>
      <c r="D64" s="1183"/>
      <c r="E64" s="1183"/>
      <c r="F64" s="1184"/>
      <c r="G64" s="1183" t="s">
        <v>640</v>
      </c>
      <c r="H64" s="2012"/>
      <c r="I64" s="2012"/>
      <c r="J64" s="2012"/>
      <c r="K64" s="2161">
        <f t="shared" si="0"/>
        <v>0</v>
      </c>
      <c r="L64" s="2012"/>
      <c r="M64" s="2012"/>
      <c r="N64" s="2012"/>
      <c r="O64" s="2012"/>
      <c r="P64" s="2012"/>
      <c r="Q64" s="1101"/>
      <c r="R64" s="1141"/>
    </row>
    <row r="65" spans="1:18" ht="14.25" thickBot="1" x14ac:dyDescent="0.3">
      <c r="A65" s="2729" t="s">
        <v>647</v>
      </c>
      <c r="B65" s="2730"/>
      <c r="C65" s="2102"/>
      <c r="D65" s="2103"/>
      <c r="E65" s="2103"/>
      <c r="F65" s="2104"/>
      <c r="G65" s="2103" t="s">
        <v>640</v>
      </c>
      <c r="H65" s="2105">
        <v>12450000</v>
      </c>
      <c r="I65" s="2105">
        <v>14900000</v>
      </c>
      <c r="J65" s="2105">
        <f>SUM(J61:J64)</f>
        <v>14900000</v>
      </c>
      <c r="K65" s="2159">
        <f t="shared" si="0"/>
        <v>0</v>
      </c>
      <c r="L65" s="2105"/>
      <c r="M65" s="2105">
        <f>SUM(M61:M64)</f>
        <v>0</v>
      </c>
      <c r="N65" s="2105"/>
      <c r="O65" s="2105"/>
      <c r="P65" s="2105"/>
      <c r="Q65" s="1140">
        <f>'Výdaje kapitol celkem'!AK69</f>
        <v>14900000</v>
      </c>
      <c r="R65" s="1141">
        <f>+Q65-J65</f>
        <v>0</v>
      </c>
    </row>
    <row r="66" spans="1:18" s="1181" customFormat="1" ht="27" hidden="1" outlineLevel="1" x14ac:dyDescent="0.25">
      <c r="A66" s="1143"/>
      <c r="B66" s="1177" t="s">
        <v>145</v>
      </c>
      <c r="C66" s="1177" t="s">
        <v>1733</v>
      </c>
      <c r="D66" s="1178"/>
      <c r="E66" s="1178"/>
      <c r="F66" s="1179"/>
      <c r="G66" s="1178" t="s">
        <v>640</v>
      </c>
      <c r="H66" s="2011">
        <v>0</v>
      </c>
      <c r="I66" s="2011">
        <v>0</v>
      </c>
      <c r="J66" s="2011">
        <f>[3]Hřbitov!$B$33</f>
        <v>0</v>
      </c>
      <c r="K66" s="2156">
        <f t="shared" si="0"/>
        <v>0</v>
      </c>
      <c r="L66" s="2011"/>
      <c r="M66" s="2011"/>
      <c r="N66" s="2011"/>
      <c r="O66" s="2011"/>
      <c r="P66" s="2011"/>
      <c r="Q66" s="1101"/>
      <c r="R66" s="1141"/>
    </row>
    <row r="67" spans="1:18" s="1181" customFormat="1" hidden="1" outlineLevel="1" x14ac:dyDescent="0.25">
      <c r="A67" s="1143"/>
      <c r="B67" s="1182" t="s">
        <v>145</v>
      </c>
      <c r="C67" s="1182" t="s">
        <v>1734</v>
      </c>
      <c r="D67" s="1183"/>
      <c r="E67" s="1183"/>
      <c r="F67" s="1184"/>
      <c r="G67" s="1183" t="s">
        <v>640</v>
      </c>
      <c r="H67" s="2012">
        <v>0</v>
      </c>
      <c r="I67" s="2012">
        <v>0</v>
      </c>
      <c r="J67" s="2012">
        <f>[3]Hřbitov!$B$34</f>
        <v>0</v>
      </c>
      <c r="K67" s="2161">
        <f t="shared" si="0"/>
        <v>0</v>
      </c>
      <c r="L67" s="2012"/>
      <c r="M67" s="2012"/>
      <c r="N67" s="2012"/>
      <c r="O67" s="2012"/>
      <c r="P67" s="2012"/>
      <c r="Q67" s="1101"/>
      <c r="R67" s="1141"/>
    </row>
    <row r="68" spans="1:18" s="1181" customFormat="1" ht="14.25" hidden="1" outlineLevel="1" thickBot="1" x14ac:dyDescent="0.3">
      <c r="A68" s="1144">
        <v>3633</v>
      </c>
      <c r="B68" s="1194" t="s">
        <v>145</v>
      </c>
      <c r="C68" s="1194"/>
      <c r="D68" s="1192"/>
      <c r="E68" s="1192"/>
      <c r="F68" s="1193"/>
      <c r="G68" s="1192" t="s">
        <v>640</v>
      </c>
      <c r="H68" s="2013"/>
      <c r="I68" s="2013"/>
      <c r="J68" s="2013"/>
      <c r="K68" s="2162">
        <f t="shared" si="0"/>
        <v>0</v>
      </c>
      <c r="L68" s="2013"/>
      <c r="M68" s="2013"/>
      <c r="N68" s="2013"/>
      <c r="O68" s="2013"/>
      <c r="P68" s="2013"/>
      <c r="Q68" s="1101"/>
      <c r="R68" s="1141"/>
    </row>
    <row r="69" spans="1:18" ht="14.25" collapsed="1" thickBot="1" x14ac:dyDescent="0.3">
      <c r="A69" s="2729" t="s">
        <v>254</v>
      </c>
      <c r="B69" s="2730"/>
      <c r="C69" s="2102"/>
      <c r="D69" s="2103"/>
      <c r="E69" s="2103"/>
      <c r="F69" s="2104"/>
      <c r="G69" s="2103"/>
      <c r="H69" s="2105">
        <v>0</v>
      </c>
      <c r="I69" s="2105">
        <v>0</v>
      </c>
      <c r="J69" s="2105">
        <f>SUM(J66:J68)</f>
        <v>0</v>
      </c>
      <c r="K69" s="2159">
        <f t="shared" si="0"/>
        <v>0</v>
      </c>
      <c r="L69" s="2105"/>
      <c r="M69" s="2105">
        <f>SUM(M66:M68)</f>
        <v>0</v>
      </c>
      <c r="N69" s="2105"/>
      <c r="O69" s="2105"/>
      <c r="P69" s="2105"/>
      <c r="Q69" s="1140">
        <f>'Výdaje kapitol celkem'!AN69</f>
        <v>0</v>
      </c>
      <c r="R69" s="1141">
        <f>+Q69-J69</f>
        <v>0</v>
      </c>
    </row>
    <row r="70" spans="1:18" s="1181" customFormat="1" ht="16.5" hidden="1" customHeight="1" outlineLevel="1" x14ac:dyDescent="0.25">
      <c r="A70" s="1143"/>
      <c r="B70" s="1177" t="s">
        <v>500</v>
      </c>
      <c r="C70" s="1177"/>
      <c r="D70" s="1178"/>
      <c r="E70" s="1178"/>
      <c r="F70" s="1179"/>
      <c r="G70" s="1178" t="s">
        <v>640</v>
      </c>
      <c r="H70" s="2011">
        <v>0</v>
      </c>
      <c r="I70" s="2011">
        <v>0</v>
      </c>
      <c r="J70" s="2011">
        <f>'[4]Všebecná pokladna'!$B$72</f>
        <v>0</v>
      </c>
      <c r="K70" s="2156">
        <f t="shared" si="0"/>
        <v>0</v>
      </c>
      <c r="L70" s="2011"/>
      <c r="M70" s="2011"/>
      <c r="N70" s="2011"/>
      <c r="O70" s="2011"/>
      <c r="P70" s="2011"/>
      <c r="Q70" s="1101"/>
      <c r="R70" s="1141"/>
    </row>
    <row r="71" spans="1:18" s="1181" customFormat="1" ht="16.5" hidden="1" customHeight="1" outlineLevel="1" x14ac:dyDescent="0.25">
      <c r="A71" s="1143"/>
      <c r="B71" s="1177" t="s">
        <v>500</v>
      </c>
      <c r="C71" s="1182"/>
      <c r="D71" s="1183"/>
      <c r="E71" s="1183"/>
      <c r="F71" s="1184"/>
      <c r="G71" s="1183" t="s">
        <v>640</v>
      </c>
      <c r="H71" s="2012">
        <v>0</v>
      </c>
      <c r="I71" s="2012">
        <v>0</v>
      </c>
      <c r="J71" s="2012">
        <f>'[4]Všebecná pokladna'!$B$79</f>
        <v>0</v>
      </c>
      <c r="K71" s="2161">
        <f t="shared" ref="K71:K134" si="5">+J71-I71</f>
        <v>0</v>
      </c>
      <c r="L71" s="2012"/>
      <c r="M71" s="2012"/>
      <c r="N71" s="2012"/>
      <c r="O71" s="2012"/>
      <c r="P71" s="2012"/>
      <c r="Q71" s="1101"/>
      <c r="R71" s="1141"/>
    </row>
    <row r="72" spans="1:18" s="1181" customFormat="1" ht="16.5" hidden="1" customHeight="1" outlineLevel="1" x14ac:dyDescent="0.25">
      <c r="A72" s="1143"/>
      <c r="B72" s="1177" t="s">
        <v>500</v>
      </c>
      <c r="C72" s="1182"/>
      <c r="D72" s="1183"/>
      <c r="E72" s="1183"/>
      <c r="F72" s="1184"/>
      <c r="G72" s="1183" t="s">
        <v>640</v>
      </c>
      <c r="H72" s="2011">
        <v>0</v>
      </c>
      <c r="I72" s="2011">
        <v>0</v>
      </c>
      <c r="J72" s="2011">
        <f>'[4]Všebecná pokladna'!$B$80</f>
        <v>0</v>
      </c>
      <c r="K72" s="2156">
        <f t="shared" si="5"/>
        <v>0</v>
      </c>
      <c r="L72" s="2011"/>
      <c r="M72" s="2011"/>
      <c r="N72" s="2011"/>
      <c r="O72" s="2011"/>
      <c r="P72" s="2011"/>
      <c r="Q72" s="1101"/>
      <c r="R72" s="1141"/>
    </row>
    <row r="73" spans="1:18" s="1181" customFormat="1" ht="16.5" customHeight="1" outlineLevel="1" x14ac:dyDescent="0.25">
      <c r="A73" s="1143"/>
      <c r="B73" s="1893" t="s">
        <v>500</v>
      </c>
      <c r="C73" s="1873" t="s">
        <v>2249</v>
      </c>
      <c r="D73" s="1874"/>
      <c r="E73" s="1874"/>
      <c r="F73" s="1875"/>
      <c r="G73" s="1874" t="s">
        <v>640</v>
      </c>
      <c r="H73" s="2016">
        <v>0</v>
      </c>
      <c r="I73" s="2016">
        <v>0</v>
      </c>
      <c r="J73" s="2016">
        <f>'[6]Všeobecná pokladna 6409'!$B$31</f>
        <v>257124</v>
      </c>
      <c r="K73" s="2165">
        <f t="shared" si="5"/>
        <v>257124</v>
      </c>
      <c r="L73" s="2016"/>
      <c r="M73" s="2016"/>
      <c r="N73" s="2016"/>
      <c r="O73" s="2016"/>
      <c r="P73" s="2016"/>
      <c r="Q73" s="1101"/>
      <c r="R73" s="1141"/>
    </row>
    <row r="74" spans="1:18" s="1181" customFormat="1" ht="16.5" customHeight="1" outlineLevel="1" x14ac:dyDescent="0.25">
      <c r="A74" s="1143"/>
      <c r="B74" s="1182" t="s">
        <v>500</v>
      </c>
      <c r="C74" s="1182" t="s">
        <v>2018</v>
      </c>
      <c r="D74" s="1183"/>
      <c r="E74" s="1183"/>
      <c r="F74" s="1184"/>
      <c r="G74" s="1183" t="s">
        <v>640</v>
      </c>
      <c r="H74" s="2012">
        <v>125000</v>
      </c>
      <c r="I74" s="2012">
        <v>125000</v>
      </c>
      <c r="J74" s="2012">
        <f>'[6]Všeobecná pokladna 6409'!$B$32</f>
        <v>125000</v>
      </c>
      <c r="K74" s="2161">
        <f t="shared" si="5"/>
        <v>0</v>
      </c>
      <c r="L74" s="2012"/>
      <c r="M74" s="2012"/>
      <c r="N74" s="2012"/>
      <c r="O74" s="2012"/>
      <c r="P74" s="2012"/>
      <c r="Q74" s="1101"/>
      <c r="R74" s="1141"/>
    </row>
    <row r="75" spans="1:18" s="1181" customFormat="1" ht="16.5" customHeight="1" outlineLevel="1" x14ac:dyDescent="0.25">
      <c r="A75" s="1143"/>
      <c r="B75" s="1177" t="s">
        <v>500</v>
      </c>
      <c r="C75" s="1182" t="s">
        <v>2019</v>
      </c>
      <c r="D75" s="1183"/>
      <c r="E75" s="1183"/>
      <c r="F75" s="1184"/>
      <c r="G75" s="1183" t="s">
        <v>640</v>
      </c>
      <c r="H75" s="2012">
        <v>400000</v>
      </c>
      <c r="I75" s="2012">
        <v>400000</v>
      </c>
      <c r="J75" s="2012">
        <f>'[6]Všeobecná pokladna 6409'!$B$33</f>
        <v>400000</v>
      </c>
      <c r="K75" s="2161">
        <f t="shared" si="5"/>
        <v>0</v>
      </c>
      <c r="L75" s="2012"/>
      <c r="M75" s="2012"/>
      <c r="N75" s="2012"/>
      <c r="O75" s="2012"/>
      <c r="P75" s="2012"/>
      <c r="Q75" s="1101"/>
      <c r="R75" s="1141"/>
    </row>
    <row r="76" spans="1:18" s="1181" customFormat="1" ht="16.5" customHeight="1" outlineLevel="1" x14ac:dyDescent="0.25">
      <c r="A76" s="1143"/>
      <c r="B76" s="1177" t="s">
        <v>500</v>
      </c>
      <c r="C76" s="1182" t="s">
        <v>2216</v>
      </c>
      <c r="D76" s="1183"/>
      <c r="E76" s="1183"/>
      <c r="F76" s="1184"/>
      <c r="G76" s="1183" t="s">
        <v>640</v>
      </c>
      <c r="H76" s="2012">
        <v>0</v>
      </c>
      <c r="I76" s="2012">
        <v>1590000</v>
      </c>
      <c r="J76" s="2012">
        <f>'[6]Všeobecná pokladna 6409'!$B$34</f>
        <v>1590000</v>
      </c>
      <c r="K76" s="2161">
        <f t="shared" si="5"/>
        <v>0</v>
      </c>
      <c r="L76" s="2012"/>
      <c r="M76" s="2012"/>
      <c r="N76" s="2012"/>
      <c r="O76" s="2012"/>
      <c r="P76" s="2012"/>
      <c r="Q76" s="1101"/>
      <c r="R76" s="1141"/>
    </row>
    <row r="77" spans="1:18" s="1181" customFormat="1" ht="16.5" customHeight="1" outlineLevel="1" thickBot="1" x14ac:dyDescent="0.3">
      <c r="A77" s="1144">
        <v>6409</v>
      </c>
      <c r="B77" s="1194" t="s">
        <v>500</v>
      </c>
      <c r="C77" s="1194"/>
      <c r="D77" s="1192"/>
      <c r="E77" s="1192"/>
      <c r="F77" s="1193"/>
      <c r="G77" s="1192" t="s">
        <v>640</v>
      </c>
      <c r="H77" s="2013"/>
      <c r="I77" s="2013"/>
      <c r="J77" s="2013"/>
      <c r="K77" s="2162">
        <f t="shared" si="5"/>
        <v>0</v>
      </c>
      <c r="L77" s="2013"/>
      <c r="M77" s="2013"/>
      <c r="N77" s="2013"/>
      <c r="O77" s="2013"/>
      <c r="P77" s="2013"/>
      <c r="Q77" s="1101"/>
      <c r="R77" s="1141"/>
    </row>
    <row r="78" spans="1:18" ht="14.25" thickBot="1" x14ac:dyDescent="0.3">
      <c r="A78" s="2729" t="s">
        <v>648</v>
      </c>
      <c r="B78" s="2730"/>
      <c r="C78" s="2102"/>
      <c r="D78" s="2103"/>
      <c r="E78" s="2103"/>
      <c r="F78" s="2104"/>
      <c r="G78" s="2103"/>
      <c r="H78" s="2105">
        <v>525000</v>
      </c>
      <c r="I78" s="2105">
        <v>2115000</v>
      </c>
      <c r="J78" s="2105">
        <f>SUM(J70:J77)</f>
        <v>2372124</v>
      </c>
      <c r="K78" s="2159">
        <f t="shared" si="5"/>
        <v>257124</v>
      </c>
      <c r="L78" s="2105"/>
      <c r="M78" s="2105">
        <f>SUM(M70:M77)</f>
        <v>0</v>
      </c>
      <c r="N78" s="2105"/>
      <c r="O78" s="2105"/>
      <c r="P78" s="2105"/>
      <c r="Q78" s="1140">
        <f>'Výdaje kapitol celkem'!K57+'Výdaje kapitol celkem'!K58+'Výdaje kapitol celkem'!K59+'Výdaje kapitol celkem'!K60+'Výdaje kapitol celkem'!K61+'Výdaje kapitol celkem'!K62+'Výdaje kapitol celkem'!K63+'Výdaje kapitol celkem'!K64+'Výdaje kapitol celkem'!K65+'Výdaje kapitol celkem'!K66</f>
        <v>2372124</v>
      </c>
      <c r="R78" s="1141">
        <f>+Q78-J78</f>
        <v>0</v>
      </c>
    </row>
    <row r="79" spans="1:18" s="1181" customFormat="1" ht="12" hidden="1" customHeight="1" outlineLevel="1" x14ac:dyDescent="0.25">
      <c r="A79" s="1143"/>
      <c r="B79" s="1177" t="s">
        <v>1199</v>
      </c>
      <c r="C79" s="1177"/>
      <c r="D79" s="1178"/>
      <c r="E79" s="1178"/>
      <c r="F79" s="1179"/>
      <c r="G79" s="1178" t="s">
        <v>640</v>
      </c>
      <c r="H79" s="2011"/>
      <c r="I79" s="2011"/>
      <c r="J79" s="2011"/>
      <c r="K79" s="2156">
        <f t="shared" si="5"/>
        <v>0</v>
      </c>
      <c r="L79" s="2011"/>
      <c r="M79" s="2011"/>
      <c r="N79" s="2011"/>
      <c r="O79" s="2011"/>
      <c r="P79" s="2011"/>
      <c r="Q79" s="1101"/>
      <c r="R79" s="1141"/>
    </row>
    <row r="80" spans="1:18" s="1181" customFormat="1" ht="12" hidden="1" customHeight="1" outlineLevel="1" x14ac:dyDescent="0.25">
      <c r="A80" s="1143"/>
      <c r="B80" s="1177" t="s">
        <v>1199</v>
      </c>
      <c r="C80" s="1177"/>
      <c r="D80" s="1178"/>
      <c r="E80" s="1178"/>
      <c r="F80" s="1179"/>
      <c r="G80" s="1178" t="s">
        <v>640</v>
      </c>
      <c r="H80" s="2011"/>
      <c r="I80" s="2011"/>
      <c r="J80" s="2011"/>
      <c r="K80" s="2156">
        <f t="shared" si="5"/>
        <v>0</v>
      </c>
      <c r="L80" s="2011"/>
      <c r="M80" s="2011"/>
      <c r="N80" s="2011"/>
      <c r="O80" s="2011"/>
      <c r="P80" s="2011"/>
      <c r="Q80" s="1101"/>
      <c r="R80" s="1141"/>
    </row>
    <row r="81" spans="1:18" s="1181" customFormat="1" ht="12" hidden="1" customHeight="1" outlineLevel="1" thickBot="1" x14ac:dyDescent="0.3">
      <c r="A81" s="1144" t="s">
        <v>182</v>
      </c>
      <c r="B81" s="1177" t="s">
        <v>1199</v>
      </c>
      <c r="C81" s="1177"/>
      <c r="D81" s="1178"/>
      <c r="E81" s="1178"/>
      <c r="F81" s="1179"/>
      <c r="G81" s="1178" t="s">
        <v>640</v>
      </c>
      <c r="H81" s="2011"/>
      <c r="I81" s="2011"/>
      <c r="J81" s="2011"/>
      <c r="K81" s="2156">
        <f t="shared" si="5"/>
        <v>0</v>
      </c>
      <c r="L81" s="2011"/>
      <c r="M81" s="2011"/>
      <c r="N81" s="2011"/>
      <c r="O81" s="2011"/>
      <c r="P81" s="2011"/>
      <c r="Q81" s="1101"/>
      <c r="R81" s="1141"/>
    </row>
    <row r="82" spans="1:18" ht="14.25" collapsed="1" thickBot="1" x14ac:dyDescent="0.3">
      <c r="A82" s="2729" t="s">
        <v>1198</v>
      </c>
      <c r="B82" s="2730"/>
      <c r="C82" s="2102"/>
      <c r="D82" s="2103"/>
      <c r="E82" s="2103"/>
      <c r="F82" s="2104"/>
      <c r="G82" s="2103" t="s">
        <v>640</v>
      </c>
      <c r="H82" s="2105">
        <v>0</v>
      </c>
      <c r="I82" s="2105">
        <v>0</v>
      </c>
      <c r="J82" s="2105">
        <f>SUM(J79:J81)</f>
        <v>0</v>
      </c>
      <c r="K82" s="2159">
        <f t="shared" si="5"/>
        <v>0</v>
      </c>
      <c r="L82" s="2105"/>
      <c r="M82" s="2105">
        <f t="shared" ref="M82" si="6">SUM(M79:M81)</f>
        <v>0</v>
      </c>
      <c r="N82" s="2105"/>
      <c r="O82" s="2105"/>
      <c r="P82" s="2105"/>
      <c r="Q82" s="1140">
        <f>'Výdaje kapitol celkem'!CZ69</f>
        <v>0</v>
      </c>
      <c r="R82" s="1141">
        <f>+Q82-J82</f>
        <v>0</v>
      </c>
    </row>
    <row r="83" spans="1:18" s="1181" customFormat="1" ht="12" customHeight="1" outlineLevel="1" x14ac:dyDescent="0.25">
      <c r="A83" s="1143"/>
      <c r="B83" s="1177" t="s">
        <v>160</v>
      </c>
      <c r="C83" s="1177"/>
      <c r="D83" s="1178"/>
      <c r="E83" s="1178"/>
      <c r="F83" s="1179"/>
      <c r="G83" s="1178" t="s">
        <v>640</v>
      </c>
      <c r="H83" s="2011">
        <v>150000</v>
      </c>
      <c r="I83" s="2011">
        <v>150000</v>
      </c>
      <c r="J83" s="2011">
        <f>'[6]Příroda 3749'!$B$25</f>
        <v>150000</v>
      </c>
      <c r="K83" s="2156">
        <f t="shared" si="5"/>
        <v>0</v>
      </c>
      <c r="L83" s="2011"/>
      <c r="M83" s="2011"/>
      <c r="N83" s="2011"/>
      <c r="O83" s="2011"/>
      <c r="P83" s="2011"/>
      <c r="Q83" s="1101"/>
      <c r="R83" s="1141"/>
    </row>
    <row r="84" spans="1:18" s="1181" customFormat="1" ht="12" customHeight="1" outlineLevel="1" thickBot="1" x14ac:dyDescent="0.3">
      <c r="A84" s="1144">
        <v>3749</v>
      </c>
      <c r="B84" s="1194" t="s">
        <v>160</v>
      </c>
      <c r="C84" s="1194"/>
      <c r="D84" s="1192"/>
      <c r="E84" s="1192"/>
      <c r="F84" s="1193"/>
      <c r="G84" s="1192" t="s">
        <v>640</v>
      </c>
      <c r="H84" s="2013"/>
      <c r="I84" s="2013"/>
      <c r="J84" s="2013"/>
      <c r="K84" s="2162">
        <f t="shared" si="5"/>
        <v>0</v>
      </c>
      <c r="L84" s="2013"/>
      <c r="M84" s="2013"/>
      <c r="N84" s="2013"/>
      <c r="O84" s="2013"/>
      <c r="P84" s="2013"/>
      <c r="Q84" s="1101"/>
      <c r="R84" s="1141"/>
    </row>
    <row r="85" spans="1:18" ht="14.25" thickBot="1" x14ac:dyDescent="0.3">
      <c r="A85" s="2729" t="s">
        <v>626</v>
      </c>
      <c r="B85" s="2730"/>
      <c r="C85" s="2102"/>
      <c r="D85" s="2103"/>
      <c r="E85" s="2103"/>
      <c r="F85" s="2104"/>
      <c r="G85" s="2103"/>
      <c r="H85" s="2105">
        <v>150000</v>
      </c>
      <c r="I85" s="2105">
        <v>150000</v>
      </c>
      <c r="J85" s="2105">
        <f>SUM(J83:J84)</f>
        <v>150000</v>
      </c>
      <c r="K85" s="2159">
        <f t="shared" si="5"/>
        <v>0</v>
      </c>
      <c r="L85" s="2105"/>
      <c r="M85" s="2105">
        <f>SUM(M83:M84)</f>
        <v>0</v>
      </c>
      <c r="N85" s="2105"/>
      <c r="O85" s="2105"/>
      <c r="P85" s="2105"/>
      <c r="Q85" s="1140">
        <f>'Výdaje kapitol celkem'!DG69</f>
        <v>150000</v>
      </c>
      <c r="R85" s="1141">
        <f>+Q85-J85</f>
        <v>0</v>
      </c>
    </row>
    <row r="86" spans="1:18" s="1181" customFormat="1" ht="12" customHeight="1" outlineLevel="1" x14ac:dyDescent="0.25">
      <c r="A86" s="1143"/>
      <c r="B86" s="1177" t="s">
        <v>295</v>
      </c>
      <c r="C86" s="1177" t="s">
        <v>2272</v>
      </c>
      <c r="D86" s="1178"/>
      <c r="E86" s="1178"/>
      <c r="F86" s="1179"/>
      <c r="G86" s="1178" t="s">
        <v>640</v>
      </c>
      <c r="H86" s="2011">
        <v>0</v>
      </c>
      <c r="I86" s="2011">
        <v>0</v>
      </c>
      <c r="J86" s="2011">
        <f>[5]Koupaliště!$B$4</f>
        <v>220000</v>
      </c>
      <c r="K86" s="2156">
        <f t="shared" si="5"/>
        <v>220000</v>
      </c>
      <c r="L86" s="2011"/>
      <c r="M86" s="2011"/>
      <c r="N86" s="2011"/>
      <c r="O86" s="2011"/>
      <c r="P86" s="2011"/>
      <c r="Q86" s="1101"/>
      <c r="R86" s="1141"/>
    </row>
    <row r="87" spans="1:18" s="1181" customFormat="1" ht="12" customHeight="1" outlineLevel="1" x14ac:dyDescent="0.25">
      <c r="A87" s="1143"/>
      <c r="B87" s="1177" t="s">
        <v>295</v>
      </c>
      <c r="C87" s="1177" t="s">
        <v>1679</v>
      </c>
      <c r="D87" s="1178"/>
      <c r="E87" s="1178"/>
      <c r="F87" s="1179"/>
      <c r="G87" s="1178" t="s">
        <v>640</v>
      </c>
      <c r="H87" s="2011">
        <v>60000</v>
      </c>
      <c r="I87" s="2011">
        <v>60000</v>
      </c>
      <c r="J87" s="2011">
        <f>[5]Koupaliště!$B$5</f>
        <v>60000</v>
      </c>
      <c r="K87" s="2156">
        <f t="shared" si="5"/>
        <v>0</v>
      </c>
      <c r="L87" s="2011"/>
      <c r="M87" s="2011"/>
      <c r="N87" s="2011"/>
      <c r="O87" s="2011"/>
      <c r="P87" s="2011"/>
      <c r="Q87" s="1101"/>
      <c r="R87" s="1141"/>
    </row>
    <row r="88" spans="1:18" s="1181" customFormat="1" ht="14.45" customHeight="1" outlineLevel="1" thickBot="1" x14ac:dyDescent="0.3">
      <c r="A88" s="1144">
        <v>3412</v>
      </c>
      <c r="B88" s="1177" t="s">
        <v>295</v>
      </c>
      <c r="C88" s="1195"/>
      <c r="D88" s="1196"/>
      <c r="E88" s="1196"/>
      <c r="F88" s="1197"/>
      <c r="G88" s="1196" t="s">
        <v>640</v>
      </c>
      <c r="H88" s="2014"/>
      <c r="I88" s="2014"/>
      <c r="J88" s="2014"/>
      <c r="K88" s="2163">
        <f t="shared" si="5"/>
        <v>0</v>
      </c>
      <c r="L88" s="2014"/>
      <c r="M88" s="2014"/>
      <c r="N88" s="2014"/>
      <c r="O88" s="2014"/>
      <c r="P88" s="2014"/>
      <c r="Q88" s="1101"/>
      <c r="R88" s="1141"/>
    </row>
    <row r="89" spans="1:18" ht="14.25" thickBot="1" x14ac:dyDescent="0.3">
      <c r="A89" s="2729" t="s">
        <v>627</v>
      </c>
      <c r="B89" s="2730"/>
      <c r="C89" s="2102"/>
      <c r="D89" s="2103"/>
      <c r="E89" s="2103"/>
      <c r="F89" s="2104"/>
      <c r="G89" s="2103"/>
      <c r="H89" s="2105">
        <v>60000</v>
      </c>
      <c r="I89" s="2105">
        <v>60000</v>
      </c>
      <c r="J89" s="2105">
        <f>SUM(J86:J88)</f>
        <v>280000</v>
      </c>
      <c r="K89" s="2159">
        <f t="shared" si="5"/>
        <v>220000</v>
      </c>
      <c r="L89" s="2105"/>
      <c r="M89" s="2105">
        <f>SUM(M88:M88)</f>
        <v>0</v>
      </c>
      <c r="N89" s="2105"/>
      <c r="O89" s="2105"/>
      <c r="P89" s="2105"/>
      <c r="Q89" s="1140">
        <f>'Výdaje kapitol celkem'!AQ69</f>
        <v>280000</v>
      </c>
      <c r="R89" s="1141">
        <f>+Q89-J89</f>
        <v>0</v>
      </c>
    </row>
    <row r="90" spans="1:18" s="1181" customFormat="1" ht="12" hidden="1" customHeight="1" outlineLevel="1" x14ac:dyDescent="0.25">
      <c r="A90" s="1198"/>
      <c r="B90" s="1127" t="s">
        <v>1185</v>
      </c>
      <c r="C90" s="1177" t="s">
        <v>1680</v>
      </c>
      <c r="D90" s="1178"/>
      <c r="E90" s="1178"/>
      <c r="F90" s="1179"/>
      <c r="G90" s="1178" t="s">
        <v>640</v>
      </c>
      <c r="H90" s="2011">
        <v>0</v>
      </c>
      <c r="I90" s="2011">
        <v>0</v>
      </c>
      <c r="J90" s="2011">
        <f>[5]Hřiště!$B$5</f>
        <v>0</v>
      </c>
      <c r="K90" s="2156">
        <f t="shared" si="5"/>
        <v>0</v>
      </c>
      <c r="L90" s="2011"/>
      <c r="M90" s="2011"/>
      <c r="N90" s="2011"/>
      <c r="O90" s="2011"/>
      <c r="P90" s="2011"/>
      <c r="Q90" s="1101"/>
      <c r="R90" s="1141"/>
    </row>
    <row r="91" spans="1:18" s="1181" customFormat="1" ht="12" hidden="1" customHeight="1" outlineLevel="1" x14ac:dyDescent="0.25">
      <c r="A91" s="1175"/>
      <c r="B91" s="1127" t="s">
        <v>1185</v>
      </c>
      <c r="C91" s="1177" t="s">
        <v>1681</v>
      </c>
      <c r="D91" s="1178"/>
      <c r="E91" s="1178"/>
      <c r="F91" s="1179"/>
      <c r="G91" s="1178" t="s">
        <v>640</v>
      </c>
      <c r="H91" s="2011">
        <v>0</v>
      </c>
      <c r="I91" s="2011">
        <v>0</v>
      </c>
      <c r="J91" s="2011">
        <f>[5]Hřiště!$B$4</f>
        <v>131000</v>
      </c>
      <c r="K91" s="2156">
        <f t="shared" si="5"/>
        <v>131000</v>
      </c>
      <c r="L91" s="2011"/>
      <c r="M91" s="2011"/>
      <c r="N91" s="2011"/>
      <c r="O91" s="2011"/>
      <c r="P91" s="2011"/>
      <c r="Q91" s="1101"/>
      <c r="R91" s="1141"/>
    </row>
    <row r="92" spans="1:18" s="1181" customFormat="1" ht="12" hidden="1" customHeight="1" outlineLevel="1" x14ac:dyDescent="0.25">
      <c r="A92" s="1175"/>
      <c r="B92" s="1127" t="s">
        <v>1185</v>
      </c>
      <c r="C92" s="1182"/>
      <c r="D92" s="1183"/>
      <c r="E92" s="1183"/>
      <c r="F92" s="1184"/>
      <c r="G92" s="1178" t="s">
        <v>640</v>
      </c>
      <c r="H92" s="2012"/>
      <c r="I92" s="2012"/>
      <c r="J92" s="2012"/>
      <c r="K92" s="2161">
        <f t="shared" si="5"/>
        <v>0</v>
      </c>
      <c r="L92" s="2012"/>
      <c r="M92" s="2012"/>
      <c r="N92" s="2012"/>
      <c r="O92" s="2012"/>
      <c r="P92" s="2012"/>
      <c r="Q92" s="1101"/>
      <c r="R92" s="1141"/>
    </row>
    <row r="93" spans="1:18" s="1181" customFormat="1" ht="12" hidden="1" customHeight="1" outlineLevel="1" thickBot="1" x14ac:dyDescent="0.3">
      <c r="A93" s="1144" t="s">
        <v>1188</v>
      </c>
      <c r="B93" s="1168" t="s">
        <v>1185</v>
      </c>
      <c r="C93" s="1194"/>
      <c r="D93" s="1192"/>
      <c r="E93" s="1199"/>
      <c r="F93" s="1200"/>
      <c r="G93" s="1193" t="s">
        <v>640</v>
      </c>
      <c r="H93" s="2013"/>
      <c r="I93" s="2013"/>
      <c r="J93" s="2013"/>
      <c r="K93" s="2162">
        <f t="shared" si="5"/>
        <v>0</v>
      </c>
      <c r="L93" s="2013"/>
      <c r="M93" s="2013"/>
      <c r="N93" s="2013"/>
      <c r="O93" s="2013"/>
      <c r="P93" s="2013"/>
      <c r="Q93" s="1101"/>
      <c r="R93" s="1141"/>
    </row>
    <row r="94" spans="1:18" ht="14.25" hidden="1" collapsed="1" thickBot="1" x14ac:dyDescent="0.3">
      <c r="A94" s="2729" t="s">
        <v>1232</v>
      </c>
      <c r="B94" s="2730"/>
      <c r="C94" s="2102"/>
      <c r="D94" s="2103"/>
      <c r="E94" s="2103"/>
      <c r="F94" s="2104"/>
      <c r="G94" s="2103"/>
      <c r="H94" s="2105">
        <v>0</v>
      </c>
      <c r="I94" s="2105">
        <v>0</v>
      </c>
      <c r="J94" s="2105">
        <f>SUM(J90:J93)</f>
        <v>131000</v>
      </c>
      <c r="K94" s="2159">
        <f t="shared" si="5"/>
        <v>131000</v>
      </c>
      <c r="L94" s="2105"/>
      <c r="M94" s="2105">
        <f>SUM(M90:M93)</f>
        <v>0</v>
      </c>
      <c r="N94" s="2105"/>
      <c r="O94" s="2105"/>
      <c r="P94" s="2105"/>
      <c r="Q94" s="1140">
        <f>'Výdaje kapitol celkem'!AT69</f>
        <v>131000</v>
      </c>
      <c r="R94" s="1141">
        <f>+Q94-J94</f>
        <v>0</v>
      </c>
    </row>
    <row r="95" spans="1:18" s="1181" customFormat="1" ht="12" customHeight="1" outlineLevel="1" x14ac:dyDescent="0.25">
      <c r="A95" s="1198"/>
      <c r="B95" s="1127" t="s">
        <v>1730</v>
      </c>
      <c r="C95" s="1177" t="s">
        <v>1731</v>
      </c>
      <c r="D95" s="1178"/>
      <c r="E95" s="1178"/>
      <c r="F95" s="1179"/>
      <c r="G95" s="1179" t="s">
        <v>640</v>
      </c>
      <c r="H95" s="2011">
        <v>0</v>
      </c>
      <c r="I95" s="2011">
        <v>0</v>
      </c>
      <c r="J95" s="2011">
        <f>'[3]Zdrav. středisko'!$B$19</f>
        <v>0</v>
      </c>
      <c r="K95" s="2156">
        <f t="shared" si="5"/>
        <v>0</v>
      </c>
      <c r="L95" s="2011"/>
      <c r="M95" s="2011"/>
      <c r="N95" s="2011"/>
      <c r="O95" s="2011"/>
      <c r="P95" s="2011"/>
      <c r="Q95" s="1101"/>
      <c r="R95" s="1141"/>
    </row>
    <row r="96" spans="1:18" s="1181" customFormat="1" ht="12" customHeight="1" outlineLevel="1" x14ac:dyDescent="0.25">
      <c r="A96" s="1175"/>
      <c r="B96" s="1127" t="s">
        <v>1730</v>
      </c>
      <c r="C96" s="1177" t="s">
        <v>1732</v>
      </c>
      <c r="D96" s="1178"/>
      <c r="E96" s="1178"/>
      <c r="F96" s="1179"/>
      <c r="G96" s="1179" t="s">
        <v>640</v>
      </c>
      <c r="H96" s="2012">
        <v>150000</v>
      </c>
      <c r="I96" s="2012">
        <v>150000</v>
      </c>
      <c r="J96" s="2012">
        <f>'[3]Zdrav. středisko'!$B$20</f>
        <v>150000</v>
      </c>
      <c r="K96" s="2161">
        <f t="shared" si="5"/>
        <v>0</v>
      </c>
      <c r="L96" s="2012"/>
      <c r="M96" s="2012"/>
      <c r="N96" s="2012"/>
      <c r="O96" s="2012"/>
      <c r="P96" s="2012"/>
      <c r="Q96" s="1101"/>
      <c r="R96" s="1141"/>
    </row>
    <row r="97" spans="1:18" s="1181" customFormat="1" ht="12" hidden="1" customHeight="1" outlineLevel="1" x14ac:dyDescent="0.25">
      <c r="A97" s="1175"/>
      <c r="B97" s="1127" t="s">
        <v>1730</v>
      </c>
      <c r="C97" s="1182"/>
      <c r="D97" s="1183"/>
      <c r="E97" s="1183"/>
      <c r="F97" s="1184"/>
      <c r="G97" s="1179" t="s">
        <v>640</v>
      </c>
      <c r="H97" s="2012"/>
      <c r="I97" s="2012"/>
      <c r="J97" s="2012"/>
      <c r="K97" s="2161">
        <f t="shared" si="5"/>
        <v>0</v>
      </c>
      <c r="L97" s="2012"/>
      <c r="M97" s="2012"/>
      <c r="N97" s="2012"/>
      <c r="O97" s="2012"/>
      <c r="P97" s="2012"/>
      <c r="Q97" s="1101"/>
      <c r="R97" s="1141"/>
    </row>
    <row r="98" spans="1:18" s="1181" customFormat="1" ht="12" customHeight="1" outlineLevel="1" thickBot="1" x14ac:dyDescent="0.3">
      <c r="A98" s="1144">
        <v>3519</v>
      </c>
      <c r="B98" s="1168" t="s">
        <v>1730</v>
      </c>
      <c r="C98" s="1194"/>
      <c r="D98" s="1192"/>
      <c r="E98" s="1199"/>
      <c r="F98" s="1200"/>
      <c r="G98" s="1193" t="s">
        <v>640</v>
      </c>
      <c r="H98" s="2022"/>
      <c r="I98" s="2022"/>
      <c r="J98" s="2022"/>
      <c r="K98" s="2166">
        <f t="shared" si="5"/>
        <v>0</v>
      </c>
      <c r="L98" s="2022"/>
      <c r="M98" s="2022"/>
      <c r="N98" s="2022"/>
      <c r="O98" s="2022"/>
      <c r="P98" s="2022"/>
      <c r="Q98" s="1101"/>
      <c r="R98" s="1141"/>
    </row>
    <row r="99" spans="1:18" ht="14.25" thickBot="1" x14ac:dyDescent="0.3">
      <c r="A99" s="2729" t="s">
        <v>1729</v>
      </c>
      <c r="B99" s="2730"/>
      <c r="C99" s="2102"/>
      <c r="D99" s="2103"/>
      <c r="E99" s="2103"/>
      <c r="F99" s="2104"/>
      <c r="G99" s="2103"/>
      <c r="H99" s="2112">
        <v>150000</v>
      </c>
      <c r="I99" s="2112">
        <v>150000</v>
      </c>
      <c r="J99" s="2112">
        <f>SUM(J95:J98)</f>
        <v>150000</v>
      </c>
      <c r="K99" s="2167">
        <f t="shared" si="5"/>
        <v>0</v>
      </c>
      <c r="L99" s="2112"/>
      <c r="M99" s="2112">
        <f>SUM(M95:M98)</f>
        <v>0</v>
      </c>
      <c r="N99" s="2112"/>
      <c r="O99" s="2112"/>
      <c r="P99" s="2112"/>
      <c r="Q99" s="1140">
        <f>'Výdaje kapitol celkem'!AL57+'Výdaje kapitol celkem'!AL58+'Výdaje kapitol celkem'!AL59+'Výdaje kapitol celkem'!AL60+'Výdaje kapitol celkem'!AL61+'Výdaje kapitol celkem'!AL62+'Výdaje kapitol celkem'!AL63+'Výdaje kapitol celkem'!AL64</f>
        <v>150000</v>
      </c>
      <c r="R99" s="1141">
        <f>+Q99-J99</f>
        <v>0</v>
      </c>
    </row>
    <row r="100" spans="1:18" s="1181" customFormat="1" ht="12" hidden="1" customHeight="1" outlineLevel="1" x14ac:dyDescent="0.25">
      <c r="A100" s="1198"/>
      <c r="B100" s="1127" t="s">
        <v>146</v>
      </c>
      <c r="C100" s="1991" t="s">
        <v>1682</v>
      </c>
      <c r="D100" s="1216"/>
      <c r="E100" s="1178"/>
      <c r="F100" s="1179"/>
      <c r="G100" s="1179" t="s">
        <v>640</v>
      </c>
      <c r="H100" s="2011">
        <v>0</v>
      </c>
      <c r="I100" s="2011">
        <v>0</v>
      </c>
      <c r="J100" s="2011">
        <f>[5]ZŠ!$B$8</f>
        <v>0</v>
      </c>
      <c r="K100" s="2156">
        <f t="shared" si="5"/>
        <v>0</v>
      </c>
      <c r="L100" s="2011"/>
      <c r="M100" s="2011"/>
      <c r="N100" s="2011"/>
      <c r="O100" s="2011"/>
      <c r="P100" s="2011"/>
      <c r="Q100" s="1101"/>
      <c r="R100" s="1141"/>
    </row>
    <row r="101" spans="1:18" s="1181" customFormat="1" ht="12" hidden="1" customHeight="1" outlineLevel="1" x14ac:dyDescent="0.25">
      <c r="A101" s="1175"/>
      <c r="B101" s="1176" t="s">
        <v>146</v>
      </c>
      <c r="C101" s="1991" t="s">
        <v>1683</v>
      </c>
      <c r="D101" s="1178"/>
      <c r="E101" s="1178"/>
      <c r="F101" s="1179"/>
      <c r="G101" s="1179" t="s">
        <v>640</v>
      </c>
      <c r="H101" s="2012">
        <v>0</v>
      </c>
      <c r="I101" s="2012">
        <v>0</v>
      </c>
      <c r="J101" s="2012">
        <f>[5]ZŠ!$B$9</f>
        <v>0</v>
      </c>
      <c r="K101" s="2161">
        <f t="shared" si="5"/>
        <v>0</v>
      </c>
      <c r="L101" s="2012"/>
      <c r="M101" s="2012"/>
      <c r="N101" s="2012"/>
      <c r="O101" s="2012"/>
      <c r="P101" s="2012"/>
      <c r="Q101" s="1101"/>
      <c r="R101" s="1141"/>
    </row>
    <row r="102" spans="1:18" s="1181" customFormat="1" ht="12" hidden="1" customHeight="1" outlineLevel="1" x14ac:dyDescent="0.25">
      <c r="A102" s="1143"/>
      <c r="B102" s="1882" t="s">
        <v>146</v>
      </c>
      <c r="C102" s="1066" t="s">
        <v>1684</v>
      </c>
      <c r="D102" s="1874"/>
      <c r="E102" s="1883"/>
      <c r="F102" s="1884"/>
      <c r="G102" s="1875" t="s">
        <v>640</v>
      </c>
      <c r="H102" s="2012">
        <v>0</v>
      </c>
      <c r="I102" s="2012">
        <v>0</v>
      </c>
      <c r="J102" s="2012">
        <f>[5]ZŠ!$B$22</f>
        <v>0</v>
      </c>
      <c r="K102" s="2161">
        <f t="shared" si="5"/>
        <v>0</v>
      </c>
      <c r="L102" s="2012"/>
      <c r="M102" s="2012"/>
      <c r="N102" s="2012"/>
      <c r="O102" s="2012"/>
      <c r="P102" s="2012"/>
      <c r="Q102" s="1101"/>
      <c r="R102" s="1141"/>
    </row>
    <row r="103" spans="1:18" s="1181" customFormat="1" ht="12" hidden="1" customHeight="1" outlineLevel="1" x14ac:dyDescent="0.25">
      <c r="A103" s="1885"/>
      <c r="B103" s="1176" t="s">
        <v>146</v>
      </c>
      <c r="C103" s="1886" t="s">
        <v>1685</v>
      </c>
      <c r="D103" s="1183"/>
      <c r="E103" s="1888"/>
      <c r="F103" s="1889"/>
      <c r="G103" s="1184" t="s">
        <v>640</v>
      </c>
      <c r="H103" s="2012">
        <v>0</v>
      </c>
      <c r="I103" s="2012">
        <v>0</v>
      </c>
      <c r="J103" s="2012">
        <f>[5]ZŠ!$B$23</f>
        <v>0</v>
      </c>
      <c r="K103" s="2161">
        <f t="shared" si="5"/>
        <v>0</v>
      </c>
      <c r="L103" s="2012"/>
      <c r="M103" s="2012"/>
      <c r="N103" s="2012"/>
      <c r="O103" s="2012"/>
      <c r="P103" s="2012"/>
      <c r="Q103" s="1101"/>
      <c r="R103" s="1141"/>
    </row>
    <row r="104" spans="1:18" s="1181" customFormat="1" ht="12" hidden="1" customHeight="1" outlineLevel="1" x14ac:dyDescent="0.25">
      <c r="A104" s="1885"/>
      <c r="B104" s="1176" t="s">
        <v>146</v>
      </c>
      <c r="C104" s="1886" t="s">
        <v>1686</v>
      </c>
      <c r="D104" s="1183"/>
      <c r="E104" s="1888"/>
      <c r="F104" s="1889"/>
      <c r="G104" s="1184" t="s">
        <v>640</v>
      </c>
      <c r="H104" s="2012">
        <v>0</v>
      </c>
      <c r="I104" s="2012">
        <v>0</v>
      </c>
      <c r="J104" s="2012">
        <f>[5]ZŠ!$B$36</f>
        <v>0</v>
      </c>
      <c r="K104" s="2161">
        <f t="shared" si="5"/>
        <v>0</v>
      </c>
      <c r="L104" s="2012"/>
      <c r="M104" s="2012"/>
      <c r="N104" s="2012"/>
      <c r="O104" s="2012"/>
      <c r="P104" s="2012"/>
      <c r="Q104" s="1101"/>
      <c r="R104" s="1141"/>
    </row>
    <row r="105" spans="1:18" s="1181" customFormat="1" ht="12" customHeight="1" outlineLevel="1" x14ac:dyDescent="0.25">
      <c r="A105" s="1885"/>
      <c r="B105" s="1176" t="s">
        <v>146</v>
      </c>
      <c r="C105" s="1886" t="s">
        <v>2045</v>
      </c>
      <c r="D105" s="1183"/>
      <c r="E105" s="1888"/>
      <c r="F105" s="1889"/>
      <c r="G105" s="1184" t="s">
        <v>640</v>
      </c>
      <c r="H105" s="2012">
        <v>2000000</v>
      </c>
      <c r="I105" s="2012">
        <v>2000000</v>
      </c>
      <c r="J105" s="2012">
        <f>[5]ZŠ!$B$37</f>
        <v>200000</v>
      </c>
      <c r="K105" s="2161">
        <f t="shared" si="5"/>
        <v>-1800000</v>
      </c>
      <c r="L105" s="2012"/>
      <c r="M105" s="2012"/>
      <c r="N105" s="2012"/>
      <c r="O105" s="2012"/>
      <c r="P105" s="2012"/>
      <c r="Q105" s="1101"/>
      <c r="R105" s="1141"/>
    </row>
    <row r="106" spans="1:18" s="1181" customFormat="1" ht="12" hidden="1" customHeight="1" outlineLevel="1" x14ac:dyDescent="0.25">
      <c r="A106" s="1891"/>
      <c r="B106" s="1176" t="s">
        <v>146</v>
      </c>
      <c r="C106" s="1886" t="s">
        <v>1687</v>
      </c>
      <c r="D106" s="1183"/>
      <c r="E106" s="1888"/>
      <c r="F106" s="1889"/>
      <c r="G106" s="1184" t="s">
        <v>640</v>
      </c>
      <c r="H106" s="2012">
        <v>0</v>
      </c>
      <c r="I106" s="2012">
        <v>0</v>
      </c>
      <c r="J106" s="2012">
        <f>[5]ZŠ!$B$49</f>
        <v>0</v>
      </c>
      <c r="K106" s="2161">
        <f t="shared" si="5"/>
        <v>0</v>
      </c>
      <c r="L106" s="2012"/>
      <c r="M106" s="2012"/>
      <c r="N106" s="2012"/>
      <c r="O106" s="2012"/>
      <c r="P106" s="2012"/>
      <c r="Q106" s="1101"/>
      <c r="R106" s="1141"/>
    </row>
    <row r="107" spans="1:18" s="1181" customFormat="1" ht="12" hidden="1" customHeight="1" outlineLevel="1" x14ac:dyDescent="0.25">
      <c r="A107" s="1143"/>
      <c r="B107" s="1176" t="s">
        <v>146</v>
      </c>
      <c r="C107" s="1886" t="s">
        <v>1688</v>
      </c>
      <c r="D107" s="1183"/>
      <c r="E107" s="1888"/>
      <c r="F107" s="1889"/>
      <c r="G107" s="1184" t="s">
        <v>640</v>
      </c>
      <c r="H107" s="2012">
        <v>0</v>
      </c>
      <c r="I107" s="2012">
        <v>0</v>
      </c>
      <c r="J107" s="2012">
        <f>[5]ZŠ!$B$50</f>
        <v>0</v>
      </c>
      <c r="K107" s="2161">
        <f t="shared" si="5"/>
        <v>0</v>
      </c>
      <c r="L107" s="2012"/>
      <c r="M107" s="2012"/>
      <c r="N107" s="2012"/>
      <c r="O107" s="2012"/>
      <c r="P107" s="2012"/>
      <c r="Q107" s="1101"/>
      <c r="R107" s="1141"/>
    </row>
    <row r="108" spans="1:18" s="1181" customFormat="1" ht="12" customHeight="1" outlineLevel="1" x14ac:dyDescent="0.25">
      <c r="A108" s="1143"/>
      <c r="B108" s="1176" t="s">
        <v>146</v>
      </c>
      <c r="C108" s="1993" t="s">
        <v>1690</v>
      </c>
      <c r="D108" s="1183"/>
      <c r="E108" s="1888"/>
      <c r="F108" s="1889"/>
      <c r="G108" s="1184" t="s">
        <v>640</v>
      </c>
      <c r="H108" s="2012">
        <v>30000</v>
      </c>
      <c r="I108" s="2012">
        <v>30000</v>
      </c>
      <c r="J108" s="2012">
        <f>[5]ZŠ!$B$62</f>
        <v>30000</v>
      </c>
      <c r="K108" s="2161">
        <f t="shared" si="5"/>
        <v>0</v>
      </c>
      <c r="L108" s="2012"/>
      <c r="M108" s="2012"/>
      <c r="N108" s="2012"/>
      <c r="O108" s="2012"/>
      <c r="P108" s="2012"/>
      <c r="Q108" s="1101"/>
      <c r="R108" s="1141"/>
    </row>
    <row r="109" spans="1:18" s="1181" customFormat="1" ht="12" customHeight="1" outlineLevel="1" x14ac:dyDescent="0.25">
      <c r="A109" s="1143"/>
      <c r="B109" s="1176" t="s">
        <v>146</v>
      </c>
      <c r="C109" s="1991" t="s">
        <v>1689</v>
      </c>
      <c r="D109" s="1178"/>
      <c r="E109" s="1204"/>
      <c r="F109" s="1992"/>
      <c r="G109" s="1184" t="s">
        <v>640</v>
      </c>
      <c r="H109" s="2012">
        <v>0</v>
      </c>
      <c r="I109" s="2012">
        <v>0</v>
      </c>
      <c r="J109" s="2012">
        <f>[5]ZŠ!$B$63</f>
        <v>0</v>
      </c>
      <c r="K109" s="2161">
        <f t="shared" si="5"/>
        <v>0</v>
      </c>
      <c r="L109" s="2012"/>
      <c r="M109" s="2012"/>
      <c r="N109" s="2012"/>
      <c r="O109" s="2012"/>
      <c r="P109" s="2012"/>
      <c r="Q109" s="1101"/>
      <c r="R109" s="1141"/>
    </row>
    <row r="110" spans="1:18" s="1181" customFormat="1" ht="12" customHeight="1" outlineLevel="1" x14ac:dyDescent="0.25">
      <c r="A110" s="1143"/>
      <c r="B110" s="1994" t="s">
        <v>146</v>
      </c>
      <c r="C110" s="1995" t="s">
        <v>1691</v>
      </c>
      <c r="D110" s="1996"/>
      <c r="E110" s="1997"/>
      <c r="F110" s="1998"/>
      <c r="G110" s="2002" t="s">
        <v>2017</v>
      </c>
      <c r="H110" s="2015">
        <v>31506654.48</v>
      </c>
      <c r="I110" s="2015">
        <v>31506654.48</v>
      </c>
      <c r="J110" s="2015">
        <f>[5]ZŠ!$B$76</f>
        <v>31506654.48</v>
      </c>
      <c r="K110" s="2164">
        <f t="shared" si="5"/>
        <v>0</v>
      </c>
      <c r="L110" s="2015"/>
      <c r="M110" s="2015"/>
      <c r="N110" s="2015"/>
      <c r="O110" s="2015"/>
      <c r="P110" s="2015"/>
      <c r="Q110" s="1101"/>
      <c r="R110" s="1141"/>
    </row>
    <row r="111" spans="1:18" s="1181" customFormat="1" ht="12" hidden="1" customHeight="1" outlineLevel="1" x14ac:dyDescent="0.25">
      <c r="A111" s="1143"/>
      <c r="B111" s="1176" t="s">
        <v>146</v>
      </c>
      <c r="C111" s="1991" t="s">
        <v>1692</v>
      </c>
      <c r="D111" s="1178"/>
      <c r="E111" s="1204"/>
      <c r="F111" s="1992"/>
      <c r="G111" s="1184" t="s">
        <v>640</v>
      </c>
      <c r="H111" s="2012">
        <v>0</v>
      </c>
      <c r="I111" s="2012">
        <v>0</v>
      </c>
      <c r="J111" s="2012">
        <f>[5]ZŠ!$B$77</f>
        <v>0</v>
      </c>
      <c r="K111" s="2161">
        <f t="shared" si="5"/>
        <v>0</v>
      </c>
      <c r="L111" s="2012"/>
      <c r="M111" s="2012"/>
      <c r="N111" s="2012"/>
      <c r="O111" s="2012"/>
      <c r="P111" s="2012"/>
      <c r="Q111" s="1101"/>
      <c r="R111" s="1141"/>
    </row>
    <row r="112" spans="1:18" s="1181" customFormat="1" ht="12" hidden="1" customHeight="1" outlineLevel="1" x14ac:dyDescent="0.25">
      <c r="A112" s="1143"/>
      <c r="B112" s="1176" t="s">
        <v>146</v>
      </c>
      <c r="C112" s="1991"/>
      <c r="D112" s="1178"/>
      <c r="E112" s="1204"/>
      <c r="F112" s="1992"/>
      <c r="G112" s="1184" t="s">
        <v>640</v>
      </c>
      <c r="H112" s="2012"/>
      <c r="I112" s="2012"/>
      <c r="J112" s="2012"/>
      <c r="K112" s="2161">
        <f t="shared" si="5"/>
        <v>0</v>
      </c>
      <c r="L112" s="2012"/>
      <c r="M112" s="2012"/>
      <c r="N112" s="2012"/>
      <c r="O112" s="2012"/>
      <c r="P112" s="2012"/>
      <c r="Q112" s="1101"/>
      <c r="R112" s="1141"/>
    </row>
    <row r="113" spans="1:18" s="1181" customFormat="1" ht="12" customHeight="1" outlineLevel="1" thickBot="1" x14ac:dyDescent="0.3">
      <c r="A113" s="1161"/>
      <c r="B113" s="1168" t="s">
        <v>146</v>
      </c>
      <c r="C113" s="1887"/>
      <c r="D113" s="1192"/>
      <c r="E113" s="1199"/>
      <c r="F113" s="1200"/>
      <c r="G113" s="1193" t="s">
        <v>640</v>
      </c>
      <c r="H113" s="2022"/>
      <c r="I113" s="2022"/>
      <c r="J113" s="2022"/>
      <c r="K113" s="2166">
        <f t="shared" si="5"/>
        <v>0</v>
      </c>
      <c r="L113" s="2022"/>
      <c r="M113" s="2022"/>
      <c r="N113" s="2022"/>
      <c r="O113" s="2022"/>
      <c r="P113" s="2022"/>
      <c r="Q113" s="1101"/>
      <c r="R113" s="1141"/>
    </row>
    <row r="114" spans="1:18" ht="14.25" thickBot="1" x14ac:dyDescent="0.3">
      <c r="A114" s="2729" t="s">
        <v>206</v>
      </c>
      <c r="B114" s="2730"/>
      <c r="C114" s="2102"/>
      <c r="D114" s="2103"/>
      <c r="E114" s="2103"/>
      <c r="F114" s="2104"/>
      <c r="G114" s="2103"/>
      <c r="H114" s="2112">
        <v>33536654.48</v>
      </c>
      <c r="I114" s="2112">
        <v>33536654.48</v>
      </c>
      <c r="J114" s="2112">
        <f>SUM(J100:J113)</f>
        <v>31736654.48</v>
      </c>
      <c r="K114" s="2167">
        <f t="shared" si="5"/>
        <v>-1800000</v>
      </c>
      <c r="L114" s="2112"/>
      <c r="M114" s="2112">
        <f>SUM(M100:M102)</f>
        <v>0</v>
      </c>
      <c r="N114" s="2112"/>
      <c r="O114" s="2112"/>
      <c r="P114" s="2112"/>
      <c r="Q114" s="1140">
        <f>'Výdaje kapitol celkem'!AZ69</f>
        <v>31736654.48</v>
      </c>
      <c r="R114" s="1141">
        <f>+Q114-J114</f>
        <v>0</v>
      </c>
    </row>
    <row r="115" spans="1:18" s="1181" customFormat="1" ht="12" hidden="1" customHeight="1" outlineLevel="1" x14ac:dyDescent="0.25">
      <c r="A115" s="1198"/>
      <c r="B115" s="1127" t="s">
        <v>1551</v>
      </c>
      <c r="C115" s="1886"/>
      <c r="D115" s="1178"/>
      <c r="E115" s="1178"/>
      <c r="F115" s="1179"/>
      <c r="G115" s="1178" t="s">
        <v>640</v>
      </c>
      <c r="H115" s="2011">
        <v>0</v>
      </c>
      <c r="I115" s="2011">
        <v>0</v>
      </c>
      <c r="J115" s="2011">
        <v>0</v>
      </c>
      <c r="K115" s="2156">
        <f t="shared" si="5"/>
        <v>0</v>
      </c>
      <c r="L115" s="2011"/>
      <c r="M115" s="2011"/>
      <c r="N115" s="2011"/>
      <c r="O115" s="2011"/>
      <c r="P115" s="2011"/>
      <c r="Q115" s="1101"/>
      <c r="R115" s="1141"/>
    </row>
    <row r="116" spans="1:18" s="1181" customFormat="1" ht="12" hidden="1" customHeight="1" outlineLevel="1" x14ac:dyDescent="0.25">
      <c r="A116" s="1175"/>
      <c r="B116" s="1127" t="s">
        <v>1551</v>
      </c>
      <c r="C116" s="1886"/>
      <c r="D116" s="1178"/>
      <c r="E116" s="1178"/>
      <c r="F116" s="1179"/>
      <c r="G116" s="1178" t="s">
        <v>640</v>
      </c>
      <c r="H116" s="2011">
        <v>0</v>
      </c>
      <c r="I116" s="2011">
        <v>0</v>
      </c>
      <c r="J116" s="2011">
        <v>0</v>
      </c>
      <c r="K116" s="2156">
        <f t="shared" si="5"/>
        <v>0</v>
      </c>
      <c r="L116" s="2011"/>
      <c r="M116" s="2011"/>
      <c r="N116" s="2011"/>
      <c r="O116" s="2011"/>
      <c r="P116" s="2011"/>
      <c r="Q116" s="1101"/>
      <c r="R116" s="1141"/>
    </row>
    <row r="117" spans="1:18" s="1181" customFormat="1" ht="12" hidden="1" customHeight="1" outlineLevel="1" thickBot="1" x14ac:dyDescent="0.3">
      <c r="A117" s="1144" t="s">
        <v>1552</v>
      </c>
      <c r="B117" s="1168" t="s">
        <v>1551</v>
      </c>
      <c r="C117" s="1194"/>
      <c r="D117" s="1192"/>
      <c r="E117" s="1199"/>
      <c r="F117" s="1200"/>
      <c r="G117" s="1192" t="s">
        <v>640</v>
      </c>
      <c r="H117" s="2013"/>
      <c r="I117" s="2013"/>
      <c r="J117" s="2013"/>
      <c r="K117" s="2162">
        <f t="shared" si="5"/>
        <v>0</v>
      </c>
      <c r="L117" s="2013"/>
      <c r="M117" s="2013"/>
      <c r="N117" s="2013"/>
      <c r="O117" s="2013"/>
      <c r="P117" s="2013"/>
      <c r="Q117" s="1101"/>
      <c r="R117" s="1141"/>
    </row>
    <row r="118" spans="1:18" ht="14.25" hidden="1" collapsed="1" thickBot="1" x14ac:dyDescent="0.3">
      <c r="A118" s="2729" t="s">
        <v>1554</v>
      </c>
      <c r="B118" s="2730"/>
      <c r="C118" s="2102"/>
      <c r="D118" s="2103"/>
      <c r="E118" s="2103"/>
      <c r="F118" s="2104"/>
      <c r="G118" s="2103"/>
      <c r="H118" s="2105">
        <v>0</v>
      </c>
      <c r="I118" s="2105">
        <v>0</v>
      </c>
      <c r="J118" s="2105">
        <f>SUM(J115:J117)</f>
        <v>0</v>
      </c>
      <c r="K118" s="2159">
        <f t="shared" si="5"/>
        <v>0</v>
      </c>
      <c r="L118" s="2105"/>
      <c r="M118" s="2105">
        <f>SUM(M115:M117)</f>
        <v>0</v>
      </c>
      <c r="N118" s="2105"/>
      <c r="O118" s="2105"/>
      <c r="P118" s="2105"/>
      <c r="Q118" s="1140">
        <f>'Výdaje kapitol celkem'!F68</f>
        <v>0</v>
      </c>
      <c r="R118" s="1141">
        <f>+Q118-J118</f>
        <v>0</v>
      </c>
    </row>
    <row r="119" spans="1:18" s="1181" customFormat="1" ht="12" hidden="1" customHeight="1" outlineLevel="1" x14ac:dyDescent="0.25">
      <c r="A119" s="1175"/>
      <c r="B119" s="1190" t="s">
        <v>491</v>
      </c>
      <c r="C119" s="1177"/>
      <c r="D119" s="1178"/>
      <c r="E119" s="1178"/>
      <c r="F119" s="1179"/>
      <c r="G119" s="1178" t="s">
        <v>640</v>
      </c>
      <c r="H119" s="1130">
        <v>0</v>
      </c>
      <c r="I119" s="1130">
        <v>0</v>
      </c>
      <c r="J119" s="1130">
        <f>'[5]Č.p. 65'!$B$4</f>
        <v>0</v>
      </c>
      <c r="K119" s="1131">
        <f t="shared" si="5"/>
        <v>0</v>
      </c>
      <c r="L119" s="1130"/>
      <c r="M119" s="1130"/>
      <c r="N119" s="1130"/>
      <c r="O119" s="1130"/>
      <c r="P119" s="1130"/>
      <c r="Q119" s="1101"/>
      <c r="R119" s="1141"/>
    </row>
    <row r="120" spans="1:18" s="1181" customFormat="1" ht="12" hidden="1" customHeight="1" outlineLevel="1" x14ac:dyDescent="0.25">
      <c r="A120" s="1175"/>
      <c r="B120" s="1190" t="s">
        <v>491</v>
      </c>
      <c r="C120" s="1177"/>
      <c r="D120" s="1178"/>
      <c r="E120" s="1178"/>
      <c r="F120" s="1179"/>
      <c r="G120" s="1178" t="s">
        <v>640</v>
      </c>
      <c r="H120" s="1130">
        <v>0</v>
      </c>
      <c r="I120" s="1130">
        <v>0</v>
      </c>
      <c r="J120" s="1130">
        <f>'[5]Č.p. 65'!$B$5</f>
        <v>0</v>
      </c>
      <c r="K120" s="1131">
        <f t="shared" si="5"/>
        <v>0</v>
      </c>
      <c r="L120" s="1130"/>
      <c r="M120" s="1130"/>
      <c r="N120" s="1130"/>
      <c r="O120" s="1130"/>
      <c r="P120" s="1130"/>
      <c r="Q120" s="1101"/>
      <c r="R120" s="1141"/>
    </row>
    <row r="121" spans="1:18" s="1181" customFormat="1" ht="12" hidden="1" customHeight="1" outlineLevel="1" thickBot="1" x14ac:dyDescent="0.3">
      <c r="A121" s="1202">
        <v>3114</v>
      </c>
      <c r="B121" s="1191" t="s">
        <v>491</v>
      </c>
      <c r="C121" s="1194"/>
      <c r="D121" s="1192"/>
      <c r="E121" s="1192"/>
      <c r="F121" s="1193"/>
      <c r="G121" s="1192" t="s">
        <v>640</v>
      </c>
      <c r="H121" s="1167"/>
      <c r="I121" s="1167"/>
      <c r="J121" s="1167"/>
      <c r="K121" s="1172">
        <f t="shared" si="5"/>
        <v>0</v>
      </c>
      <c r="L121" s="1167"/>
      <c r="M121" s="1167"/>
      <c r="N121" s="1167"/>
      <c r="O121" s="1167"/>
      <c r="P121" s="1167"/>
      <c r="Q121" s="1101"/>
      <c r="R121" s="1141"/>
    </row>
    <row r="122" spans="1:18" ht="14.25" hidden="1" collapsed="1" thickBot="1" x14ac:dyDescent="0.3">
      <c r="A122" s="2729" t="s">
        <v>628</v>
      </c>
      <c r="B122" s="2730"/>
      <c r="C122" s="2102"/>
      <c r="D122" s="2103"/>
      <c r="E122" s="2103"/>
      <c r="F122" s="2104"/>
      <c r="G122" s="2103"/>
      <c r="H122" s="2105">
        <v>0</v>
      </c>
      <c r="I122" s="2105">
        <v>0</v>
      </c>
      <c r="J122" s="2105">
        <f>SUM(J119:J121)</f>
        <v>0</v>
      </c>
      <c r="K122" s="2159">
        <f t="shared" si="5"/>
        <v>0</v>
      </c>
      <c r="L122" s="2105"/>
      <c r="M122" s="2105">
        <f>SUM(M119:M121)</f>
        <v>0</v>
      </c>
      <c r="N122" s="2105"/>
      <c r="O122" s="2105"/>
      <c r="P122" s="2105"/>
      <c r="Q122" s="1140">
        <f>'Výdaje kapitol celkem'!BF69</f>
        <v>0</v>
      </c>
      <c r="R122" s="1141">
        <f>+Q122-J122</f>
        <v>0</v>
      </c>
    </row>
    <row r="123" spans="1:18" s="1181" customFormat="1" hidden="1" outlineLevel="1" x14ac:dyDescent="0.25">
      <c r="A123" s="1175"/>
      <c r="B123" s="1190" t="s">
        <v>149</v>
      </c>
      <c r="C123" s="1177" t="s">
        <v>1693</v>
      </c>
      <c r="D123" s="1178"/>
      <c r="E123" s="1178"/>
      <c r="F123" s="1179"/>
      <c r="G123" s="1178" t="s">
        <v>640</v>
      </c>
      <c r="H123" s="1130"/>
      <c r="I123" s="1130"/>
      <c r="J123" s="1130"/>
      <c r="K123" s="1131">
        <f t="shared" si="5"/>
        <v>0</v>
      </c>
      <c r="L123" s="1130"/>
      <c r="M123" s="1130"/>
      <c r="N123" s="1130"/>
      <c r="O123" s="1130"/>
      <c r="P123" s="1130"/>
      <c r="Q123" s="1101"/>
      <c r="R123" s="1141"/>
    </row>
    <row r="124" spans="1:18" s="1181" customFormat="1" hidden="1" outlineLevel="1" x14ac:dyDescent="0.25">
      <c r="A124" s="1175"/>
      <c r="B124" s="2005" t="s">
        <v>149</v>
      </c>
      <c r="C124" s="2006" t="s">
        <v>1678</v>
      </c>
      <c r="D124" s="1996"/>
      <c r="E124" s="1996"/>
      <c r="F124" s="2007"/>
      <c r="G124" s="1996" t="s">
        <v>2017</v>
      </c>
      <c r="H124" s="2000"/>
      <c r="I124" s="2000"/>
      <c r="J124" s="2000"/>
      <c r="K124" s="2008">
        <f t="shared" si="5"/>
        <v>0</v>
      </c>
      <c r="L124" s="2000"/>
      <c r="M124" s="2000"/>
      <c r="N124" s="2000"/>
      <c r="O124" s="2000"/>
      <c r="P124" s="2000"/>
      <c r="Q124" s="1101"/>
      <c r="R124" s="1141"/>
    </row>
    <row r="125" spans="1:18" s="1181" customFormat="1" hidden="1" outlineLevel="1" x14ac:dyDescent="0.25">
      <c r="A125" s="1175"/>
      <c r="B125" s="1190" t="s">
        <v>149</v>
      </c>
      <c r="C125" s="1177" t="s">
        <v>1694</v>
      </c>
      <c r="D125" s="1178"/>
      <c r="E125" s="1178"/>
      <c r="F125" s="1179"/>
      <c r="G125" s="1178" t="s">
        <v>640</v>
      </c>
      <c r="H125" s="1130"/>
      <c r="I125" s="1130"/>
      <c r="J125" s="1130"/>
      <c r="K125" s="1131">
        <f t="shared" si="5"/>
        <v>0</v>
      </c>
      <c r="L125" s="1130"/>
      <c r="M125" s="1130"/>
      <c r="N125" s="1130"/>
      <c r="O125" s="1130"/>
      <c r="P125" s="1130"/>
      <c r="Q125" s="1101"/>
      <c r="R125" s="1141"/>
    </row>
    <row r="126" spans="1:18" s="1181" customFormat="1" hidden="1" outlineLevel="1" x14ac:dyDescent="0.25">
      <c r="A126" s="1175"/>
      <c r="B126" s="1190" t="s">
        <v>149</v>
      </c>
      <c r="C126" s="1177" t="s">
        <v>1695</v>
      </c>
      <c r="D126" s="1178"/>
      <c r="E126" s="1178"/>
      <c r="F126" s="1179"/>
      <c r="G126" s="1178" t="s">
        <v>640</v>
      </c>
      <c r="H126" s="1130"/>
      <c r="I126" s="1130"/>
      <c r="J126" s="1130"/>
      <c r="K126" s="1131">
        <f t="shared" si="5"/>
        <v>0</v>
      </c>
      <c r="L126" s="1130"/>
      <c r="M126" s="1130"/>
      <c r="N126" s="1130"/>
      <c r="O126" s="1130"/>
      <c r="P126" s="1130"/>
      <c r="Q126" s="1101"/>
      <c r="R126" s="1141"/>
    </row>
    <row r="127" spans="1:18" s="1181" customFormat="1" hidden="1" outlineLevel="1" x14ac:dyDescent="0.25">
      <c r="A127" s="1175"/>
      <c r="B127" s="1190" t="s">
        <v>149</v>
      </c>
      <c r="C127" s="1177" t="s">
        <v>1696</v>
      </c>
      <c r="D127" s="1178"/>
      <c r="E127" s="1178"/>
      <c r="F127" s="1179"/>
      <c r="G127" s="1178" t="s">
        <v>640</v>
      </c>
      <c r="H127" s="1130"/>
      <c r="I127" s="1130"/>
      <c r="J127" s="1130"/>
      <c r="K127" s="1131">
        <f t="shared" si="5"/>
        <v>0</v>
      </c>
      <c r="L127" s="1130"/>
      <c r="M127" s="1130"/>
      <c r="N127" s="1130"/>
      <c r="O127" s="1130"/>
      <c r="P127" s="1130"/>
      <c r="Q127" s="1101"/>
      <c r="R127" s="1141"/>
    </row>
    <row r="128" spans="1:18" s="1181" customFormat="1" hidden="1" outlineLevel="1" x14ac:dyDescent="0.25">
      <c r="A128" s="1175"/>
      <c r="B128" s="1190" t="s">
        <v>149</v>
      </c>
      <c r="C128" s="1177" t="s">
        <v>1697</v>
      </c>
      <c r="D128" s="1178"/>
      <c r="E128" s="1178"/>
      <c r="F128" s="1179"/>
      <c r="G128" s="1178" t="s">
        <v>640</v>
      </c>
      <c r="H128" s="1130"/>
      <c r="I128" s="1130"/>
      <c r="J128" s="1130"/>
      <c r="K128" s="1131">
        <f t="shared" si="5"/>
        <v>0</v>
      </c>
      <c r="L128" s="1130"/>
      <c r="M128" s="1130"/>
      <c r="N128" s="1130"/>
      <c r="O128" s="1130"/>
      <c r="P128" s="1130"/>
      <c r="Q128" s="1101"/>
      <c r="R128" s="1141"/>
    </row>
    <row r="129" spans="1:18" s="1181" customFormat="1" hidden="1" outlineLevel="1" x14ac:dyDescent="0.25">
      <c r="A129" s="1175"/>
      <c r="B129" s="1881" t="s">
        <v>149</v>
      </c>
      <c r="C129" s="1182" t="s">
        <v>1698</v>
      </c>
      <c r="D129" s="1183"/>
      <c r="E129" s="1888"/>
      <c r="F129" s="2003"/>
      <c r="G129" s="1183" t="s">
        <v>640</v>
      </c>
      <c r="H129" s="1188"/>
      <c r="I129" s="1188"/>
      <c r="J129" s="1188"/>
      <c r="K129" s="2004">
        <f t="shared" si="5"/>
        <v>0</v>
      </c>
      <c r="L129" s="1188"/>
      <c r="M129" s="1188"/>
      <c r="N129" s="1188"/>
      <c r="O129" s="1188"/>
      <c r="P129" s="1188"/>
      <c r="Q129" s="1101"/>
      <c r="R129" s="1141"/>
    </row>
    <row r="130" spans="1:18" s="1181" customFormat="1" hidden="1" outlineLevel="1" x14ac:dyDescent="0.25">
      <c r="A130" s="1175"/>
      <c r="B130" s="1190" t="s">
        <v>149</v>
      </c>
      <c r="C130" s="1177" t="s">
        <v>1699</v>
      </c>
      <c r="D130" s="1178"/>
      <c r="E130" s="1204"/>
      <c r="F130" s="1205"/>
      <c r="G130" s="1178" t="s">
        <v>640</v>
      </c>
      <c r="H130" s="1133"/>
      <c r="I130" s="1133"/>
      <c r="J130" s="1133"/>
      <c r="K130" s="2168">
        <f t="shared" si="5"/>
        <v>0</v>
      </c>
      <c r="L130" s="1133"/>
      <c r="M130" s="1133"/>
      <c r="N130" s="1133"/>
      <c r="O130" s="1133"/>
      <c r="P130" s="1133"/>
      <c r="Q130" s="1101"/>
      <c r="R130" s="1141"/>
    </row>
    <row r="131" spans="1:18" s="1181" customFormat="1" ht="14.25" hidden="1" outlineLevel="1" thickBot="1" x14ac:dyDescent="0.3">
      <c r="A131" s="1202" t="s">
        <v>1700</v>
      </c>
      <c r="B131" s="1191" t="s">
        <v>149</v>
      </c>
      <c r="C131" s="1194" t="s">
        <v>1701</v>
      </c>
      <c r="D131" s="1192"/>
      <c r="E131" s="1199"/>
      <c r="F131" s="1200"/>
      <c r="G131" s="1192"/>
      <c r="H131" s="1174"/>
      <c r="I131" s="1174"/>
      <c r="J131" s="1174"/>
      <c r="K131" s="1201">
        <f t="shared" si="5"/>
        <v>0</v>
      </c>
      <c r="L131" s="1174"/>
      <c r="M131" s="1174"/>
      <c r="N131" s="1174"/>
      <c r="O131" s="1174"/>
      <c r="P131" s="1174"/>
      <c r="Q131" s="1101"/>
      <c r="R131" s="1141"/>
    </row>
    <row r="132" spans="1:18" ht="14.25" hidden="1" collapsed="1" thickBot="1" x14ac:dyDescent="0.3">
      <c r="A132" s="2729" t="s">
        <v>629</v>
      </c>
      <c r="B132" s="2730"/>
      <c r="C132" s="2102"/>
      <c r="D132" s="2103"/>
      <c r="E132" s="2103"/>
      <c r="F132" s="2104"/>
      <c r="G132" s="2103"/>
      <c r="H132" s="2105">
        <v>0</v>
      </c>
      <c r="I132" s="2105">
        <v>0</v>
      </c>
      <c r="J132" s="2105">
        <f>SUM(J123:J131)</f>
        <v>0</v>
      </c>
      <c r="K132" s="2159">
        <f t="shared" si="5"/>
        <v>0</v>
      </c>
      <c r="L132" s="2105"/>
      <c r="M132" s="2105">
        <f t="shared" ref="M132" si="7">SUM(M123:M129)</f>
        <v>0</v>
      </c>
      <c r="N132" s="2105"/>
      <c r="O132" s="2105"/>
      <c r="P132" s="2105"/>
      <c r="Q132" s="1140">
        <f>'Výdaje kapitol celkem'!BO69</f>
        <v>0</v>
      </c>
      <c r="R132" s="1141">
        <f>+Q132-J132</f>
        <v>0</v>
      </c>
    </row>
    <row r="133" spans="1:18" s="1181" customFormat="1" ht="12" hidden="1" customHeight="1" outlineLevel="1" x14ac:dyDescent="0.25">
      <c r="A133" s="1143"/>
      <c r="B133" s="1127" t="s">
        <v>1138</v>
      </c>
      <c r="C133" s="1177"/>
      <c r="D133" s="1178"/>
      <c r="E133" s="1178"/>
      <c r="F133" s="1179"/>
      <c r="G133" s="1178" t="s">
        <v>640</v>
      </c>
      <c r="H133" s="1130">
        <v>0</v>
      </c>
      <c r="I133" s="1130">
        <v>0</v>
      </c>
      <c r="J133" s="1130">
        <v>0</v>
      </c>
      <c r="K133" s="1131">
        <f t="shared" si="5"/>
        <v>0</v>
      </c>
      <c r="L133" s="1130"/>
      <c r="M133" s="1130"/>
      <c r="N133" s="1130"/>
      <c r="O133" s="1130"/>
      <c r="P133" s="1130"/>
      <c r="Q133" s="1101"/>
      <c r="R133" s="1141"/>
    </row>
    <row r="134" spans="1:18" s="1181" customFormat="1" ht="12" hidden="1" customHeight="1" outlineLevel="1" x14ac:dyDescent="0.25">
      <c r="A134" s="1143"/>
      <c r="B134" s="1127" t="s">
        <v>1138</v>
      </c>
      <c r="C134" s="1177"/>
      <c r="D134" s="1178"/>
      <c r="E134" s="1178"/>
      <c r="F134" s="1179"/>
      <c r="G134" s="1178" t="s">
        <v>640</v>
      </c>
      <c r="H134" s="1130">
        <v>0</v>
      </c>
      <c r="I134" s="1130">
        <v>0</v>
      </c>
      <c r="J134" s="1130">
        <v>0</v>
      </c>
      <c r="K134" s="1131">
        <f t="shared" si="5"/>
        <v>0</v>
      </c>
      <c r="L134" s="1130"/>
      <c r="M134" s="1130"/>
      <c r="N134" s="1130"/>
      <c r="O134" s="1130"/>
      <c r="P134" s="1130"/>
      <c r="Q134" s="1101"/>
      <c r="R134" s="1141"/>
    </row>
    <row r="135" spans="1:18" s="1181" customFormat="1" ht="12" hidden="1" customHeight="1" outlineLevel="1" thickBot="1" x14ac:dyDescent="0.3">
      <c r="A135" s="1144" t="s">
        <v>194</v>
      </c>
      <c r="B135" s="1203" t="s">
        <v>1138</v>
      </c>
      <c r="C135" s="1195"/>
      <c r="D135" s="1196"/>
      <c r="E135" s="1196"/>
      <c r="F135" s="1197"/>
      <c r="G135" s="1196"/>
      <c r="H135" s="1148"/>
      <c r="I135" s="1148"/>
      <c r="J135" s="1148"/>
      <c r="K135" s="1149">
        <f t="shared" ref="K135:K198" si="8">+J135-I135</f>
        <v>0</v>
      </c>
      <c r="L135" s="1148"/>
      <c r="M135" s="1148"/>
      <c r="N135" s="1148"/>
      <c r="O135" s="1148"/>
      <c r="P135" s="1148"/>
      <c r="Q135" s="1101"/>
      <c r="R135" s="1141"/>
    </row>
    <row r="136" spans="1:18" ht="14.25" hidden="1" collapsed="1" thickBot="1" x14ac:dyDescent="0.3">
      <c r="A136" s="2729" t="s">
        <v>1137</v>
      </c>
      <c r="B136" s="2730"/>
      <c r="C136" s="2102"/>
      <c r="D136" s="2103"/>
      <c r="E136" s="2103"/>
      <c r="F136" s="2104"/>
      <c r="G136" s="2103"/>
      <c r="H136" s="2105">
        <v>0</v>
      </c>
      <c r="I136" s="2105">
        <v>0</v>
      </c>
      <c r="J136" s="2105">
        <f>SUM(J133:J135)</f>
        <v>0</v>
      </c>
      <c r="K136" s="2159">
        <f t="shared" si="8"/>
        <v>0</v>
      </c>
      <c r="L136" s="2105"/>
      <c r="M136" s="2105">
        <f>SUM(M133:M135)</f>
        <v>0</v>
      </c>
      <c r="N136" s="2105"/>
      <c r="O136" s="2105"/>
      <c r="P136" s="2105"/>
      <c r="Q136" s="1140">
        <f>'Výdaje kapitol celkem'!BL58</f>
        <v>0</v>
      </c>
      <c r="R136" s="1141">
        <f>+Q136-J136</f>
        <v>0</v>
      </c>
    </row>
    <row r="137" spans="1:18" s="1181" customFormat="1" ht="12" hidden="1" customHeight="1" outlineLevel="1" x14ac:dyDescent="0.25">
      <c r="A137" s="1143"/>
      <c r="B137" s="1127" t="s">
        <v>262</v>
      </c>
      <c r="C137" s="1177"/>
      <c r="D137" s="1178"/>
      <c r="E137" s="1178"/>
      <c r="F137" s="1179"/>
      <c r="G137" s="1178" t="s">
        <v>640</v>
      </c>
      <c r="H137" s="1130">
        <v>0</v>
      </c>
      <c r="I137" s="1130">
        <v>0</v>
      </c>
      <c r="J137" s="1130">
        <f>+'[5]Jídelna ZŠ'!$B$14</f>
        <v>0</v>
      </c>
      <c r="K137" s="1131">
        <f t="shared" si="8"/>
        <v>0</v>
      </c>
      <c r="L137" s="1130"/>
      <c r="M137" s="1130"/>
      <c r="N137" s="1130"/>
      <c r="O137" s="1130"/>
      <c r="P137" s="1130"/>
      <c r="Q137" s="1101"/>
      <c r="R137" s="1141"/>
    </row>
    <row r="138" spans="1:18" s="1181" customFormat="1" ht="12" hidden="1" customHeight="1" outlineLevel="1" x14ac:dyDescent="0.25">
      <c r="A138" s="1143"/>
      <c r="B138" s="1127" t="s">
        <v>262</v>
      </c>
      <c r="C138" s="1177"/>
      <c r="D138" s="1178"/>
      <c r="E138" s="1178"/>
      <c r="F138" s="1179"/>
      <c r="G138" s="1178" t="s">
        <v>640</v>
      </c>
      <c r="H138" s="1130">
        <v>0</v>
      </c>
      <c r="I138" s="1130">
        <v>0</v>
      </c>
      <c r="J138" s="1130">
        <f>'[5]Jídelna ZŠ'!$B$4</f>
        <v>0</v>
      </c>
      <c r="K138" s="1131">
        <f t="shared" si="8"/>
        <v>0</v>
      </c>
      <c r="L138" s="1130"/>
      <c r="M138" s="1130"/>
      <c r="N138" s="1130"/>
      <c r="O138" s="1130"/>
      <c r="P138" s="1130"/>
      <c r="Q138" s="1101"/>
      <c r="R138" s="1141"/>
    </row>
    <row r="139" spans="1:18" s="1181" customFormat="1" ht="12" hidden="1" customHeight="1" outlineLevel="1" x14ac:dyDescent="0.25">
      <c r="A139" s="1143"/>
      <c r="B139" s="1176" t="s">
        <v>262</v>
      </c>
      <c r="C139" s="1182"/>
      <c r="D139" s="1183"/>
      <c r="E139" s="1183"/>
      <c r="F139" s="1184"/>
      <c r="G139" s="1183" t="s">
        <v>640</v>
      </c>
      <c r="H139" s="1185">
        <v>0</v>
      </c>
      <c r="I139" s="1185">
        <v>0</v>
      </c>
      <c r="J139" s="1185">
        <f>'[5]Jídelna ZŠ'!$B$14</f>
        <v>0</v>
      </c>
      <c r="K139" s="1186">
        <f t="shared" si="8"/>
        <v>0</v>
      </c>
      <c r="L139" s="1185"/>
      <c r="M139" s="1185"/>
      <c r="N139" s="1185"/>
      <c r="O139" s="1185"/>
      <c r="P139" s="1185"/>
      <c r="Q139" s="1101"/>
      <c r="R139" s="1141"/>
    </row>
    <row r="140" spans="1:18" s="1181" customFormat="1" ht="12" hidden="1" customHeight="1" outlineLevel="1" x14ac:dyDescent="0.25">
      <c r="A140" s="1143"/>
      <c r="B140" s="1882" t="s">
        <v>262</v>
      </c>
      <c r="C140" s="1873"/>
      <c r="D140" s="1874"/>
      <c r="E140" s="1874"/>
      <c r="F140" s="1875"/>
      <c r="G140" s="1874" t="s">
        <v>640</v>
      </c>
      <c r="H140" s="1877">
        <v>0</v>
      </c>
      <c r="I140" s="1877">
        <v>0</v>
      </c>
      <c r="J140" s="1877">
        <f>'[5]Jídelna ZŠ'!$B$15</f>
        <v>0</v>
      </c>
      <c r="K140" s="1876">
        <f t="shared" si="8"/>
        <v>0</v>
      </c>
      <c r="L140" s="1877"/>
      <c r="M140" s="1877"/>
      <c r="N140" s="1877"/>
      <c r="O140" s="1877"/>
      <c r="P140" s="1877"/>
      <c r="Q140" s="1101"/>
      <c r="R140" s="1141"/>
    </row>
    <row r="141" spans="1:18" s="1181" customFormat="1" ht="12" customHeight="1" outlineLevel="1" x14ac:dyDescent="0.25">
      <c r="A141" s="1143"/>
      <c r="B141" s="1176" t="s">
        <v>262</v>
      </c>
      <c r="C141" s="1182"/>
      <c r="D141" s="1183"/>
      <c r="E141" s="1183"/>
      <c r="F141" s="1184"/>
      <c r="G141" s="1183" t="s">
        <v>640</v>
      </c>
      <c r="H141" s="1185">
        <v>500000</v>
      </c>
      <c r="I141" s="1185">
        <v>500000</v>
      </c>
      <c r="J141" s="1185">
        <f>'[5]Jídelna ZŠ'!$B$25</f>
        <v>2500000</v>
      </c>
      <c r="K141" s="1186">
        <f t="shared" si="8"/>
        <v>2000000</v>
      </c>
      <c r="L141" s="1185"/>
      <c r="M141" s="1185"/>
      <c r="N141" s="1185"/>
      <c r="O141" s="1185"/>
      <c r="P141" s="1185"/>
      <c r="Q141" s="1101"/>
      <c r="R141" s="1141"/>
    </row>
    <row r="142" spans="1:18" s="1181" customFormat="1" ht="12" customHeight="1" outlineLevel="1" thickBot="1" x14ac:dyDescent="0.3">
      <c r="A142" s="1144" t="s">
        <v>622</v>
      </c>
      <c r="B142" s="1168" t="s">
        <v>262</v>
      </c>
      <c r="C142" s="1194"/>
      <c r="D142" s="1192"/>
      <c r="E142" s="1192"/>
      <c r="F142" s="1193"/>
      <c r="G142" s="1192" t="s">
        <v>640</v>
      </c>
      <c r="H142" s="1167">
        <v>0</v>
      </c>
      <c r="I142" s="1167">
        <v>0</v>
      </c>
      <c r="J142" s="1167">
        <f>'[5]Jídelna ZŠ'!$B$26</f>
        <v>0</v>
      </c>
      <c r="K142" s="1172">
        <f t="shared" si="8"/>
        <v>0</v>
      </c>
      <c r="L142" s="1167"/>
      <c r="M142" s="1167"/>
      <c r="N142" s="1167"/>
      <c r="O142" s="1167"/>
      <c r="P142" s="1167"/>
      <c r="Q142" s="1101"/>
      <c r="R142" s="1141"/>
    </row>
    <row r="143" spans="1:18" ht="14.25" thickBot="1" x14ac:dyDescent="0.3">
      <c r="A143" s="2729" t="s">
        <v>630</v>
      </c>
      <c r="B143" s="2730"/>
      <c r="C143" s="2102"/>
      <c r="D143" s="2103"/>
      <c r="E143" s="2103"/>
      <c r="F143" s="2104"/>
      <c r="G143" s="2103"/>
      <c r="H143" s="2105">
        <v>500000</v>
      </c>
      <c r="I143" s="2105">
        <v>500000</v>
      </c>
      <c r="J143" s="2105">
        <f>SUM(J137:J142)</f>
        <v>2500000</v>
      </c>
      <c r="K143" s="2159">
        <f t="shared" si="8"/>
        <v>2000000</v>
      </c>
      <c r="L143" s="2105"/>
      <c r="M143" s="2105">
        <f>SUM(M137:M142)</f>
        <v>0</v>
      </c>
      <c r="N143" s="2105"/>
      <c r="O143" s="2105"/>
      <c r="P143" s="2105"/>
      <c r="Q143" s="1140">
        <f>'Výdaje kapitol celkem'!BR69</f>
        <v>2500000</v>
      </c>
      <c r="R143" s="1141">
        <f>+Q143-J143</f>
        <v>0</v>
      </c>
    </row>
    <row r="144" spans="1:18" s="1181" customFormat="1" ht="12" customHeight="1" outlineLevel="1" x14ac:dyDescent="0.25">
      <c r="A144" s="1143"/>
      <c r="B144" s="2005" t="s">
        <v>492</v>
      </c>
      <c r="C144" s="2006" t="s">
        <v>1678</v>
      </c>
      <c r="D144" s="1996"/>
      <c r="E144" s="1996"/>
      <c r="F144" s="2007"/>
      <c r="G144" s="1996" t="s">
        <v>2017</v>
      </c>
      <c r="H144" s="2000">
        <v>0</v>
      </c>
      <c r="I144" s="2000">
        <v>0</v>
      </c>
      <c r="J144" s="2000">
        <f>'[5]MŠ Cukrovar'!$B$18</f>
        <v>0</v>
      </c>
      <c r="K144" s="2008">
        <f t="shared" si="8"/>
        <v>0</v>
      </c>
      <c r="L144" s="2000"/>
      <c r="M144" s="2000"/>
      <c r="N144" s="2000"/>
      <c r="O144" s="2000"/>
      <c r="P144" s="2000"/>
      <c r="Q144" s="1101"/>
      <c r="R144" s="1141"/>
    </row>
    <row r="145" spans="1:18" s="1181" customFormat="1" ht="12" customHeight="1" outlineLevel="1" x14ac:dyDescent="0.25">
      <c r="A145" s="1143"/>
      <c r="B145" s="1882" t="s">
        <v>492</v>
      </c>
      <c r="C145" s="1873" t="s">
        <v>1693</v>
      </c>
      <c r="D145" s="1874"/>
      <c r="E145" s="1874"/>
      <c r="F145" s="1875"/>
      <c r="G145" s="1874" t="s">
        <v>640</v>
      </c>
      <c r="H145" s="1877">
        <v>300000</v>
      </c>
      <c r="I145" s="1877">
        <v>300000</v>
      </c>
      <c r="J145" s="1877">
        <f>'[5]MŠ Cukrovar'!$B$5</f>
        <v>300000</v>
      </c>
      <c r="K145" s="1876">
        <f t="shared" si="8"/>
        <v>0</v>
      </c>
      <c r="L145" s="1877"/>
      <c r="M145" s="1877"/>
      <c r="N145" s="1877"/>
      <c r="O145" s="1877"/>
      <c r="P145" s="1877"/>
      <c r="Q145" s="1101"/>
      <c r="R145" s="1141"/>
    </row>
    <row r="146" spans="1:18" s="1181" customFormat="1" ht="12" customHeight="1" outlineLevel="1" x14ac:dyDescent="0.25">
      <c r="A146" s="1143"/>
      <c r="B146" s="1176" t="s">
        <v>492</v>
      </c>
      <c r="C146" s="1182" t="s">
        <v>2046</v>
      </c>
      <c r="D146" s="1183"/>
      <c r="E146" s="1183"/>
      <c r="F146" s="1184"/>
      <c r="G146" s="1183" t="s">
        <v>640</v>
      </c>
      <c r="H146" s="1185">
        <v>250000</v>
      </c>
      <c r="I146" s="1185">
        <v>250000</v>
      </c>
      <c r="J146" s="1185">
        <f>'[5]MŠ Cukrovar'!$B$21</f>
        <v>250000</v>
      </c>
      <c r="K146" s="1186">
        <f t="shared" si="8"/>
        <v>0</v>
      </c>
      <c r="L146" s="1185"/>
      <c r="M146" s="1185"/>
      <c r="N146" s="1185"/>
      <c r="O146" s="1185"/>
      <c r="P146" s="1185"/>
      <c r="Q146" s="1101"/>
      <c r="R146" s="1141"/>
    </row>
    <row r="147" spans="1:18" s="1181" customFormat="1" ht="12" hidden="1" customHeight="1" outlineLevel="1" x14ac:dyDescent="0.25">
      <c r="A147" s="1143"/>
      <c r="B147" s="1176" t="s">
        <v>492</v>
      </c>
      <c r="C147" s="1182"/>
      <c r="D147" s="1183"/>
      <c r="E147" s="1183"/>
      <c r="F147" s="1184"/>
      <c r="G147" s="1183" t="s">
        <v>640</v>
      </c>
      <c r="H147" s="1185">
        <v>0</v>
      </c>
      <c r="I147" s="1185">
        <v>0</v>
      </c>
      <c r="J147" s="1185">
        <v>0</v>
      </c>
      <c r="K147" s="1186">
        <f t="shared" si="8"/>
        <v>0</v>
      </c>
      <c r="L147" s="1185"/>
      <c r="M147" s="1185"/>
      <c r="N147" s="1185"/>
      <c r="O147" s="1185"/>
      <c r="P147" s="1185"/>
      <c r="Q147" s="1101"/>
      <c r="R147" s="1141"/>
    </row>
    <row r="148" spans="1:18" s="1181" customFormat="1" ht="15" customHeight="1" outlineLevel="1" thickBot="1" x14ac:dyDescent="0.3">
      <c r="A148" s="1144" t="s">
        <v>623</v>
      </c>
      <c r="B148" s="2106" t="s">
        <v>492</v>
      </c>
      <c r="C148" s="2107"/>
      <c r="D148" s="2108"/>
      <c r="E148" s="2108"/>
      <c r="F148" s="2109"/>
      <c r="G148" s="2110" t="s">
        <v>640</v>
      </c>
      <c r="H148" s="2111"/>
      <c r="I148" s="2111"/>
      <c r="J148" s="2111"/>
      <c r="K148" s="2169">
        <f t="shared" si="8"/>
        <v>0</v>
      </c>
      <c r="L148" s="2111"/>
      <c r="M148" s="2111"/>
      <c r="N148" s="2111"/>
      <c r="O148" s="2111"/>
      <c r="P148" s="2111"/>
      <c r="Q148" s="1101"/>
      <c r="R148" s="1141"/>
    </row>
    <row r="149" spans="1:18" ht="14.25" thickBot="1" x14ac:dyDescent="0.3">
      <c r="A149" s="2729" t="s">
        <v>631</v>
      </c>
      <c r="B149" s="2730"/>
      <c r="C149" s="2102"/>
      <c r="D149" s="2103"/>
      <c r="E149" s="2103"/>
      <c r="F149" s="2104"/>
      <c r="G149" s="2103"/>
      <c r="H149" s="2105">
        <v>550000</v>
      </c>
      <c r="I149" s="2105">
        <v>550000</v>
      </c>
      <c r="J149" s="2105">
        <f>SUM(J144:J148)</f>
        <v>550000</v>
      </c>
      <c r="K149" s="2159">
        <f t="shared" si="8"/>
        <v>0</v>
      </c>
      <c r="L149" s="2105"/>
      <c r="M149" s="2105">
        <f>SUM(M144:M148)</f>
        <v>0</v>
      </c>
      <c r="N149" s="2105"/>
      <c r="O149" s="2105"/>
      <c r="P149" s="2105"/>
      <c r="Q149" s="1140">
        <f>'Výdaje kapitol celkem'!BV69</f>
        <v>550000</v>
      </c>
      <c r="R149" s="1141">
        <f>+Q149-J149</f>
        <v>0</v>
      </c>
    </row>
    <row r="150" spans="1:18" s="1181" customFormat="1" ht="12" customHeight="1" outlineLevel="1" x14ac:dyDescent="0.25">
      <c r="A150" s="1175"/>
      <c r="B150" s="1118" t="s">
        <v>153</v>
      </c>
      <c r="C150" s="1177" t="s">
        <v>1735</v>
      </c>
      <c r="D150" s="1178"/>
      <c r="E150" s="1204"/>
      <c r="F150" s="1205"/>
      <c r="G150" s="1178" t="s">
        <v>640</v>
      </c>
      <c r="H150" s="1130">
        <v>351000</v>
      </c>
      <c r="I150" s="1130">
        <v>351000</v>
      </c>
      <c r="J150" s="1130">
        <f>[3]VO!$B$38</f>
        <v>351000</v>
      </c>
      <c r="K150" s="1131">
        <f t="shared" si="8"/>
        <v>0</v>
      </c>
      <c r="L150" s="1130"/>
      <c r="M150" s="1130"/>
      <c r="N150" s="1130"/>
      <c r="O150" s="1130"/>
      <c r="P150" s="1130"/>
      <c r="Q150" s="1101"/>
      <c r="R150" s="1141"/>
    </row>
    <row r="151" spans="1:18" s="1181" customFormat="1" ht="12" customHeight="1" outlineLevel="1" x14ac:dyDescent="0.25">
      <c r="A151" s="1175"/>
      <c r="B151" s="1127" t="s">
        <v>153</v>
      </c>
      <c r="C151" s="1177" t="s">
        <v>1736</v>
      </c>
      <c r="D151" s="1178"/>
      <c r="E151" s="1178"/>
      <c r="F151" s="1179"/>
      <c r="G151" s="1178" t="s">
        <v>640</v>
      </c>
      <c r="H151" s="1130">
        <v>181000</v>
      </c>
      <c r="I151" s="1130">
        <v>181000</v>
      </c>
      <c r="J151" s="1130">
        <f>[3]VO!$B$40</f>
        <v>181000</v>
      </c>
      <c r="K151" s="1131">
        <f t="shared" si="8"/>
        <v>0</v>
      </c>
      <c r="L151" s="1130"/>
      <c r="M151" s="1130"/>
      <c r="N151" s="1130"/>
      <c r="O151" s="1130"/>
      <c r="P151" s="1130"/>
      <c r="Q151" s="1101"/>
      <c r="R151" s="1141"/>
    </row>
    <row r="152" spans="1:18" s="1181" customFormat="1" ht="12" customHeight="1" outlineLevel="1" x14ac:dyDescent="0.25">
      <c r="A152" s="1175"/>
      <c r="B152" s="1176" t="s">
        <v>153</v>
      </c>
      <c r="C152" s="1182" t="s">
        <v>1737</v>
      </c>
      <c r="D152" s="1183"/>
      <c r="E152" s="1183"/>
      <c r="F152" s="1184"/>
      <c r="G152" s="1183" t="s">
        <v>640</v>
      </c>
      <c r="H152" s="1185">
        <v>60000</v>
      </c>
      <c r="I152" s="1185">
        <v>60000</v>
      </c>
      <c r="J152" s="1185">
        <f>[3]VO!$B$42</f>
        <v>60000</v>
      </c>
      <c r="K152" s="1186">
        <f t="shared" si="8"/>
        <v>0</v>
      </c>
      <c r="L152" s="1185"/>
      <c r="M152" s="1185"/>
      <c r="N152" s="1185"/>
      <c r="O152" s="1185"/>
      <c r="P152" s="1185"/>
      <c r="Q152" s="1101"/>
      <c r="R152" s="1141"/>
    </row>
    <row r="153" spans="1:18" s="1181" customFormat="1" ht="12" customHeight="1" outlineLevel="1" thickBot="1" x14ac:dyDescent="0.3">
      <c r="A153" s="1202">
        <v>3631</v>
      </c>
      <c r="B153" s="1176" t="s">
        <v>153</v>
      </c>
      <c r="C153" s="1182"/>
      <c r="D153" s="1183"/>
      <c r="E153" s="1183"/>
      <c r="F153" s="1184"/>
      <c r="G153" s="1183" t="s">
        <v>640</v>
      </c>
      <c r="H153" s="1185"/>
      <c r="I153" s="1185"/>
      <c r="J153" s="1185"/>
      <c r="K153" s="1186">
        <f t="shared" si="8"/>
        <v>0</v>
      </c>
      <c r="L153" s="1185"/>
      <c r="M153" s="1185"/>
      <c r="N153" s="1185"/>
      <c r="O153" s="1185"/>
      <c r="P153" s="1185"/>
      <c r="Q153" s="1101"/>
      <c r="R153" s="1141"/>
    </row>
    <row r="154" spans="1:18" ht="14.25" thickBot="1" x14ac:dyDescent="0.3">
      <c r="A154" s="2729" t="s">
        <v>632</v>
      </c>
      <c r="B154" s="2730"/>
      <c r="C154" s="2102"/>
      <c r="D154" s="2103"/>
      <c r="E154" s="2103"/>
      <c r="F154" s="2104"/>
      <c r="G154" s="2103"/>
      <c r="H154" s="2105">
        <v>592000</v>
      </c>
      <c r="I154" s="2105">
        <v>592000</v>
      </c>
      <c r="J154" s="2105">
        <f>SUM(J150:J153)</f>
        <v>592000</v>
      </c>
      <c r="K154" s="2159">
        <f t="shared" si="8"/>
        <v>0</v>
      </c>
      <c r="L154" s="2105"/>
      <c r="M154" s="2105">
        <f>SUM(M150:M153)</f>
        <v>0</v>
      </c>
      <c r="N154" s="2105"/>
      <c r="O154" s="2105"/>
      <c r="P154" s="2105"/>
      <c r="Q154" s="1140">
        <f>'Výdaje kapitol celkem'!BZ69</f>
        <v>592000</v>
      </c>
      <c r="R154" s="1141">
        <f>+Q154-J154</f>
        <v>0</v>
      </c>
    </row>
    <row r="155" spans="1:18" ht="12" customHeight="1" outlineLevel="1" x14ac:dyDescent="0.25">
      <c r="A155" s="1175"/>
      <c r="B155" s="1176" t="s">
        <v>154</v>
      </c>
      <c r="C155" s="1206" t="s">
        <v>1631</v>
      </c>
      <c r="D155" s="1207"/>
      <c r="E155" s="1207"/>
      <c r="F155" s="1208"/>
      <c r="G155" s="1207" t="s">
        <v>640</v>
      </c>
      <c r="H155" s="1185">
        <v>750000</v>
      </c>
      <c r="I155" s="1185">
        <v>750000</v>
      </c>
      <c r="J155" s="1185">
        <f>'[5]Silnice stavba'!$B$9</f>
        <v>750000</v>
      </c>
      <c r="K155" s="1186">
        <f t="shared" si="8"/>
        <v>0</v>
      </c>
      <c r="L155" s="1185"/>
      <c r="M155" s="1185"/>
      <c r="N155" s="1185"/>
      <c r="O155" s="1185"/>
      <c r="P155" s="1185"/>
      <c r="Q155" s="1101"/>
      <c r="R155" s="1141"/>
    </row>
    <row r="156" spans="1:18" ht="12" hidden="1" customHeight="1" outlineLevel="1" x14ac:dyDescent="0.25">
      <c r="A156" s="1175"/>
      <c r="B156" s="1176" t="s">
        <v>154</v>
      </c>
      <c r="C156" s="1206" t="s">
        <v>1632</v>
      </c>
      <c r="D156" s="1207"/>
      <c r="E156" s="1209"/>
      <c r="F156" s="1210"/>
      <c r="G156" s="1207" t="s">
        <v>640</v>
      </c>
      <c r="H156" s="1185">
        <v>0</v>
      </c>
      <c r="I156" s="1185">
        <v>0</v>
      </c>
      <c r="J156" s="1185">
        <f>'[5]Silnice stavba'!$B$33</f>
        <v>0</v>
      </c>
      <c r="K156" s="1186">
        <f t="shared" si="8"/>
        <v>0</v>
      </c>
      <c r="L156" s="1185"/>
      <c r="M156" s="1185">
        <v>0</v>
      </c>
      <c r="N156" s="1185"/>
      <c r="O156" s="1185"/>
      <c r="P156" s="1185"/>
      <c r="Q156" s="1101"/>
      <c r="R156" s="1141"/>
    </row>
    <row r="157" spans="1:18" ht="12" hidden="1" customHeight="1" outlineLevel="1" x14ac:dyDescent="0.25">
      <c r="A157" s="1175"/>
      <c r="B157" s="1176" t="s">
        <v>154</v>
      </c>
      <c r="C157" s="1206" t="s">
        <v>1633</v>
      </c>
      <c r="D157" s="1207"/>
      <c r="E157" s="1209"/>
      <c r="F157" s="1210"/>
      <c r="G157" s="1207" t="s">
        <v>640</v>
      </c>
      <c r="H157" s="1185">
        <v>0</v>
      </c>
      <c r="I157" s="1185">
        <v>0</v>
      </c>
      <c r="J157" s="1185">
        <f>'[5]Silnice stavba'!$B$34</f>
        <v>0</v>
      </c>
      <c r="K157" s="1186">
        <f t="shared" si="8"/>
        <v>0</v>
      </c>
      <c r="L157" s="1185"/>
      <c r="M157" s="1185"/>
      <c r="N157" s="1185"/>
      <c r="O157" s="1185"/>
      <c r="P157" s="1185"/>
      <c r="Q157" s="1101"/>
      <c r="R157" s="1141"/>
    </row>
    <row r="158" spans="1:18" ht="12" customHeight="1" outlineLevel="1" x14ac:dyDescent="0.25">
      <c r="A158" s="1175"/>
      <c r="B158" s="1176" t="s">
        <v>154</v>
      </c>
      <c r="C158" s="1206" t="s">
        <v>1634</v>
      </c>
      <c r="D158" s="1207"/>
      <c r="E158" s="1207"/>
      <c r="F158" s="1208"/>
      <c r="G158" s="1207" t="s">
        <v>640</v>
      </c>
      <c r="H158" s="1185">
        <v>80000</v>
      </c>
      <c r="I158" s="1185">
        <v>80000</v>
      </c>
      <c r="J158" s="1185">
        <f>'[5]Silnice stavba'!$B$48</f>
        <v>80000</v>
      </c>
      <c r="K158" s="1186">
        <f t="shared" si="8"/>
        <v>0</v>
      </c>
      <c r="L158" s="1185"/>
      <c r="M158" s="1185"/>
      <c r="N158" s="1185"/>
      <c r="O158" s="1185"/>
      <c r="P158" s="1185"/>
      <c r="Q158" s="1101"/>
      <c r="R158" s="1141"/>
    </row>
    <row r="159" spans="1:18" ht="12" hidden="1" customHeight="1" outlineLevel="1" x14ac:dyDescent="0.25">
      <c r="A159" s="1175"/>
      <c r="B159" s="1176" t="s">
        <v>154</v>
      </c>
      <c r="C159" s="1206" t="s">
        <v>1635</v>
      </c>
      <c r="D159" s="1207"/>
      <c r="E159" s="1207"/>
      <c r="F159" s="1208"/>
      <c r="G159" s="1207" t="s">
        <v>640</v>
      </c>
      <c r="H159" s="1185">
        <v>0</v>
      </c>
      <c r="I159" s="1185">
        <v>0</v>
      </c>
      <c r="J159" s="1185">
        <f>'[5]Silnice stavba'!$B$49</f>
        <v>0</v>
      </c>
      <c r="K159" s="1186">
        <f t="shared" si="8"/>
        <v>0</v>
      </c>
      <c r="L159" s="1185"/>
      <c r="M159" s="1185"/>
      <c r="N159" s="1185"/>
      <c r="O159" s="1185"/>
      <c r="P159" s="1185"/>
      <c r="Q159" s="1101"/>
      <c r="R159" s="1141"/>
    </row>
    <row r="160" spans="1:18" ht="12" hidden="1" customHeight="1" outlineLevel="1" x14ac:dyDescent="0.25">
      <c r="A160" s="1175"/>
      <c r="B160" s="1176" t="s">
        <v>154</v>
      </c>
      <c r="C160" s="1206" t="s">
        <v>1636</v>
      </c>
      <c r="D160" s="1207"/>
      <c r="E160" s="1207"/>
      <c r="F160" s="1208"/>
      <c r="G160" s="1207" t="s">
        <v>640</v>
      </c>
      <c r="H160" s="1185">
        <v>0</v>
      </c>
      <c r="I160" s="1185">
        <v>0</v>
      </c>
      <c r="J160" s="1185">
        <f>'[5]Silnice stavba'!$B$62</f>
        <v>0</v>
      </c>
      <c r="K160" s="1186">
        <f t="shared" si="8"/>
        <v>0</v>
      </c>
      <c r="L160" s="1185"/>
      <c r="M160" s="1185"/>
      <c r="N160" s="1185"/>
      <c r="O160" s="1185"/>
      <c r="P160" s="1185"/>
      <c r="Q160" s="1101"/>
      <c r="R160" s="1141"/>
    </row>
    <row r="161" spans="1:18" ht="12" hidden="1" customHeight="1" outlineLevel="1" x14ac:dyDescent="0.25">
      <c r="A161" s="1175"/>
      <c r="B161" s="1176" t="s">
        <v>154</v>
      </c>
      <c r="C161" s="1206" t="s">
        <v>1637</v>
      </c>
      <c r="D161" s="1207"/>
      <c r="E161" s="1207"/>
      <c r="F161" s="1208"/>
      <c r="G161" s="1178" t="s">
        <v>640</v>
      </c>
      <c r="H161" s="1185">
        <v>0</v>
      </c>
      <c r="I161" s="1185">
        <v>0</v>
      </c>
      <c r="J161" s="1185">
        <f>'[5]Silnice stavba'!$B$63</f>
        <v>0</v>
      </c>
      <c r="K161" s="1186">
        <f t="shared" si="8"/>
        <v>0</v>
      </c>
      <c r="L161" s="1185"/>
      <c r="M161" s="1185"/>
      <c r="N161" s="1185"/>
      <c r="O161" s="1185"/>
      <c r="P161" s="1185"/>
      <c r="Q161" s="1101"/>
      <c r="R161" s="1141"/>
    </row>
    <row r="162" spans="1:18" ht="12" hidden="1" customHeight="1" outlineLevel="1" x14ac:dyDescent="0.25">
      <c r="A162" s="1175"/>
      <c r="B162" s="1176" t="s">
        <v>154</v>
      </c>
      <c r="C162" s="1206" t="s">
        <v>1638</v>
      </c>
      <c r="D162" s="1207"/>
      <c r="E162" s="1207"/>
      <c r="F162" s="1208"/>
      <c r="G162" s="1178" t="s">
        <v>640</v>
      </c>
      <c r="H162" s="1185">
        <v>0</v>
      </c>
      <c r="I162" s="1185">
        <v>0</v>
      </c>
      <c r="J162" s="1185">
        <f>'[5]Silnice stavba'!$B$74</f>
        <v>0</v>
      </c>
      <c r="K162" s="1186">
        <f t="shared" si="8"/>
        <v>0</v>
      </c>
      <c r="L162" s="1185"/>
      <c r="M162" s="1185"/>
      <c r="N162" s="1185"/>
      <c r="O162" s="1185"/>
      <c r="P162" s="1185"/>
      <c r="Q162" s="1101"/>
      <c r="R162" s="1141"/>
    </row>
    <row r="163" spans="1:18" ht="12" customHeight="1" outlineLevel="1" x14ac:dyDescent="0.25">
      <c r="A163" s="1175"/>
      <c r="B163" s="1176" t="s">
        <v>154</v>
      </c>
      <c r="C163" s="1206" t="s">
        <v>1639</v>
      </c>
      <c r="D163" s="1207"/>
      <c r="E163" s="1207"/>
      <c r="F163" s="1208"/>
      <c r="G163" s="1178" t="s">
        <v>640</v>
      </c>
      <c r="H163" s="1185">
        <v>650000</v>
      </c>
      <c r="I163" s="1185">
        <v>850000</v>
      </c>
      <c r="J163" s="1185">
        <f>'[5]Silnice stavba'!$B$75</f>
        <v>850000</v>
      </c>
      <c r="K163" s="1186">
        <f t="shared" si="8"/>
        <v>0</v>
      </c>
      <c r="L163" s="1185"/>
      <c r="M163" s="1185"/>
      <c r="N163" s="1185"/>
      <c r="O163" s="1185"/>
      <c r="P163" s="1185"/>
      <c r="Q163" s="1101"/>
      <c r="R163" s="1141"/>
    </row>
    <row r="164" spans="1:18" ht="12" hidden="1" customHeight="1" outlineLevel="1" x14ac:dyDescent="0.25">
      <c r="A164" s="1175"/>
      <c r="B164" s="1176" t="s">
        <v>154</v>
      </c>
      <c r="C164" s="1206" t="s">
        <v>1640</v>
      </c>
      <c r="D164" s="1207"/>
      <c r="E164" s="1207"/>
      <c r="F164" s="1208"/>
      <c r="G164" s="1183" t="s">
        <v>640</v>
      </c>
      <c r="H164" s="1185">
        <v>0</v>
      </c>
      <c r="I164" s="1185">
        <v>0</v>
      </c>
      <c r="J164" s="1185">
        <f>'[5]Silnice stavba'!$B$85</f>
        <v>0</v>
      </c>
      <c r="K164" s="1186">
        <f t="shared" si="8"/>
        <v>0</v>
      </c>
      <c r="L164" s="1185"/>
      <c r="M164" s="1185"/>
      <c r="N164" s="1185"/>
      <c r="O164" s="1185"/>
      <c r="P164" s="1185"/>
      <c r="Q164" s="1101"/>
      <c r="R164" s="1141"/>
    </row>
    <row r="165" spans="1:18" ht="12" hidden="1" customHeight="1" outlineLevel="1" x14ac:dyDescent="0.25">
      <c r="A165" s="1175"/>
      <c r="B165" s="1176" t="s">
        <v>154</v>
      </c>
      <c r="C165" s="1206" t="s">
        <v>1641</v>
      </c>
      <c r="D165" s="1207"/>
      <c r="E165" s="1207"/>
      <c r="F165" s="1208"/>
      <c r="G165" s="1183" t="s">
        <v>640</v>
      </c>
      <c r="H165" s="1185">
        <v>0</v>
      </c>
      <c r="I165" s="1185">
        <v>0</v>
      </c>
      <c r="J165" s="1185">
        <f>'[5]Silnice stavba'!$B$86</f>
        <v>0</v>
      </c>
      <c r="K165" s="1186">
        <f t="shared" si="8"/>
        <v>0</v>
      </c>
      <c r="L165" s="1185"/>
      <c r="M165" s="1185"/>
      <c r="N165" s="1185"/>
      <c r="O165" s="1185"/>
      <c r="P165" s="1185"/>
      <c r="Q165" s="1101"/>
      <c r="R165" s="1141"/>
    </row>
    <row r="166" spans="1:18" ht="12" hidden="1" customHeight="1" outlineLevel="1" x14ac:dyDescent="0.25">
      <c r="A166" s="1175"/>
      <c r="B166" s="1176" t="s">
        <v>154</v>
      </c>
      <c r="C166" s="1206" t="s">
        <v>1642</v>
      </c>
      <c r="D166" s="1207"/>
      <c r="E166" s="1207"/>
      <c r="F166" s="1208"/>
      <c r="G166" s="1183" t="s">
        <v>640</v>
      </c>
      <c r="H166" s="1185">
        <v>0</v>
      </c>
      <c r="I166" s="1185">
        <v>0</v>
      </c>
      <c r="J166" s="1185">
        <f>'[5]Silnice stavba'!$B$99</f>
        <v>0</v>
      </c>
      <c r="K166" s="1186">
        <f t="shared" si="8"/>
        <v>0</v>
      </c>
      <c r="L166" s="1185"/>
      <c r="M166" s="1185"/>
      <c r="N166" s="1185"/>
      <c r="O166" s="1185"/>
      <c r="P166" s="1185"/>
      <c r="Q166" s="1101"/>
      <c r="R166" s="1141"/>
    </row>
    <row r="167" spans="1:18" ht="12" hidden="1" customHeight="1" outlineLevel="1" x14ac:dyDescent="0.25">
      <c r="A167" s="1175"/>
      <c r="B167" s="1176" t="s">
        <v>154</v>
      </c>
      <c r="C167" s="1206" t="s">
        <v>1643</v>
      </c>
      <c r="D167" s="1207"/>
      <c r="E167" s="1207"/>
      <c r="F167" s="1208"/>
      <c r="G167" s="1183" t="s">
        <v>640</v>
      </c>
      <c r="H167" s="1185">
        <v>0</v>
      </c>
      <c r="I167" s="1185">
        <v>0</v>
      </c>
      <c r="J167" s="1185">
        <f>'[5]Silnice stavba'!$B$100</f>
        <v>0</v>
      </c>
      <c r="K167" s="1186">
        <f t="shared" si="8"/>
        <v>0</v>
      </c>
      <c r="L167" s="1185"/>
      <c r="M167" s="1185"/>
      <c r="N167" s="1185"/>
      <c r="O167" s="1185"/>
      <c r="P167" s="1185"/>
      <c r="Q167" s="1101"/>
      <c r="R167" s="1141"/>
    </row>
    <row r="168" spans="1:18" ht="12" hidden="1" customHeight="1" outlineLevel="1" x14ac:dyDescent="0.25">
      <c r="A168" s="1175"/>
      <c r="B168" s="1176" t="s">
        <v>154</v>
      </c>
      <c r="C168" s="1206" t="s">
        <v>1644</v>
      </c>
      <c r="D168" s="1207"/>
      <c r="E168" s="1207"/>
      <c r="F168" s="1208"/>
      <c r="G168" s="1183" t="s">
        <v>640</v>
      </c>
      <c r="H168" s="1185">
        <v>0</v>
      </c>
      <c r="I168" s="1185">
        <v>0</v>
      </c>
      <c r="J168" s="1185">
        <f>'[5]Silnice stavba'!$B$110</f>
        <v>0</v>
      </c>
      <c r="K168" s="1186">
        <f t="shared" si="8"/>
        <v>0</v>
      </c>
      <c r="L168" s="1185"/>
      <c r="M168" s="1185"/>
      <c r="N168" s="1185"/>
      <c r="O168" s="1185"/>
      <c r="P168" s="1185"/>
      <c r="Q168" s="1101"/>
      <c r="R168" s="1141"/>
    </row>
    <row r="169" spans="1:18" ht="12" hidden="1" customHeight="1" outlineLevel="1" x14ac:dyDescent="0.25">
      <c r="A169" s="1175"/>
      <c r="B169" s="1176" t="s">
        <v>154</v>
      </c>
      <c r="C169" s="1206" t="s">
        <v>1645</v>
      </c>
      <c r="D169" s="1207"/>
      <c r="E169" s="1207"/>
      <c r="F169" s="1208"/>
      <c r="G169" s="1183" t="s">
        <v>640</v>
      </c>
      <c r="H169" s="1185">
        <v>0</v>
      </c>
      <c r="I169" s="1185">
        <v>0</v>
      </c>
      <c r="J169" s="1185">
        <f>'[5]Silnice stavba'!$B$111</f>
        <v>0</v>
      </c>
      <c r="K169" s="1186">
        <f t="shared" si="8"/>
        <v>0</v>
      </c>
      <c r="L169" s="1185"/>
      <c r="M169" s="1185"/>
      <c r="N169" s="1185"/>
      <c r="O169" s="1185"/>
      <c r="P169" s="1185"/>
      <c r="Q169" s="1101"/>
      <c r="R169" s="1141"/>
    </row>
    <row r="170" spans="1:18" ht="12" hidden="1" customHeight="1" outlineLevel="1" x14ac:dyDescent="0.25">
      <c r="A170" s="1175"/>
      <c r="B170" s="1176" t="s">
        <v>154</v>
      </c>
      <c r="C170" s="1206" t="s">
        <v>1646</v>
      </c>
      <c r="D170" s="1207"/>
      <c r="E170" s="1207"/>
      <c r="F170" s="1208"/>
      <c r="G170" s="1183" t="s">
        <v>640</v>
      </c>
      <c r="H170" s="1185">
        <v>0</v>
      </c>
      <c r="I170" s="1185">
        <v>0</v>
      </c>
      <c r="J170" s="1185">
        <f>'[5]Silnice stavba'!$B$120</f>
        <v>0</v>
      </c>
      <c r="K170" s="1186">
        <f t="shared" si="8"/>
        <v>0</v>
      </c>
      <c r="L170" s="1185"/>
      <c r="M170" s="1185"/>
      <c r="N170" s="1185"/>
      <c r="O170" s="1185"/>
      <c r="P170" s="1185"/>
      <c r="Q170" s="1101"/>
      <c r="R170" s="1141"/>
    </row>
    <row r="171" spans="1:18" ht="12" customHeight="1" outlineLevel="1" x14ac:dyDescent="0.25">
      <c r="A171" s="1175"/>
      <c r="B171" s="1176" t="s">
        <v>154</v>
      </c>
      <c r="C171" s="1206" t="s">
        <v>1647</v>
      </c>
      <c r="D171" s="1207"/>
      <c r="E171" s="1207"/>
      <c r="F171" s="1208"/>
      <c r="G171" s="1183" t="s">
        <v>640</v>
      </c>
      <c r="H171" s="1185">
        <v>100000</v>
      </c>
      <c r="I171" s="1185">
        <v>100000</v>
      </c>
      <c r="J171" s="1185">
        <f>'[5]Silnice stavba'!$B$121</f>
        <v>100000</v>
      </c>
      <c r="K171" s="1186">
        <f t="shared" si="8"/>
        <v>0</v>
      </c>
      <c r="L171" s="1185"/>
      <c r="M171" s="1185"/>
      <c r="N171" s="1185"/>
      <c r="O171" s="1185"/>
      <c r="P171" s="1185"/>
      <c r="Q171" s="1101"/>
      <c r="R171" s="1141"/>
    </row>
    <row r="172" spans="1:18" ht="12" hidden="1" customHeight="1" outlineLevel="1" x14ac:dyDescent="0.25">
      <c r="A172" s="1175"/>
      <c r="B172" s="1176" t="s">
        <v>154</v>
      </c>
      <c r="C172" s="1206" t="s">
        <v>1648</v>
      </c>
      <c r="D172" s="1207"/>
      <c r="E172" s="1207"/>
      <c r="F172" s="1208"/>
      <c r="G172" s="1183" t="s">
        <v>640</v>
      </c>
      <c r="H172" s="1185">
        <v>0</v>
      </c>
      <c r="I172" s="1185">
        <v>0</v>
      </c>
      <c r="J172" s="1185">
        <f>'[5]Silnice stavba'!$B$133</f>
        <v>0</v>
      </c>
      <c r="K172" s="1186">
        <f t="shared" si="8"/>
        <v>0</v>
      </c>
      <c r="L172" s="1185"/>
      <c r="M172" s="1185"/>
      <c r="N172" s="1185"/>
      <c r="O172" s="1185"/>
      <c r="P172" s="1185"/>
      <c r="Q172" s="1101"/>
      <c r="R172" s="1141"/>
    </row>
    <row r="173" spans="1:18" ht="12" customHeight="1" outlineLevel="1" x14ac:dyDescent="0.25">
      <c r="A173" s="1175"/>
      <c r="B173" s="1176" t="s">
        <v>154</v>
      </c>
      <c r="C173" s="1206" t="s">
        <v>1649</v>
      </c>
      <c r="D173" s="1207"/>
      <c r="E173" s="1207"/>
      <c r="F173" s="1208"/>
      <c r="G173" s="1183" t="s">
        <v>640</v>
      </c>
      <c r="H173" s="1185">
        <v>100000</v>
      </c>
      <c r="I173" s="1185">
        <v>100000</v>
      </c>
      <c r="J173" s="1185">
        <f>'[5]Silnice stavba'!$B$134</f>
        <v>100000</v>
      </c>
      <c r="K173" s="1186">
        <f t="shared" si="8"/>
        <v>0</v>
      </c>
      <c r="L173" s="1185"/>
      <c r="M173" s="1185"/>
      <c r="N173" s="1185"/>
      <c r="O173" s="1185"/>
      <c r="P173" s="1185"/>
      <c r="Q173" s="1101"/>
      <c r="R173" s="1141"/>
    </row>
    <row r="174" spans="1:18" ht="12" hidden="1" customHeight="1" outlineLevel="1" x14ac:dyDescent="0.25">
      <c r="A174" s="1175"/>
      <c r="B174" s="1176" t="s">
        <v>154</v>
      </c>
      <c r="C174" s="1206" t="s">
        <v>1650</v>
      </c>
      <c r="D174" s="1207"/>
      <c r="E174" s="1207"/>
      <c r="F174" s="1208"/>
      <c r="G174" s="1183" t="s">
        <v>640</v>
      </c>
      <c r="H174" s="1185">
        <v>0</v>
      </c>
      <c r="I174" s="1185">
        <v>0</v>
      </c>
      <c r="J174" s="1185">
        <f>'[5]Silnice stavba'!$B$146</f>
        <v>0</v>
      </c>
      <c r="K174" s="1186">
        <f t="shared" si="8"/>
        <v>0</v>
      </c>
      <c r="L174" s="1185"/>
      <c r="M174" s="1185"/>
      <c r="N174" s="1185"/>
      <c r="O174" s="1185"/>
      <c r="P174" s="1185"/>
      <c r="Q174" s="1101"/>
      <c r="R174" s="1141"/>
    </row>
    <row r="175" spans="1:18" ht="12" customHeight="1" outlineLevel="1" x14ac:dyDescent="0.25">
      <c r="A175" s="1175"/>
      <c r="B175" s="1176" t="s">
        <v>154</v>
      </c>
      <c r="C175" s="1206" t="s">
        <v>1651</v>
      </c>
      <c r="D175" s="1207"/>
      <c r="E175" s="1207"/>
      <c r="F175" s="1208"/>
      <c r="G175" s="1183" t="s">
        <v>640</v>
      </c>
      <c r="H175" s="1185">
        <v>50000</v>
      </c>
      <c r="I175" s="1185">
        <v>50000</v>
      </c>
      <c r="J175" s="1185">
        <f>'[5]Silnice stavba'!$B$147</f>
        <v>50000</v>
      </c>
      <c r="K175" s="1186">
        <f t="shared" si="8"/>
        <v>0</v>
      </c>
      <c r="L175" s="1185"/>
      <c r="M175" s="1185"/>
      <c r="N175" s="1185"/>
      <c r="O175" s="1185"/>
      <c r="P175" s="1185"/>
      <c r="Q175" s="1101"/>
      <c r="R175" s="1141"/>
    </row>
    <row r="176" spans="1:18" ht="12" hidden="1" customHeight="1" outlineLevel="1" x14ac:dyDescent="0.25">
      <c r="A176" s="1175"/>
      <c r="B176" s="1176" t="s">
        <v>154</v>
      </c>
      <c r="C176" s="1206" t="s">
        <v>1652</v>
      </c>
      <c r="D176" s="1207"/>
      <c r="E176" s="1207"/>
      <c r="F176" s="1208"/>
      <c r="G176" s="1183" t="s">
        <v>640</v>
      </c>
      <c r="H176" s="1185">
        <v>0</v>
      </c>
      <c r="I176" s="1185">
        <v>0</v>
      </c>
      <c r="J176" s="1185">
        <f>'[5]Silnice stavba'!$B$159</f>
        <v>0</v>
      </c>
      <c r="K176" s="1186">
        <f t="shared" si="8"/>
        <v>0</v>
      </c>
      <c r="L176" s="1185"/>
      <c r="M176" s="1185"/>
      <c r="N176" s="1185"/>
      <c r="O176" s="1185"/>
      <c r="P176" s="1185"/>
      <c r="Q176" s="1101"/>
      <c r="R176" s="1141"/>
    </row>
    <row r="177" spans="1:18" ht="12" customHeight="1" outlineLevel="1" x14ac:dyDescent="0.25">
      <c r="A177" s="1175"/>
      <c r="B177" s="1176" t="s">
        <v>154</v>
      </c>
      <c r="C177" s="1206" t="s">
        <v>1653</v>
      </c>
      <c r="D177" s="1207"/>
      <c r="E177" s="1207"/>
      <c r="F177" s="1208"/>
      <c r="G177" s="1183" t="s">
        <v>640</v>
      </c>
      <c r="H177" s="1185">
        <v>150000</v>
      </c>
      <c r="I177" s="1185">
        <v>150000</v>
      </c>
      <c r="J177" s="1185">
        <f>'[5]Silnice stavba'!$B$160</f>
        <v>150000</v>
      </c>
      <c r="K177" s="1186">
        <f t="shared" si="8"/>
        <v>0</v>
      </c>
      <c r="L177" s="1185"/>
      <c r="M177" s="1185"/>
      <c r="N177" s="1185"/>
      <c r="O177" s="1185"/>
      <c r="P177" s="1185"/>
      <c r="Q177" s="1101"/>
      <c r="R177" s="1141"/>
    </row>
    <row r="178" spans="1:18" ht="12" customHeight="1" outlineLevel="1" x14ac:dyDescent="0.25">
      <c r="A178" s="1175"/>
      <c r="B178" s="1176" t="s">
        <v>154</v>
      </c>
      <c r="C178" s="1206" t="s">
        <v>1654</v>
      </c>
      <c r="D178" s="1207"/>
      <c r="E178" s="1207"/>
      <c r="F178" s="1208"/>
      <c r="G178" s="1183" t="s">
        <v>640</v>
      </c>
      <c r="H178" s="1185">
        <v>20000</v>
      </c>
      <c r="I178" s="1185">
        <v>20000</v>
      </c>
      <c r="J178" s="1185">
        <f>'[5]Silnice stavba'!$B$172</f>
        <v>20000</v>
      </c>
      <c r="K178" s="1186">
        <f t="shared" si="8"/>
        <v>0</v>
      </c>
      <c r="L178" s="1185"/>
      <c r="M178" s="1185"/>
      <c r="N178" s="1185"/>
      <c r="O178" s="1185"/>
      <c r="P178" s="1185"/>
      <c r="Q178" s="1101"/>
      <c r="R178" s="1141"/>
    </row>
    <row r="179" spans="1:18" ht="12" hidden="1" customHeight="1" outlineLevel="1" x14ac:dyDescent="0.25">
      <c r="A179" s="1175"/>
      <c r="B179" s="1176" t="s">
        <v>154</v>
      </c>
      <c r="C179" s="1206" t="s">
        <v>1655</v>
      </c>
      <c r="D179" s="1207"/>
      <c r="E179" s="1207"/>
      <c r="F179" s="1208"/>
      <c r="G179" s="1183" t="s">
        <v>640</v>
      </c>
      <c r="H179" s="1185">
        <v>0</v>
      </c>
      <c r="I179" s="1185">
        <v>0</v>
      </c>
      <c r="J179" s="1185">
        <f>'[5]Silnice stavba'!$B$173</f>
        <v>0</v>
      </c>
      <c r="K179" s="1186">
        <f t="shared" si="8"/>
        <v>0</v>
      </c>
      <c r="L179" s="1185"/>
      <c r="M179" s="1185"/>
      <c r="N179" s="1185"/>
      <c r="O179" s="1185"/>
      <c r="P179" s="1185"/>
      <c r="Q179" s="1101"/>
      <c r="R179" s="1141"/>
    </row>
    <row r="180" spans="1:18" ht="12" hidden="1" customHeight="1" outlineLevel="1" x14ac:dyDescent="0.25">
      <c r="A180" s="1175"/>
      <c r="B180" s="1176" t="s">
        <v>154</v>
      </c>
      <c r="C180" s="1206" t="s">
        <v>1656</v>
      </c>
      <c r="D180" s="1207"/>
      <c r="E180" s="1207"/>
      <c r="F180" s="1208"/>
      <c r="G180" s="1183" t="s">
        <v>640</v>
      </c>
      <c r="H180" s="1185">
        <v>0</v>
      </c>
      <c r="I180" s="1185">
        <v>0</v>
      </c>
      <c r="J180" s="1185">
        <f>'[5]Silnice stavba'!$B$187</f>
        <v>0</v>
      </c>
      <c r="K180" s="1186">
        <f t="shared" si="8"/>
        <v>0</v>
      </c>
      <c r="L180" s="1185"/>
      <c r="M180" s="1185"/>
      <c r="N180" s="1185"/>
      <c r="O180" s="1185"/>
      <c r="P180" s="1185"/>
      <c r="Q180" s="1101"/>
      <c r="R180" s="1141"/>
    </row>
    <row r="181" spans="1:18" ht="12" hidden="1" customHeight="1" outlineLevel="1" x14ac:dyDescent="0.25">
      <c r="A181" s="1175"/>
      <c r="B181" s="1176" t="s">
        <v>154</v>
      </c>
      <c r="C181" s="1206" t="s">
        <v>1657</v>
      </c>
      <c r="D181" s="1207"/>
      <c r="E181" s="1207"/>
      <c r="F181" s="1208"/>
      <c r="G181" s="1183" t="s">
        <v>640</v>
      </c>
      <c r="H181" s="1185">
        <v>0</v>
      </c>
      <c r="I181" s="1185">
        <v>0</v>
      </c>
      <c r="J181" s="1185">
        <f>'[5]Silnice stavba'!$B$188</f>
        <v>0</v>
      </c>
      <c r="K181" s="1186">
        <f t="shared" si="8"/>
        <v>0</v>
      </c>
      <c r="L181" s="1185"/>
      <c r="M181" s="1185"/>
      <c r="N181" s="1185"/>
      <c r="O181" s="1185"/>
      <c r="P181" s="1185"/>
      <c r="Q181" s="1101"/>
      <c r="R181" s="1141"/>
    </row>
    <row r="182" spans="1:18" ht="12" hidden="1" customHeight="1" outlineLevel="1" x14ac:dyDescent="0.25">
      <c r="A182" s="1175"/>
      <c r="B182" s="1176" t="s">
        <v>154</v>
      </c>
      <c r="C182" s="1206" t="s">
        <v>1658</v>
      </c>
      <c r="D182" s="1207"/>
      <c r="E182" s="1207"/>
      <c r="F182" s="1208"/>
      <c r="G182" s="1183" t="s">
        <v>640</v>
      </c>
      <c r="H182" s="1185">
        <v>0</v>
      </c>
      <c r="I182" s="1185">
        <v>0</v>
      </c>
      <c r="J182" s="1185">
        <f>'[5]Silnice stavba'!$B$205</f>
        <v>0</v>
      </c>
      <c r="K182" s="1186">
        <f t="shared" si="8"/>
        <v>0</v>
      </c>
      <c r="L182" s="1185"/>
      <c r="M182" s="1185"/>
      <c r="N182" s="1185"/>
      <c r="O182" s="1185"/>
      <c r="P182" s="1185"/>
      <c r="Q182" s="1101"/>
      <c r="R182" s="1141"/>
    </row>
    <row r="183" spans="1:18" ht="12" hidden="1" customHeight="1" outlineLevel="1" x14ac:dyDescent="0.25">
      <c r="A183" s="1175"/>
      <c r="B183" s="1176" t="s">
        <v>154</v>
      </c>
      <c r="C183" s="1206" t="s">
        <v>1659</v>
      </c>
      <c r="D183" s="1207"/>
      <c r="E183" s="1207"/>
      <c r="F183" s="1208"/>
      <c r="G183" s="1183" t="s">
        <v>640</v>
      </c>
      <c r="H183" s="1185">
        <v>0</v>
      </c>
      <c r="I183" s="1185">
        <v>0</v>
      </c>
      <c r="J183" s="1185">
        <f>'[5]Silnice stavba'!$B$206</f>
        <v>0</v>
      </c>
      <c r="K183" s="1186">
        <f t="shared" si="8"/>
        <v>0</v>
      </c>
      <c r="L183" s="1185"/>
      <c r="M183" s="1185"/>
      <c r="N183" s="1185"/>
      <c r="O183" s="1185"/>
      <c r="P183" s="1185"/>
      <c r="Q183" s="1101"/>
      <c r="R183" s="1141"/>
    </row>
    <row r="184" spans="1:18" ht="13.5" hidden="1" customHeight="1" outlineLevel="1" x14ac:dyDescent="0.25">
      <c r="A184" s="1175"/>
      <c r="B184" s="1176" t="s">
        <v>154</v>
      </c>
      <c r="C184" s="1206" t="s">
        <v>1660</v>
      </c>
      <c r="D184" s="1207"/>
      <c r="E184" s="1207"/>
      <c r="F184" s="1208"/>
      <c r="G184" s="1183" t="s">
        <v>640</v>
      </c>
      <c r="H184" s="1185">
        <v>0</v>
      </c>
      <c r="I184" s="1185">
        <v>0</v>
      </c>
      <c r="J184" s="1185">
        <f>'[5]Silnice stavba'!$B$215</f>
        <v>0</v>
      </c>
      <c r="K184" s="1186">
        <f t="shared" si="8"/>
        <v>0</v>
      </c>
      <c r="L184" s="1185"/>
      <c r="M184" s="1185"/>
      <c r="N184" s="1185"/>
      <c r="O184" s="1185"/>
      <c r="P184" s="1185"/>
      <c r="Q184" s="1101"/>
      <c r="R184" s="1141"/>
    </row>
    <row r="185" spans="1:18" ht="12" customHeight="1" outlineLevel="1" x14ac:dyDescent="0.25">
      <c r="A185" s="1175"/>
      <c r="B185" s="1176" t="s">
        <v>154</v>
      </c>
      <c r="C185" s="1206" t="s">
        <v>1661</v>
      </c>
      <c r="D185" s="1207"/>
      <c r="E185" s="1207"/>
      <c r="F185" s="1208"/>
      <c r="G185" s="1183" t="s">
        <v>640</v>
      </c>
      <c r="H185" s="1185">
        <v>100000</v>
      </c>
      <c r="I185" s="1185">
        <v>100000</v>
      </c>
      <c r="J185" s="1185">
        <f>'[5]Silnice stavba'!$B$216</f>
        <v>0</v>
      </c>
      <c r="K185" s="1186">
        <f t="shared" si="8"/>
        <v>-100000</v>
      </c>
      <c r="L185" s="1185"/>
      <c r="M185" s="1185"/>
      <c r="N185" s="1185"/>
      <c r="O185" s="1185"/>
      <c r="P185" s="1185"/>
      <c r="Q185" s="1101"/>
      <c r="R185" s="1141"/>
    </row>
    <row r="186" spans="1:18" ht="12" hidden="1" customHeight="1" outlineLevel="1" x14ac:dyDescent="0.25">
      <c r="A186" s="1175"/>
      <c r="B186" s="1176" t="s">
        <v>154</v>
      </c>
      <c r="C186" s="1206" t="s">
        <v>1662</v>
      </c>
      <c r="D186" s="1207"/>
      <c r="E186" s="1207"/>
      <c r="F186" s="1208"/>
      <c r="G186" s="1183" t="s">
        <v>640</v>
      </c>
      <c r="H186" s="1185">
        <v>0</v>
      </c>
      <c r="I186" s="1185">
        <v>0</v>
      </c>
      <c r="J186" s="1185">
        <f>'[5]Silnice stavba'!$B$225</f>
        <v>0</v>
      </c>
      <c r="K186" s="1186">
        <f t="shared" si="8"/>
        <v>0</v>
      </c>
      <c r="L186" s="1185"/>
      <c r="M186" s="1185"/>
      <c r="N186" s="1185"/>
      <c r="O186" s="1185"/>
      <c r="P186" s="1185"/>
      <c r="Q186" s="1101"/>
      <c r="R186" s="1141"/>
    </row>
    <row r="187" spans="1:18" ht="12" hidden="1" customHeight="1" outlineLevel="1" x14ac:dyDescent="0.25">
      <c r="A187" s="1175"/>
      <c r="B187" s="1176" t="s">
        <v>154</v>
      </c>
      <c r="C187" s="1206" t="s">
        <v>1663</v>
      </c>
      <c r="D187" s="1207"/>
      <c r="E187" s="1207"/>
      <c r="F187" s="1208"/>
      <c r="G187" s="1183" t="s">
        <v>640</v>
      </c>
      <c r="H187" s="1185">
        <v>0</v>
      </c>
      <c r="I187" s="1185">
        <v>0</v>
      </c>
      <c r="J187" s="1185">
        <f>'[5]Silnice stavba'!$B$226</f>
        <v>0</v>
      </c>
      <c r="K187" s="1186">
        <f t="shared" si="8"/>
        <v>0</v>
      </c>
      <c r="L187" s="1185"/>
      <c r="M187" s="1185"/>
      <c r="N187" s="1185"/>
      <c r="O187" s="1185"/>
      <c r="P187" s="1185"/>
      <c r="Q187" s="1101"/>
      <c r="R187" s="1141"/>
    </row>
    <row r="188" spans="1:18" ht="12" hidden="1" customHeight="1" outlineLevel="1" x14ac:dyDescent="0.25">
      <c r="A188" s="1175"/>
      <c r="B188" s="1176" t="s">
        <v>154</v>
      </c>
      <c r="C188" s="1206" t="s">
        <v>1664</v>
      </c>
      <c r="D188" s="1207"/>
      <c r="E188" s="1207"/>
      <c r="F188" s="1208"/>
      <c r="G188" s="1183" t="s">
        <v>640</v>
      </c>
      <c r="H188" s="1185">
        <v>0</v>
      </c>
      <c r="I188" s="1185">
        <v>0</v>
      </c>
      <c r="J188" s="1185">
        <f>'[5]Silnice stavba'!$B$235</f>
        <v>0</v>
      </c>
      <c r="K188" s="1186">
        <f t="shared" si="8"/>
        <v>0</v>
      </c>
      <c r="L188" s="1185"/>
      <c r="M188" s="1185"/>
      <c r="N188" s="1185"/>
      <c r="O188" s="1185"/>
      <c r="P188" s="1185"/>
      <c r="Q188" s="1101"/>
      <c r="R188" s="1141"/>
    </row>
    <row r="189" spans="1:18" ht="12" hidden="1" customHeight="1" outlineLevel="1" x14ac:dyDescent="0.25">
      <c r="A189" s="1175"/>
      <c r="B189" s="1176" t="s">
        <v>154</v>
      </c>
      <c r="C189" s="1206" t="s">
        <v>1665</v>
      </c>
      <c r="D189" s="1207"/>
      <c r="E189" s="1207"/>
      <c r="F189" s="1208"/>
      <c r="G189" s="1183" t="s">
        <v>640</v>
      </c>
      <c r="H189" s="1185">
        <v>0</v>
      </c>
      <c r="I189" s="1185">
        <v>0</v>
      </c>
      <c r="J189" s="1185">
        <f>'[5]Silnice stavba'!$B$236</f>
        <v>0</v>
      </c>
      <c r="K189" s="1186">
        <f t="shared" si="8"/>
        <v>0</v>
      </c>
      <c r="L189" s="1185"/>
      <c r="M189" s="1185"/>
      <c r="N189" s="1185"/>
      <c r="O189" s="1185"/>
      <c r="P189" s="1185"/>
      <c r="Q189" s="1101"/>
      <c r="R189" s="1141"/>
    </row>
    <row r="190" spans="1:18" ht="12" hidden="1" customHeight="1" outlineLevel="1" x14ac:dyDescent="0.25">
      <c r="A190" s="1175"/>
      <c r="B190" s="1176" t="s">
        <v>154</v>
      </c>
      <c r="C190" s="1211" t="s">
        <v>1666</v>
      </c>
      <c r="D190" s="1207"/>
      <c r="E190" s="1207"/>
      <c r="F190" s="1208"/>
      <c r="G190" s="1183" t="s">
        <v>640</v>
      </c>
      <c r="H190" s="1185">
        <v>0</v>
      </c>
      <c r="I190" s="1185">
        <v>0</v>
      </c>
      <c r="J190" s="1185">
        <f>'[5]Silnice stavba'!$B$249</f>
        <v>0</v>
      </c>
      <c r="K190" s="1186">
        <f t="shared" si="8"/>
        <v>0</v>
      </c>
      <c r="L190" s="1185"/>
      <c r="M190" s="1185"/>
      <c r="N190" s="1185"/>
      <c r="O190" s="1185"/>
      <c r="P190" s="1185"/>
      <c r="Q190" s="1101"/>
      <c r="R190" s="1141"/>
    </row>
    <row r="191" spans="1:18" ht="27" hidden="1" outlineLevel="1" x14ac:dyDescent="0.25">
      <c r="A191" s="1175"/>
      <c r="B191" s="1176" t="s">
        <v>154</v>
      </c>
      <c r="C191" s="1211" t="s">
        <v>1667</v>
      </c>
      <c r="D191" s="1207"/>
      <c r="E191" s="1207"/>
      <c r="F191" s="1208"/>
      <c r="G191" s="1183" t="s">
        <v>640</v>
      </c>
      <c r="H191" s="1185">
        <v>0</v>
      </c>
      <c r="I191" s="1185">
        <v>0</v>
      </c>
      <c r="J191" s="1185">
        <f>'[5]Silnice stavba'!$B$250</f>
        <v>0</v>
      </c>
      <c r="K191" s="1186">
        <f t="shared" si="8"/>
        <v>0</v>
      </c>
      <c r="L191" s="1185"/>
      <c r="M191" s="1185"/>
      <c r="N191" s="1185"/>
      <c r="O191" s="1185"/>
      <c r="P191" s="1185"/>
      <c r="Q191" s="1101"/>
      <c r="R191" s="1141"/>
    </row>
    <row r="192" spans="1:18" ht="12" hidden="1" customHeight="1" outlineLevel="1" x14ac:dyDescent="0.25">
      <c r="A192" s="1175"/>
      <c r="B192" s="1176" t="s">
        <v>154</v>
      </c>
      <c r="C192" s="1206" t="s">
        <v>1668</v>
      </c>
      <c r="D192" s="1207"/>
      <c r="E192" s="1207"/>
      <c r="F192" s="1208"/>
      <c r="G192" s="1183" t="s">
        <v>640</v>
      </c>
      <c r="H192" s="1185">
        <v>0</v>
      </c>
      <c r="I192" s="1185">
        <v>0</v>
      </c>
      <c r="J192" s="1185">
        <f>'[5]Silnice stavba'!$B$260</f>
        <v>0</v>
      </c>
      <c r="K192" s="1186">
        <f t="shared" si="8"/>
        <v>0</v>
      </c>
      <c r="L192" s="1185"/>
      <c r="M192" s="1185"/>
      <c r="N192" s="1185"/>
      <c r="O192" s="1185"/>
      <c r="P192" s="1185"/>
      <c r="Q192" s="1101"/>
      <c r="R192" s="1141"/>
    </row>
    <row r="193" spans="1:18" ht="12" hidden="1" customHeight="1" outlineLevel="1" x14ac:dyDescent="0.25">
      <c r="A193" s="1175"/>
      <c r="B193" s="1176" t="s">
        <v>154</v>
      </c>
      <c r="C193" s="1206" t="s">
        <v>1669</v>
      </c>
      <c r="D193" s="1207"/>
      <c r="E193" s="1207"/>
      <c r="F193" s="1208"/>
      <c r="G193" s="1183" t="s">
        <v>640</v>
      </c>
      <c r="H193" s="1185">
        <v>0</v>
      </c>
      <c r="I193" s="1185">
        <v>0</v>
      </c>
      <c r="J193" s="1185">
        <f>'[5]Silnice stavba'!$B$261</f>
        <v>0</v>
      </c>
      <c r="K193" s="1186">
        <f t="shared" si="8"/>
        <v>0</v>
      </c>
      <c r="L193" s="1185"/>
      <c r="M193" s="1185"/>
      <c r="N193" s="1185"/>
      <c r="O193" s="1185"/>
      <c r="P193" s="1185"/>
      <c r="Q193" s="1101"/>
      <c r="R193" s="1141"/>
    </row>
    <row r="194" spans="1:18" ht="12" hidden="1" customHeight="1" outlineLevel="1" x14ac:dyDescent="0.25">
      <c r="A194" s="1175"/>
      <c r="B194" s="1176" t="s">
        <v>154</v>
      </c>
      <c r="C194" s="1206" t="s">
        <v>1670</v>
      </c>
      <c r="D194" s="1207"/>
      <c r="E194" s="1207"/>
      <c r="F194" s="1208"/>
      <c r="G194" s="1207" t="s">
        <v>640</v>
      </c>
      <c r="H194" s="1185">
        <v>0</v>
      </c>
      <c r="I194" s="1185">
        <v>0</v>
      </c>
      <c r="J194" s="1185">
        <f>'[5]Silnice stavba'!$B$271</f>
        <v>0</v>
      </c>
      <c r="K194" s="1186">
        <f t="shared" si="8"/>
        <v>0</v>
      </c>
      <c r="L194" s="1185"/>
      <c r="M194" s="1185"/>
      <c r="N194" s="1185"/>
      <c r="O194" s="1185"/>
      <c r="P194" s="1185"/>
      <c r="Q194" s="1101"/>
      <c r="R194" s="1141"/>
    </row>
    <row r="195" spans="1:18" ht="12" hidden="1" customHeight="1" outlineLevel="1" x14ac:dyDescent="0.25">
      <c r="A195" s="1175"/>
      <c r="B195" s="1176" t="s">
        <v>154</v>
      </c>
      <c r="C195" s="1206" t="s">
        <v>1671</v>
      </c>
      <c r="D195" s="1207"/>
      <c r="E195" s="1207"/>
      <c r="F195" s="1208"/>
      <c r="G195" s="1207" t="s">
        <v>640</v>
      </c>
      <c r="H195" s="1185">
        <v>0</v>
      </c>
      <c r="I195" s="1185">
        <v>0</v>
      </c>
      <c r="J195" s="1185">
        <f>'[5]Silnice stavba'!$B$272</f>
        <v>0</v>
      </c>
      <c r="K195" s="1186">
        <f t="shared" si="8"/>
        <v>0</v>
      </c>
      <c r="L195" s="1185"/>
      <c r="M195" s="1185"/>
      <c r="N195" s="1185"/>
      <c r="O195" s="1185"/>
      <c r="P195" s="1185"/>
      <c r="Q195" s="1101"/>
      <c r="R195" s="1141"/>
    </row>
    <row r="196" spans="1:18" ht="12" hidden="1" customHeight="1" outlineLevel="1" x14ac:dyDescent="0.25">
      <c r="A196" s="1175"/>
      <c r="B196" s="1176" t="s">
        <v>154</v>
      </c>
      <c r="C196" s="1206" t="s">
        <v>1672</v>
      </c>
      <c r="D196" s="1207"/>
      <c r="E196" s="1207"/>
      <c r="F196" s="1208"/>
      <c r="G196" s="1207" t="s">
        <v>640</v>
      </c>
      <c r="H196" s="1185">
        <v>0</v>
      </c>
      <c r="I196" s="1185">
        <v>0</v>
      </c>
      <c r="J196" s="1185">
        <f>'[5]Silnice stavba'!$B$281</f>
        <v>0</v>
      </c>
      <c r="K196" s="1186">
        <f t="shared" si="8"/>
        <v>0</v>
      </c>
      <c r="L196" s="1185"/>
      <c r="M196" s="1185"/>
      <c r="N196" s="1185"/>
      <c r="O196" s="1185"/>
      <c r="P196" s="1185"/>
      <c r="Q196" s="1101"/>
      <c r="R196" s="1141"/>
    </row>
    <row r="197" spans="1:18" ht="12" hidden="1" customHeight="1" outlineLevel="1" x14ac:dyDescent="0.25">
      <c r="A197" s="1175"/>
      <c r="B197" s="1176" t="s">
        <v>154</v>
      </c>
      <c r="C197" s="1206" t="s">
        <v>1672</v>
      </c>
      <c r="D197" s="1207"/>
      <c r="E197" s="1207"/>
      <c r="F197" s="1208"/>
      <c r="G197" s="1207" t="s">
        <v>640</v>
      </c>
      <c r="H197" s="1185">
        <v>0</v>
      </c>
      <c r="I197" s="1185">
        <v>0</v>
      </c>
      <c r="J197" s="1185">
        <f>'[5]Silnice stavba'!$B$282</f>
        <v>0</v>
      </c>
      <c r="K197" s="1186">
        <f t="shared" si="8"/>
        <v>0</v>
      </c>
      <c r="L197" s="1185"/>
      <c r="M197" s="1185"/>
      <c r="N197" s="1185"/>
      <c r="O197" s="1185"/>
      <c r="P197" s="1185"/>
      <c r="Q197" s="1101"/>
      <c r="R197" s="1141"/>
    </row>
    <row r="198" spans="1:18" ht="11.45" hidden="1" customHeight="1" outlineLevel="1" x14ac:dyDescent="0.25">
      <c r="A198" s="1175"/>
      <c r="B198" s="1176" t="s">
        <v>154</v>
      </c>
      <c r="C198" s="1211" t="s">
        <v>1673</v>
      </c>
      <c r="D198" s="1207"/>
      <c r="E198" s="1207"/>
      <c r="F198" s="1208"/>
      <c r="G198" s="1183" t="s">
        <v>640</v>
      </c>
      <c r="H198" s="1185">
        <v>0</v>
      </c>
      <c r="I198" s="1185">
        <v>0</v>
      </c>
      <c r="J198" s="1185">
        <f>'[5]Silnice stavba'!$B$291</f>
        <v>0</v>
      </c>
      <c r="K198" s="1186">
        <f t="shared" si="8"/>
        <v>0</v>
      </c>
      <c r="L198" s="1185"/>
      <c r="M198" s="1185"/>
      <c r="N198" s="1185"/>
      <c r="O198" s="1185"/>
      <c r="P198" s="1185"/>
      <c r="Q198" s="1101"/>
      <c r="R198" s="1141"/>
    </row>
    <row r="199" spans="1:18" ht="12" hidden="1" customHeight="1" outlineLevel="1" x14ac:dyDescent="0.25">
      <c r="A199" s="1175"/>
      <c r="B199" s="1176" t="s">
        <v>154</v>
      </c>
      <c r="C199" s="1211" t="s">
        <v>1674</v>
      </c>
      <c r="D199" s="1207"/>
      <c r="E199" s="1207"/>
      <c r="F199" s="1208"/>
      <c r="G199" s="1183" t="s">
        <v>640</v>
      </c>
      <c r="H199" s="1185">
        <v>0</v>
      </c>
      <c r="I199" s="1185">
        <v>0</v>
      </c>
      <c r="J199" s="1185">
        <f>'[5]Silnice stavba'!$B$292</f>
        <v>0</v>
      </c>
      <c r="K199" s="1186">
        <f t="shared" ref="K199:K262" si="9">+J199-I199</f>
        <v>0</v>
      </c>
      <c r="L199" s="1185"/>
      <c r="M199" s="1185"/>
      <c r="N199" s="1185"/>
      <c r="O199" s="1185"/>
      <c r="P199" s="1185"/>
      <c r="Q199" s="1101"/>
      <c r="R199" s="1141"/>
    </row>
    <row r="200" spans="1:18" ht="12" hidden="1" customHeight="1" outlineLevel="1" x14ac:dyDescent="0.25">
      <c r="A200" s="1175"/>
      <c r="B200" s="1176" t="s">
        <v>154</v>
      </c>
      <c r="C200" s="1206" t="s">
        <v>1675</v>
      </c>
      <c r="D200" s="1207"/>
      <c r="E200" s="1207"/>
      <c r="F200" s="1208"/>
      <c r="G200" s="1183" t="s">
        <v>640</v>
      </c>
      <c r="H200" s="1185">
        <v>0</v>
      </c>
      <c r="I200" s="1185">
        <v>0</v>
      </c>
      <c r="J200" s="1185">
        <f>'[5]Silnice stavba'!$B$301</f>
        <v>0</v>
      </c>
      <c r="K200" s="1186">
        <f t="shared" si="9"/>
        <v>0</v>
      </c>
      <c r="L200" s="1185"/>
      <c r="M200" s="1185"/>
      <c r="N200" s="1185"/>
      <c r="O200" s="1185"/>
      <c r="P200" s="1185"/>
      <c r="Q200" s="1101"/>
      <c r="R200" s="1141"/>
    </row>
    <row r="201" spans="1:18" ht="12" hidden="1" customHeight="1" outlineLevel="1" x14ac:dyDescent="0.25">
      <c r="A201" s="1175"/>
      <c r="B201" s="1176" t="s">
        <v>154</v>
      </c>
      <c r="C201" s="1206" t="s">
        <v>1676</v>
      </c>
      <c r="D201" s="1207"/>
      <c r="E201" s="1207"/>
      <c r="F201" s="1208"/>
      <c r="G201" s="1183" t="s">
        <v>640</v>
      </c>
      <c r="H201" s="1185">
        <v>300000</v>
      </c>
      <c r="I201" s="1185">
        <v>0</v>
      </c>
      <c r="J201" s="1185">
        <f>'[5]Silnice stavba'!$B$302</f>
        <v>0</v>
      </c>
      <c r="K201" s="1186">
        <f t="shared" si="9"/>
        <v>0</v>
      </c>
      <c r="L201" s="1185"/>
      <c r="M201" s="1185"/>
      <c r="N201" s="1185"/>
      <c r="O201" s="1185"/>
      <c r="P201" s="1185"/>
      <c r="Q201" s="1101"/>
      <c r="R201" s="1141"/>
    </row>
    <row r="202" spans="1:18" ht="12" customHeight="1" outlineLevel="1" x14ac:dyDescent="0.25">
      <c r="A202" s="1175"/>
      <c r="B202" s="1176" t="s">
        <v>154</v>
      </c>
      <c r="C202" s="1206" t="s">
        <v>1702</v>
      </c>
      <c r="D202" s="1207"/>
      <c r="E202" s="1207"/>
      <c r="F202" s="1208"/>
      <c r="G202" s="1183" t="s">
        <v>640</v>
      </c>
      <c r="H202" s="1185">
        <v>100000</v>
      </c>
      <c r="I202" s="1185">
        <v>100000</v>
      </c>
      <c r="J202" s="1185">
        <f>'[5]Silnice - pozemky'!$B$6</f>
        <v>100000</v>
      </c>
      <c r="K202" s="1186">
        <f t="shared" si="9"/>
        <v>0</v>
      </c>
      <c r="L202" s="1185"/>
      <c r="M202" s="1185"/>
      <c r="N202" s="1185"/>
      <c r="O202" s="1185"/>
      <c r="P202" s="1185"/>
      <c r="Q202" s="1101"/>
      <c r="R202" s="1141"/>
    </row>
    <row r="203" spans="1:18" ht="12" hidden="1" customHeight="1" outlineLevel="1" x14ac:dyDescent="0.25">
      <c r="A203" s="1175"/>
      <c r="B203" s="1892" t="s">
        <v>154</v>
      </c>
      <c r="C203" s="1900"/>
      <c r="D203" s="1901"/>
      <c r="E203" s="1901"/>
      <c r="F203" s="1902"/>
      <c r="G203" s="1894" t="s">
        <v>640</v>
      </c>
      <c r="H203" s="1896"/>
      <c r="I203" s="1896"/>
      <c r="J203" s="1896"/>
      <c r="K203" s="1897">
        <f t="shared" si="9"/>
        <v>0</v>
      </c>
      <c r="L203" s="1896"/>
      <c r="M203" s="1896"/>
      <c r="N203" s="1896"/>
      <c r="O203" s="1896"/>
      <c r="P203" s="1896"/>
      <c r="Q203" s="1101"/>
      <c r="R203" s="1141"/>
    </row>
    <row r="204" spans="1:18" ht="12" customHeight="1" outlineLevel="1" thickBot="1" x14ac:dyDescent="0.3">
      <c r="A204" s="1202">
        <v>2212</v>
      </c>
      <c r="B204" s="1203" t="s">
        <v>154</v>
      </c>
      <c r="C204" s="1212"/>
      <c r="D204" s="1213"/>
      <c r="E204" s="1213"/>
      <c r="F204" s="1214"/>
      <c r="G204" s="1213" t="s">
        <v>640</v>
      </c>
      <c r="H204" s="1148"/>
      <c r="I204" s="1148"/>
      <c r="J204" s="1148"/>
      <c r="K204" s="1149">
        <f t="shared" si="9"/>
        <v>0</v>
      </c>
      <c r="L204" s="1148"/>
      <c r="M204" s="1148"/>
      <c r="N204" s="1148"/>
      <c r="O204" s="1148"/>
      <c r="P204" s="1148"/>
      <c r="Q204" s="1101"/>
      <c r="R204" s="1141"/>
    </row>
    <row r="205" spans="1:18" ht="14.25" thickBot="1" x14ac:dyDescent="0.3">
      <c r="A205" s="2729" t="s">
        <v>633</v>
      </c>
      <c r="B205" s="2730"/>
      <c r="C205" s="2102"/>
      <c r="D205" s="2103"/>
      <c r="E205" s="2103"/>
      <c r="F205" s="2104"/>
      <c r="G205" s="2103"/>
      <c r="H205" s="2105">
        <v>2400000</v>
      </c>
      <c r="I205" s="2105">
        <v>2300000</v>
      </c>
      <c r="J205" s="2105">
        <f>SUM(J155:J204)</f>
        <v>2200000</v>
      </c>
      <c r="K205" s="2159">
        <f t="shared" si="9"/>
        <v>-100000</v>
      </c>
      <c r="L205" s="2105"/>
      <c r="M205" s="2105">
        <f>SUM(M155:M204)</f>
        <v>0</v>
      </c>
      <c r="N205" s="2105"/>
      <c r="O205" s="2105"/>
      <c r="P205" s="2105"/>
      <c r="Q205" s="1140">
        <f>'Výdaje kapitol celkem'!CC69</f>
        <v>2200000</v>
      </c>
      <c r="R205" s="1141">
        <f>+Q205-J205</f>
        <v>0</v>
      </c>
    </row>
    <row r="206" spans="1:18" s="1181" customFormat="1" ht="12" customHeight="1" outlineLevel="1" x14ac:dyDescent="0.25">
      <c r="A206" s="1175"/>
      <c r="B206" s="1118" t="s">
        <v>157</v>
      </c>
      <c r="C206" s="1215" t="s">
        <v>1677</v>
      </c>
      <c r="D206" s="1216"/>
      <c r="E206" s="1216"/>
      <c r="F206" s="1217"/>
      <c r="G206" s="1183" t="s">
        <v>640</v>
      </c>
      <c r="H206" s="1122">
        <v>0</v>
      </c>
      <c r="I206" s="1122">
        <v>0</v>
      </c>
      <c r="J206" s="1122">
        <f>'[5]Inženýrské sítě'!$B$9</f>
        <v>0</v>
      </c>
      <c r="K206" s="1123">
        <f t="shared" si="9"/>
        <v>0</v>
      </c>
      <c r="L206" s="1122"/>
      <c r="M206" s="1122"/>
      <c r="N206" s="1122"/>
      <c r="O206" s="1122"/>
      <c r="P206" s="1122"/>
      <c r="Q206" s="1101"/>
      <c r="R206" s="1141"/>
    </row>
    <row r="207" spans="1:18" s="1181" customFormat="1" ht="12" customHeight="1" outlineLevel="1" thickBot="1" x14ac:dyDescent="0.3">
      <c r="A207" s="1202">
        <v>3633</v>
      </c>
      <c r="B207" s="1176" t="s">
        <v>157</v>
      </c>
      <c r="C207" s="1182" t="s">
        <v>1678</v>
      </c>
      <c r="D207" s="1183"/>
      <c r="E207" s="1183"/>
      <c r="F207" s="1184"/>
      <c r="G207" s="1183" t="s">
        <v>640</v>
      </c>
      <c r="H207" s="1185">
        <v>250000</v>
      </c>
      <c r="I207" s="1185">
        <v>250000</v>
      </c>
      <c r="J207" s="1185">
        <f>'[5]Inženýrské sítě'!$B$8</f>
        <v>250000</v>
      </c>
      <c r="K207" s="1186">
        <f t="shared" si="9"/>
        <v>0</v>
      </c>
      <c r="L207" s="1185"/>
      <c r="M207" s="1185"/>
      <c r="N207" s="1185"/>
      <c r="O207" s="1185"/>
      <c r="P207" s="1185"/>
      <c r="Q207" s="1101"/>
      <c r="R207" s="1141"/>
    </row>
    <row r="208" spans="1:18" s="1181" customFormat="1" ht="12.75" customHeight="1" thickBot="1" x14ac:dyDescent="0.3">
      <c r="A208" s="2729" t="s">
        <v>1195</v>
      </c>
      <c r="B208" s="2730"/>
      <c r="C208" s="2102"/>
      <c r="D208" s="2103"/>
      <c r="E208" s="2103"/>
      <c r="F208" s="2104"/>
      <c r="G208" s="2102"/>
      <c r="H208" s="2105">
        <v>250000</v>
      </c>
      <c r="I208" s="2105">
        <v>250000</v>
      </c>
      <c r="J208" s="2105">
        <f>SUM(J206:J207)</f>
        <v>250000</v>
      </c>
      <c r="K208" s="2159">
        <f t="shared" si="9"/>
        <v>0</v>
      </c>
      <c r="L208" s="2105"/>
      <c r="M208" s="2105"/>
      <c r="N208" s="2105"/>
      <c r="O208" s="2105"/>
      <c r="P208" s="2105"/>
      <c r="Q208" s="1140">
        <f>'Výdaje kapitol celkem'!CS69</f>
        <v>250000</v>
      </c>
      <c r="R208" s="1141">
        <f>+Q208-J208</f>
        <v>0</v>
      </c>
    </row>
    <row r="209" spans="1:18" s="1181" customFormat="1" ht="27" outlineLevel="1" x14ac:dyDescent="0.25">
      <c r="A209" s="1175"/>
      <c r="B209" s="1118" t="s">
        <v>156</v>
      </c>
      <c r="C209" s="1215" t="s">
        <v>1704</v>
      </c>
      <c r="D209" s="1216"/>
      <c r="E209" s="1216"/>
      <c r="F209" s="1217"/>
      <c r="G209" s="1183" t="s">
        <v>640</v>
      </c>
      <c r="H209" s="1122">
        <v>50000</v>
      </c>
      <c r="I209" s="1122">
        <v>50000</v>
      </c>
      <c r="J209" s="1122">
        <f>[5]Kanalizace!$B$8</f>
        <v>50000</v>
      </c>
      <c r="K209" s="1123">
        <f t="shared" si="9"/>
        <v>0</v>
      </c>
      <c r="L209" s="1124"/>
      <c r="M209" s="1125"/>
      <c r="N209" s="1126"/>
      <c r="O209" s="1126"/>
      <c r="P209" s="1122"/>
      <c r="Q209" s="1101"/>
      <c r="R209" s="1141"/>
    </row>
    <row r="210" spans="1:18" s="1181" customFormat="1" ht="27" hidden="1" outlineLevel="1" x14ac:dyDescent="0.25">
      <c r="A210" s="1175"/>
      <c r="B210" s="1176" t="s">
        <v>156</v>
      </c>
      <c r="C210" s="1182" t="s">
        <v>1705</v>
      </c>
      <c r="D210" s="1183"/>
      <c r="E210" s="1183"/>
      <c r="F210" s="1184"/>
      <c r="G210" s="1183" t="s">
        <v>640</v>
      </c>
      <c r="H210" s="1185">
        <v>0</v>
      </c>
      <c r="I210" s="1185">
        <v>0</v>
      </c>
      <c r="J210" s="1185">
        <f>[5]Kanalizace!$B$9</f>
        <v>0</v>
      </c>
      <c r="K210" s="1186">
        <f t="shared" si="9"/>
        <v>0</v>
      </c>
      <c r="L210" s="1187"/>
      <c r="M210" s="1188"/>
      <c r="N210" s="1189"/>
      <c r="O210" s="1189"/>
      <c r="P210" s="1185"/>
      <c r="Q210" s="1101"/>
      <c r="R210" s="1141"/>
    </row>
    <row r="211" spans="1:18" s="1181" customFormat="1" ht="12" hidden="1" customHeight="1" outlineLevel="1" x14ac:dyDescent="0.25">
      <c r="A211" s="1175"/>
      <c r="B211" s="1176" t="s">
        <v>156</v>
      </c>
      <c r="C211" s="1182" t="s">
        <v>1706</v>
      </c>
      <c r="D211" s="1183"/>
      <c r="E211" s="1183"/>
      <c r="F211" s="1184"/>
      <c r="G211" s="1183" t="s">
        <v>640</v>
      </c>
      <c r="H211" s="1185">
        <v>0</v>
      </c>
      <c r="I211" s="1185">
        <v>0</v>
      </c>
      <c r="J211" s="1185">
        <f>[5]Kanalizace!$B$23</f>
        <v>0</v>
      </c>
      <c r="K211" s="1186">
        <f t="shared" si="9"/>
        <v>0</v>
      </c>
      <c r="L211" s="1187"/>
      <c r="M211" s="1188"/>
      <c r="N211" s="1189"/>
      <c r="O211" s="1189"/>
      <c r="P211" s="1185"/>
      <c r="Q211" s="1101"/>
      <c r="R211" s="1141"/>
    </row>
    <row r="212" spans="1:18" s="1181" customFormat="1" ht="12" hidden="1" customHeight="1" outlineLevel="1" x14ac:dyDescent="0.25">
      <c r="A212" s="1175"/>
      <c r="B212" s="1176" t="s">
        <v>156</v>
      </c>
      <c r="C212" s="1182" t="s">
        <v>1707</v>
      </c>
      <c r="D212" s="1183"/>
      <c r="E212" s="1183"/>
      <c r="F212" s="1184"/>
      <c r="G212" s="1183" t="s">
        <v>640</v>
      </c>
      <c r="H212" s="1185">
        <v>0</v>
      </c>
      <c r="I212" s="1185">
        <v>0</v>
      </c>
      <c r="J212" s="1185">
        <f>[5]Kanalizace!$B$24</f>
        <v>0</v>
      </c>
      <c r="K212" s="1186">
        <f t="shared" si="9"/>
        <v>0</v>
      </c>
      <c r="L212" s="1187"/>
      <c r="M212" s="1188"/>
      <c r="N212" s="1189"/>
      <c r="O212" s="1189"/>
      <c r="P212" s="1185"/>
      <c r="Q212" s="1101"/>
      <c r="R212" s="1141"/>
    </row>
    <row r="213" spans="1:18" s="1181" customFormat="1" ht="12" hidden="1" customHeight="1" outlineLevel="1" x14ac:dyDescent="0.25">
      <c r="A213" s="1175"/>
      <c r="B213" s="1176" t="s">
        <v>156</v>
      </c>
      <c r="C213" s="1182" t="s">
        <v>1708</v>
      </c>
      <c r="D213" s="1183"/>
      <c r="E213" s="1183"/>
      <c r="F213" s="1184"/>
      <c r="G213" s="1183" t="s">
        <v>640</v>
      </c>
      <c r="H213" s="1185">
        <v>0</v>
      </c>
      <c r="I213" s="1185">
        <v>0</v>
      </c>
      <c r="J213" s="1185">
        <f>[5]Kanalizace!$B$25</f>
        <v>0</v>
      </c>
      <c r="K213" s="1186">
        <f t="shared" si="9"/>
        <v>0</v>
      </c>
      <c r="L213" s="1187"/>
      <c r="M213" s="1188"/>
      <c r="N213" s="1189"/>
      <c r="O213" s="1189"/>
      <c r="P213" s="1185"/>
      <c r="Q213" s="1101"/>
      <c r="R213" s="1141"/>
    </row>
    <row r="214" spans="1:18" s="1181" customFormat="1" ht="12" hidden="1" customHeight="1" outlineLevel="1" x14ac:dyDescent="0.25">
      <c r="A214" s="1175"/>
      <c r="B214" s="1176" t="s">
        <v>156</v>
      </c>
      <c r="C214" s="1182" t="s">
        <v>1709</v>
      </c>
      <c r="D214" s="1183"/>
      <c r="E214" s="1183"/>
      <c r="F214" s="1184"/>
      <c r="G214" s="1183" t="s">
        <v>640</v>
      </c>
      <c r="H214" s="1185">
        <v>0</v>
      </c>
      <c r="I214" s="1185">
        <v>0</v>
      </c>
      <c r="J214" s="1185">
        <f>[5]Kanalizace!$B$29</f>
        <v>0</v>
      </c>
      <c r="K214" s="1186">
        <f t="shared" si="9"/>
        <v>0</v>
      </c>
      <c r="L214" s="1187"/>
      <c r="M214" s="1188"/>
      <c r="N214" s="1189"/>
      <c r="O214" s="1189"/>
      <c r="P214" s="1185"/>
      <c r="Q214" s="1101"/>
      <c r="R214" s="1141"/>
    </row>
    <row r="215" spans="1:18" s="1181" customFormat="1" ht="12" hidden="1" customHeight="1" outlineLevel="1" x14ac:dyDescent="0.25">
      <c r="A215" s="1175"/>
      <c r="B215" s="1176" t="s">
        <v>156</v>
      </c>
      <c r="C215" s="1893" t="s">
        <v>1710</v>
      </c>
      <c r="D215" s="1894"/>
      <c r="E215" s="1894"/>
      <c r="F215" s="1895"/>
      <c r="G215" s="1894" t="s">
        <v>640</v>
      </c>
      <c r="H215" s="1896">
        <v>0</v>
      </c>
      <c r="I215" s="1896">
        <v>0</v>
      </c>
      <c r="J215" s="1896">
        <f>[5]Kanalizace!$B$30</f>
        <v>0</v>
      </c>
      <c r="K215" s="1897">
        <f t="shared" si="9"/>
        <v>0</v>
      </c>
      <c r="L215" s="1898"/>
      <c r="M215" s="1899"/>
      <c r="N215" s="1890"/>
      <c r="O215" s="1890"/>
      <c r="P215" s="1896"/>
      <c r="Q215" s="1101"/>
      <c r="R215" s="1141"/>
    </row>
    <row r="216" spans="1:18" s="1181" customFormat="1" ht="12" hidden="1" customHeight="1" outlineLevel="1" x14ac:dyDescent="0.25">
      <c r="A216" s="1175"/>
      <c r="B216" s="1176" t="s">
        <v>156</v>
      </c>
      <c r="C216" s="1893" t="s">
        <v>1711</v>
      </c>
      <c r="D216" s="1894"/>
      <c r="E216" s="1894"/>
      <c r="F216" s="1895"/>
      <c r="G216" s="1894" t="s">
        <v>640</v>
      </c>
      <c r="H216" s="1896">
        <v>0</v>
      </c>
      <c r="I216" s="1896">
        <v>0</v>
      </c>
      <c r="J216" s="1896">
        <f>[5]Kanalizace!$B$41</f>
        <v>0</v>
      </c>
      <c r="K216" s="1897">
        <f t="shared" si="9"/>
        <v>0</v>
      </c>
      <c r="L216" s="1898"/>
      <c r="M216" s="1899"/>
      <c r="N216" s="1890"/>
      <c r="O216" s="1890"/>
      <c r="P216" s="1896"/>
      <c r="Q216" s="1101"/>
      <c r="R216" s="1141"/>
    </row>
    <row r="217" spans="1:18" s="1181" customFormat="1" ht="12" customHeight="1" outlineLevel="1" x14ac:dyDescent="0.25">
      <c r="A217" s="1175"/>
      <c r="B217" s="1176" t="s">
        <v>156</v>
      </c>
      <c r="C217" s="1893" t="s">
        <v>1712</v>
      </c>
      <c r="D217" s="1894"/>
      <c r="E217" s="1894"/>
      <c r="F217" s="1895"/>
      <c r="G217" s="1894" t="s">
        <v>640</v>
      </c>
      <c r="H217" s="1896">
        <v>0</v>
      </c>
      <c r="I217" s="1896">
        <v>0</v>
      </c>
      <c r="J217" s="1896">
        <f>[5]Kanalizace!$B$42</f>
        <v>800000</v>
      </c>
      <c r="K217" s="1897">
        <f t="shared" si="9"/>
        <v>800000</v>
      </c>
      <c r="L217" s="1898"/>
      <c r="M217" s="1899"/>
      <c r="N217" s="1890"/>
      <c r="O217" s="1890"/>
      <c r="P217" s="1896"/>
      <c r="Q217" s="1101"/>
      <c r="R217" s="1141"/>
    </row>
    <row r="218" spans="1:18" s="1181" customFormat="1" ht="12" customHeight="1" outlineLevel="1" x14ac:dyDescent="0.25">
      <c r="A218" s="1175"/>
      <c r="B218" s="1176" t="s">
        <v>156</v>
      </c>
      <c r="C218" s="1893" t="s">
        <v>1713</v>
      </c>
      <c r="D218" s="1894"/>
      <c r="E218" s="1894"/>
      <c r="F218" s="1895"/>
      <c r="G218" s="1894" t="s">
        <v>640</v>
      </c>
      <c r="H218" s="1896">
        <v>0</v>
      </c>
      <c r="I218" s="1896">
        <v>0</v>
      </c>
      <c r="J218" s="1896">
        <f>[5]Kanalizace!$B$53</f>
        <v>0</v>
      </c>
      <c r="K218" s="1897">
        <f t="shared" si="9"/>
        <v>0</v>
      </c>
      <c r="L218" s="1898"/>
      <c r="M218" s="1899"/>
      <c r="N218" s="1890"/>
      <c r="O218" s="1890"/>
      <c r="P218" s="1896"/>
      <c r="Q218" s="1101"/>
      <c r="R218" s="1141"/>
    </row>
    <row r="219" spans="1:18" s="1181" customFormat="1" ht="12" customHeight="1" outlineLevel="1" x14ac:dyDescent="0.25">
      <c r="A219" s="1175"/>
      <c r="B219" s="1176" t="s">
        <v>156</v>
      </c>
      <c r="C219" s="1893" t="s">
        <v>1714</v>
      </c>
      <c r="D219" s="1894"/>
      <c r="E219" s="1894"/>
      <c r="F219" s="1895"/>
      <c r="G219" s="1894" t="s">
        <v>640</v>
      </c>
      <c r="H219" s="1896">
        <v>5200000</v>
      </c>
      <c r="I219" s="1896">
        <v>2000000</v>
      </c>
      <c r="J219" s="1896">
        <f>[5]Kanalizace!$B$54</f>
        <v>2200000</v>
      </c>
      <c r="K219" s="1897">
        <f t="shared" si="9"/>
        <v>200000</v>
      </c>
      <c r="L219" s="1898"/>
      <c r="M219" s="1899"/>
      <c r="N219" s="1890"/>
      <c r="O219" s="1890"/>
      <c r="P219" s="1896"/>
      <c r="Q219" s="1101"/>
      <c r="R219" s="1141"/>
    </row>
    <row r="220" spans="1:18" s="1181" customFormat="1" ht="12" hidden="1" customHeight="1" outlineLevel="1" x14ac:dyDescent="0.25">
      <c r="A220" s="1175"/>
      <c r="B220" s="1176" t="s">
        <v>156</v>
      </c>
      <c r="C220" s="1893" t="s">
        <v>1715</v>
      </c>
      <c r="D220" s="1894"/>
      <c r="E220" s="1894"/>
      <c r="F220" s="1895"/>
      <c r="G220" s="1894" t="s">
        <v>640</v>
      </c>
      <c r="H220" s="1896">
        <v>0</v>
      </c>
      <c r="I220" s="1896">
        <v>0</v>
      </c>
      <c r="J220" s="1896">
        <f>[5]Kanalizace!$B$66</f>
        <v>0</v>
      </c>
      <c r="K220" s="1897">
        <f t="shared" si="9"/>
        <v>0</v>
      </c>
      <c r="L220" s="1898"/>
      <c r="M220" s="1899"/>
      <c r="N220" s="1890"/>
      <c r="O220" s="1890"/>
      <c r="P220" s="1896"/>
      <c r="Q220" s="1101"/>
      <c r="R220" s="1141"/>
    </row>
    <row r="221" spans="1:18" s="1181" customFormat="1" ht="12" hidden="1" customHeight="1" outlineLevel="1" x14ac:dyDescent="0.25">
      <c r="A221" s="1175"/>
      <c r="B221" s="1176" t="s">
        <v>156</v>
      </c>
      <c r="C221" s="1893" t="s">
        <v>1716</v>
      </c>
      <c r="D221" s="1894"/>
      <c r="E221" s="1894"/>
      <c r="F221" s="1895"/>
      <c r="G221" s="1894" t="s">
        <v>640</v>
      </c>
      <c r="H221" s="1896">
        <v>0</v>
      </c>
      <c r="I221" s="1896">
        <v>0</v>
      </c>
      <c r="J221" s="1896">
        <f>[5]Kanalizace!$B$67</f>
        <v>0</v>
      </c>
      <c r="K221" s="1897">
        <f t="shared" si="9"/>
        <v>0</v>
      </c>
      <c r="L221" s="1898"/>
      <c r="M221" s="1899"/>
      <c r="N221" s="1890"/>
      <c r="O221" s="1890"/>
      <c r="P221" s="1896"/>
      <c r="Q221" s="1101"/>
      <c r="R221" s="1141"/>
    </row>
    <row r="222" spans="1:18" s="1181" customFormat="1" ht="12" hidden="1" customHeight="1" outlineLevel="1" x14ac:dyDescent="0.25">
      <c r="A222" s="1175"/>
      <c r="B222" s="1176" t="s">
        <v>156</v>
      </c>
      <c r="C222" s="1893" t="s">
        <v>1741</v>
      </c>
      <c r="D222" s="1894"/>
      <c r="E222" s="1894"/>
      <c r="F222" s="1895"/>
      <c r="G222" s="1894" t="s">
        <v>640</v>
      </c>
      <c r="H222" s="1896">
        <v>0</v>
      </c>
      <c r="I222" s="1896">
        <v>0</v>
      </c>
      <c r="J222" s="1896">
        <f>[5]Kanalizace!$B$78</f>
        <v>0</v>
      </c>
      <c r="K222" s="1897">
        <f t="shared" si="9"/>
        <v>0</v>
      </c>
      <c r="L222" s="1898"/>
      <c r="M222" s="1899"/>
      <c r="N222" s="1890"/>
      <c r="O222" s="1890"/>
      <c r="P222" s="1896"/>
      <c r="Q222" s="1101"/>
      <c r="R222" s="1141"/>
    </row>
    <row r="223" spans="1:18" s="1181" customFormat="1" ht="12" customHeight="1" outlineLevel="1" x14ac:dyDescent="0.25">
      <c r="A223" s="1175"/>
      <c r="B223" s="1176" t="s">
        <v>156</v>
      </c>
      <c r="C223" s="1893" t="s">
        <v>1742</v>
      </c>
      <c r="D223" s="1894"/>
      <c r="E223" s="1894"/>
      <c r="F223" s="1895"/>
      <c r="G223" s="1894" t="s">
        <v>640</v>
      </c>
      <c r="H223" s="1896">
        <v>1600000</v>
      </c>
      <c r="I223" s="1896">
        <v>1600000</v>
      </c>
      <c r="J223" s="1896">
        <f>[5]Kanalizace!$B$79</f>
        <v>1600000</v>
      </c>
      <c r="K223" s="1897">
        <f t="shared" si="9"/>
        <v>0</v>
      </c>
      <c r="L223" s="1898"/>
      <c r="M223" s="1899"/>
      <c r="N223" s="1890"/>
      <c r="O223" s="1890"/>
      <c r="P223" s="1896"/>
      <c r="Q223" s="1101"/>
      <c r="R223" s="1141"/>
    </row>
    <row r="224" spans="1:18" s="1181" customFormat="1" ht="12" customHeight="1" outlineLevel="1" thickBot="1" x14ac:dyDescent="0.3">
      <c r="A224" s="1202" t="s">
        <v>180</v>
      </c>
      <c r="B224" s="1194" t="s">
        <v>156</v>
      </c>
      <c r="C224" s="1195"/>
      <c r="D224" s="1196"/>
      <c r="E224" s="1196"/>
      <c r="F224" s="1197"/>
      <c r="G224" s="1196" t="s">
        <v>640</v>
      </c>
      <c r="H224" s="1148"/>
      <c r="I224" s="1148"/>
      <c r="J224" s="1148"/>
      <c r="K224" s="1149">
        <f t="shared" si="9"/>
        <v>0</v>
      </c>
      <c r="L224" s="1150"/>
      <c r="M224" s="1151"/>
      <c r="N224" s="1152"/>
      <c r="O224" s="1152"/>
      <c r="P224" s="1148"/>
      <c r="Q224" s="1101"/>
      <c r="R224" s="1141"/>
    </row>
    <row r="225" spans="1:18" s="1181" customFormat="1" ht="14.25" thickBot="1" x14ac:dyDescent="0.3">
      <c r="A225" s="2729" t="s">
        <v>634</v>
      </c>
      <c r="B225" s="2730"/>
      <c r="C225" s="2102"/>
      <c r="D225" s="2103"/>
      <c r="E225" s="2103"/>
      <c r="F225" s="2104"/>
      <c r="G225" s="2103"/>
      <c r="H225" s="2105">
        <v>6850000</v>
      </c>
      <c r="I225" s="2105">
        <v>3650000</v>
      </c>
      <c r="J225" s="2105">
        <f>SUM(J209:J224)</f>
        <v>4650000</v>
      </c>
      <c r="K225" s="2159">
        <f t="shared" si="9"/>
        <v>1000000</v>
      </c>
      <c r="L225" s="2105"/>
      <c r="M225" s="2105">
        <f>SUM(M209:M214)</f>
        <v>0</v>
      </c>
      <c r="N225" s="2105"/>
      <c r="O225" s="2105"/>
      <c r="P225" s="2105"/>
      <c r="Q225" s="1140">
        <f>'Výdaje kapitol celkem'!CM69</f>
        <v>4650000</v>
      </c>
      <c r="R225" s="1141">
        <f>+Q225-J225</f>
        <v>0</v>
      </c>
    </row>
    <row r="226" spans="1:18" s="1181" customFormat="1" ht="12" customHeight="1" outlineLevel="1" x14ac:dyDescent="0.25">
      <c r="A226" s="1143"/>
      <c r="B226" s="1215" t="s">
        <v>155</v>
      </c>
      <c r="C226" s="1215" t="s">
        <v>1703</v>
      </c>
      <c r="D226" s="1216"/>
      <c r="E226" s="1216"/>
      <c r="F226" s="1217"/>
      <c r="G226" s="1216" t="s">
        <v>640</v>
      </c>
      <c r="H226" s="1122">
        <v>1500000</v>
      </c>
      <c r="I226" s="1122">
        <v>1500000</v>
      </c>
      <c r="J226" s="1122">
        <f>[5]Vodovod!$B$4</f>
        <v>2500000</v>
      </c>
      <c r="K226" s="1123">
        <f t="shared" si="9"/>
        <v>1000000</v>
      </c>
      <c r="L226" s="1124"/>
      <c r="M226" s="1125"/>
      <c r="N226" s="1126"/>
      <c r="O226" s="1126"/>
      <c r="P226" s="1122"/>
      <c r="Q226" s="1101"/>
      <c r="R226" s="1141"/>
    </row>
    <row r="227" spans="1:18" s="1181" customFormat="1" ht="12" customHeight="1" outlineLevel="1" x14ac:dyDescent="0.25">
      <c r="A227" s="1143"/>
      <c r="B227" s="1182" t="s">
        <v>155</v>
      </c>
      <c r="C227" s="1182" t="s">
        <v>1680</v>
      </c>
      <c r="D227" s="1183"/>
      <c r="E227" s="1183"/>
      <c r="F227" s="1184"/>
      <c r="G227" s="1183" t="s">
        <v>640</v>
      </c>
      <c r="H227" s="1185">
        <v>150000</v>
      </c>
      <c r="I227" s="1185">
        <v>150000</v>
      </c>
      <c r="J227" s="1185">
        <f>[5]Vodovod!$B$5</f>
        <v>150000</v>
      </c>
      <c r="K227" s="1186">
        <f t="shared" si="9"/>
        <v>0</v>
      </c>
      <c r="L227" s="1187"/>
      <c r="M227" s="1188"/>
      <c r="N227" s="1189"/>
      <c r="O227" s="1189"/>
      <c r="P227" s="1185"/>
      <c r="Q227" s="1101"/>
      <c r="R227" s="1141"/>
    </row>
    <row r="228" spans="1:18" s="1181" customFormat="1" ht="15.95" customHeight="1" outlineLevel="1" thickBot="1" x14ac:dyDescent="0.3">
      <c r="A228" s="1144">
        <v>2310</v>
      </c>
      <c r="B228" s="1194" t="s">
        <v>155</v>
      </c>
      <c r="C228" s="1194"/>
      <c r="D228" s="1192"/>
      <c r="E228" s="1192"/>
      <c r="F228" s="1193"/>
      <c r="G228" s="1192" t="s">
        <v>640</v>
      </c>
      <c r="H228" s="1167"/>
      <c r="I228" s="1167"/>
      <c r="J228" s="1167"/>
      <c r="K228" s="1172">
        <f t="shared" si="9"/>
        <v>0</v>
      </c>
      <c r="L228" s="1173"/>
      <c r="M228" s="1174"/>
      <c r="N228" s="1166"/>
      <c r="O228" s="1166"/>
      <c r="P228" s="1167"/>
      <c r="Q228" s="1101"/>
      <c r="R228" s="1141"/>
    </row>
    <row r="229" spans="1:18" s="1181" customFormat="1" ht="14.25" thickBot="1" x14ac:dyDescent="0.3">
      <c r="A229" s="2729" t="s">
        <v>646</v>
      </c>
      <c r="B229" s="2730"/>
      <c r="C229" s="2102"/>
      <c r="D229" s="2103"/>
      <c r="E229" s="2103"/>
      <c r="F229" s="2104"/>
      <c r="G229" s="2103"/>
      <c r="H229" s="2105">
        <v>1650000</v>
      </c>
      <c r="I229" s="2105">
        <v>1650000</v>
      </c>
      <c r="J229" s="2105">
        <f>SUM(J226:J228)</f>
        <v>2650000</v>
      </c>
      <c r="K229" s="2159">
        <f t="shared" si="9"/>
        <v>1000000</v>
      </c>
      <c r="L229" s="2105"/>
      <c r="M229" s="2105">
        <f>+M226+M228</f>
        <v>0</v>
      </c>
      <c r="N229" s="2105"/>
      <c r="O229" s="2105"/>
      <c r="P229" s="2105"/>
      <c r="Q229" s="1140">
        <f>'Výdaje kapitol celkem'!CG69</f>
        <v>2650000</v>
      </c>
      <c r="R229" s="1141">
        <f>+Q229-J229</f>
        <v>0</v>
      </c>
    </row>
    <row r="230" spans="1:18" s="1181" customFormat="1" ht="12" customHeight="1" outlineLevel="1" x14ac:dyDescent="0.25">
      <c r="A230" s="1175"/>
      <c r="B230" s="1118" t="s">
        <v>152</v>
      </c>
      <c r="C230" s="1215"/>
      <c r="D230" s="1216"/>
      <c r="E230" s="1216"/>
      <c r="F230" s="1217"/>
      <c r="G230" s="1183" t="s">
        <v>640</v>
      </c>
      <c r="H230" s="1122">
        <v>250000</v>
      </c>
      <c r="I230" s="1122">
        <v>250000</v>
      </c>
      <c r="J230" s="1122">
        <f>'[6]Územní plán 3635'!$B$31</f>
        <v>250000</v>
      </c>
      <c r="K230" s="1123">
        <f t="shared" si="9"/>
        <v>0</v>
      </c>
      <c r="L230" s="1124"/>
      <c r="M230" s="1125"/>
      <c r="N230" s="1126"/>
      <c r="O230" s="1126"/>
      <c r="P230" s="1122"/>
      <c r="Q230" s="1101"/>
      <c r="R230" s="1141"/>
    </row>
    <row r="231" spans="1:18" s="1181" customFormat="1" ht="12" customHeight="1" outlineLevel="1" thickBot="1" x14ac:dyDescent="0.3">
      <c r="A231" s="1144">
        <v>3635</v>
      </c>
      <c r="B231" s="1176" t="s">
        <v>152</v>
      </c>
      <c r="C231" s="1182"/>
      <c r="D231" s="1183"/>
      <c r="E231" s="1183"/>
      <c r="F231" s="1184"/>
      <c r="G231" s="1183" t="s">
        <v>640</v>
      </c>
      <c r="H231" s="1185">
        <v>0</v>
      </c>
      <c r="I231" s="1185">
        <v>300000</v>
      </c>
      <c r="J231" s="1185">
        <f>'[6]Územní plán 3635'!$B$32</f>
        <v>300000</v>
      </c>
      <c r="K231" s="1186">
        <f t="shared" si="9"/>
        <v>0</v>
      </c>
      <c r="L231" s="1187"/>
      <c r="M231" s="1188"/>
      <c r="N231" s="1189"/>
      <c r="O231" s="1189"/>
      <c r="P231" s="1185"/>
      <c r="Q231" s="1101"/>
      <c r="R231" s="1141"/>
    </row>
    <row r="232" spans="1:18" s="1181" customFormat="1" ht="14.25" thickBot="1" x14ac:dyDescent="0.3">
      <c r="A232" s="2729" t="s">
        <v>1196</v>
      </c>
      <c r="B232" s="2730"/>
      <c r="C232" s="2102" t="s">
        <v>107</v>
      </c>
      <c r="D232" s="2103"/>
      <c r="E232" s="2103"/>
      <c r="F232" s="2104"/>
      <c r="G232" s="2103" t="s">
        <v>640</v>
      </c>
      <c r="H232" s="2105">
        <v>250000</v>
      </c>
      <c r="I232" s="2105">
        <v>550000</v>
      </c>
      <c r="J232" s="2105">
        <f>SUM(J230:J231)</f>
        <v>550000</v>
      </c>
      <c r="K232" s="2170">
        <f t="shared" si="9"/>
        <v>0</v>
      </c>
      <c r="L232" s="2102"/>
      <c r="M232" s="2102">
        <v>0</v>
      </c>
      <c r="N232" s="2102"/>
      <c r="O232" s="2102"/>
      <c r="P232" s="2102"/>
      <c r="Q232" s="1140">
        <f>'Výdaje kapitol celkem'!BY69</f>
        <v>550000</v>
      </c>
      <c r="R232" s="1141">
        <f>+Q232-J232</f>
        <v>0</v>
      </c>
    </row>
    <row r="233" spans="1:18" s="1181" customFormat="1" ht="12" hidden="1" customHeight="1" outlineLevel="1" x14ac:dyDescent="0.25">
      <c r="A233" s="1175"/>
      <c r="B233" s="1215" t="s">
        <v>162</v>
      </c>
      <c r="C233" s="1215"/>
      <c r="D233" s="1216"/>
      <c r="E233" s="1216"/>
      <c r="F233" s="1217"/>
      <c r="G233" s="1216" t="s">
        <v>640</v>
      </c>
      <c r="H233" s="1122">
        <v>0</v>
      </c>
      <c r="I233" s="1122">
        <v>0</v>
      </c>
      <c r="J233" s="1122">
        <f>[5]Pošembeří!$B$4</f>
        <v>0</v>
      </c>
      <c r="K233" s="1123">
        <f t="shared" si="9"/>
        <v>0</v>
      </c>
      <c r="L233" s="1124"/>
      <c r="M233" s="1125"/>
      <c r="N233" s="1126"/>
      <c r="O233" s="1126"/>
      <c r="P233" s="1122"/>
      <c r="Q233" s="1101"/>
      <c r="R233" s="1141"/>
    </row>
    <row r="234" spans="1:18" s="1181" customFormat="1" ht="14.25" hidden="1" outlineLevel="1" thickBot="1" x14ac:dyDescent="0.3">
      <c r="A234" s="1144">
        <v>3330</v>
      </c>
      <c r="B234" s="1194" t="s">
        <v>162</v>
      </c>
      <c r="C234" s="1194"/>
      <c r="D234" s="1192"/>
      <c r="E234" s="1192"/>
      <c r="F234" s="1193"/>
      <c r="G234" s="1192" t="s">
        <v>640</v>
      </c>
      <c r="H234" s="1167">
        <v>0</v>
      </c>
      <c r="I234" s="1167">
        <v>0</v>
      </c>
      <c r="J234" s="1167">
        <f>[5]Pošembeří!$B$5</f>
        <v>0</v>
      </c>
      <c r="K234" s="1172">
        <f t="shared" si="9"/>
        <v>0</v>
      </c>
      <c r="L234" s="1173"/>
      <c r="M234" s="1174"/>
      <c r="N234" s="1166"/>
      <c r="O234" s="1166"/>
      <c r="P234" s="1223"/>
      <c r="Q234" s="1101"/>
      <c r="R234" s="1141"/>
    </row>
    <row r="235" spans="1:18" s="1181" customFormat="1" ht="14.25" hidden="1" collapsed="1" thickBot="1" x14ac:dyDescent="0.3">
      <c r="A235" s="2729" t="s">
        <v>635</v>
      </c>
      <c r="B235" s="2730"/>
      <c r="C235" s="2102"/>
      <c r="D235" s="2103"/>
      <c r="E235" s="2103"/>
      <c r="F235" s="2104"/>
      <c r="G235" s="2103"/>
      <c r="H235" s="2105">
        <v>0</v>
      </c>
      <c r="I235" s="2105">
        <v>0</v>
      </c>
      <c r="J235" s="2105">
        <f t="shared" ref="J235" si="10">SUM(J233:J234)</f>
        <v>0</v>
      </c>
      <c r="K235" s="1136">
        <f t="shared" si="9"/>
        <v>0</v>
      </c>
      <c r="L235" s="1137"/>
      <c r="M235" s="1135">
        <f t="shared" ref="M235" si="11">SUM(M233:M234)</f>
        <v>0</v>
      </c>
      <c r="N235" s="1138"/>
      <c r="O235" s="1138"/>
      <c r="P235" s="1139"/>
      <c r="Q235" s="1140">
        <f>'Výdaje kapitol celkem'!DU69</f>
        <v>0</v>
      </c>
      <c r="R235" s="1141">
        <f>+Q235-J235</f>
        <v>0</v>
      </c>
    </row>
    <row r="236" spans="1:18" ht="15" hidden="1" customHeight="1" outlineLevel="1" x14ac:dyDescent="0.25">
      <c r="A236" s="1175"/>
      <c r="B236" s="1176" t="s">
        <v>493</v>
      </c>
      <c r="C236" s="1206"/>
      <c r="D236" s="1207"/>
      <c r="E236" s="1207"/>
      <c r="F236" s="1208"/>
      <c r="G236" s="1216" t="s">
        <v>640</v>
      </c>
      <c r="H236" s="1185">
        <v>0</v>
      </c>
      <c r="I236" s="1185">
        <v>0</v>
      </c>
      <c r="J236" s="1185">
        <v>0</v>
      </c>
      <c r="K236" s="1186">
        <f t="shared" si="9"/>
        <v>0</v>
      </c>
      <c r="L236" s="1187"/>
      <c r="M236" s="1188"/>
      <c r="N236" s="1189"/>
      <c r="O236" s="1189"/>
      <c r="P236" s="1185"/>
      <c r="Q236" s="1101"/>
      <c r="R236" s="1141"/>
    </row>
    <row r="237" spans="1:18" s="1104" customFormat="1" ht="12" hidden="1" customHeight="1" outlineLevel="1" thickBot="1" x14ac:dyDescent="0.3">
      <c r="A237" s="1144" t="s">
        <v>264</v>
      </c>
      <c r="B237" s="1194" t="s">
        <v>493</v>
      </c>
      <c r="C237" s="1194"/>
      <c r="D237" s="1192"/>
      <c r="E237" s="1192"/>
      <c r="F237" s="1193"/>
      <c r="G237" s="1192" t="s">
        <v>640</v>
      </c>
      <c r="H237" s="1167">
        <v>0</v>
      </c>
      <c r="I237" s="1167">
        <v>0</v>
      </c>
      <c r="J237" s="1167">
        <v>0</v>
      </c>
      <c r="K237" s="1172">
        <f t="shared" si="9"/>
        <v>0</v>
      </c>
      <c r="L237" s="1173"/>
      <c r="M237" s="1174"/>
      <c r="N237" s="1166"/>
      <c r="O237" s="1166"/>
      <c r="P237" s="1167"/>
      <c r="Q237" s="1101"/>
      <c r="R237" s="1141"/>
    </row>
    <row r="238" spans="1:18" s="1181" customFormat="1" ht="14.25" hidden="1" collapsed="1" thickBot="1" x14ac:dyDescent="0.3">
      <c r="A238" s="2729" t="s">
        <v>1200</v>
      </c>
      <c r="B238" s="2730"/>
      <c r="C238" s="2102"/>
      <c r="D238" s="2103"/>
      <c r="E238" s="2103"/>
      <c r="F238" s="2104"/>
      <c r="G238" s="2103"/>
      <c r="H238" s="2105">
        <v>0</v>
      </c>
      <c r="I238" s="2105">
        <v>0</v>
      </c>
      <c r="J238" s="2105">
        <f>SUM(J236:J237)</f>
        <v>0</v>
      </c>
      <c r="K238" s="1219">
        <f t="shared" si="9"/>
        <v>0</v>
      </c>
      <c r="L238" s="1220"/>
      <c r="M238" s="1218">
        <f t="shared" ref="M238" si="12">SUM(M236:M237)</f>
        <v>0</v>
      </c>
      <c r="N238" s="1221"/>
      <c r="O238" s="1221"/>
      <c r="P238" s="1222"/>
      <c r="Q238" s="1140">
        <f>'Výdaje kapitol celkem'!DO69</f>
        <v>0</v>
      </c>
      <c r="R238" s="1141">
        <f>+Q238-J238</f>
        <v>0</v>
      </c>
    </row>
    <row r="239" spans="1:18" s="1181" customFormat="1" ht="14.25" hidden="1" outlineLevel="1" thickBot="1" x14ac:dyDescent="0.3">
      <c r="A239" s="1143"/>
      <c r="B239" s="1215" t="s">
        <v>159</v>
      </c>
      <c r="C239" s="1215"/>
      <c r="D239" s="1216"/>
      <c r="E239" s="1216"/>
      <c r="F239" s="1217"/>
      <c r="G239" s="1216" t="s">
        <v>640</v>
      </c>
      <c r="H239" s="1122">
        <v>0</v>
      </c>
      <c r="I239" s="1122">
        <v>0</v>
      </c>
      <c r="J239" s="1122">
        <f>'[6]Povodeň 3744'!$B$32</f>
        <v>0</v>
      </c>
      <c r="K239" s="1123">
        <f t="shared" si="9"/>
        <v>0</v>
      </c>
      <c r="L239" s="1124"/>
      <c r="M239" s="1125"/>
      <c r="N239" s="1126"/>
      <c r="O239" s="1126"/>
      <c r="P239" s="1122"/>
      <c r="Q239" s="1101"/>
      <c r="R239" s="1141"/>
    </row>
    <row r="240" spans="1:18" s="1181" customFormat="1" ht="14.25" hidden="1" outlineLevel="1" thickBot="1" x14ac:dyDescent="0.3">
      <c r="A240" s="1144">
        <v>3744</v>
      </c>
      <c r="B240" s="1194" t="s">
        <v>159</v>
      </c>
      <c r="C240" s="1194"/>
      <c r="D240" s="1192"/>
      <c r="E240" s="1192"/>
      <c r="F240" s="1193"/>
      <c r="G240" s="1192" t="s">
        <v>640</v>
      </c>
      <c r="H240" s="1167">
        <v>0</v>
      </c>
      <c r="I240" s="1167">
        <v>0</v>
      </c>
      <c r="J240" s="1167">
        <v>0</v>
      </c>
      <c r="K240" s="1172">
        <f t="shared" si="9"/>
        <v>0</v>
      </c>
      <c r="L240" s="1173"/>
      <c r="M240" s="1174"/>
      <c r="N240" s="1166"/>
      <c r="O240" s="1166"/>
      <c r="P240" s="1167"/>
      <c r="Q240" s="1101"/>
      <c r="R240" s="1141"/>
    </row>
    <row r="241" spans="1:18" s="1181" customFormat="1" ht="14.25" hidden="1" collapsed="1" thickBot="1" x14ac:dyDescent="0.3">
      <c r="A241" s="2729" t="s">
        <v>1201</v>
      </c>
      <c r="B241" s="2730"/>
      <c r="C241" s="2102"/>
      <c r="D241" s="2103"/>
      <c r="E241" s="2103"/>
      <c r="F241" s="2104"/>
      <c r="G241" s="2103"/>
      <c r="H241" s="2105">
        <v>0</v>
      </c>
      <c r="I241" s="2105">
        <v>0</v>
      </c>
      <c r="J241" s="2105">
        <f>SUM(J239:J240)</f>
        <v>0</v>
      </c>
      <c r="K241" s="1219">
        <f t="shared" si="9"/>
        <v>0</v>
      </c>
      <c r="L241" s="1220"/>
      <c r="M241" s="1218">
        <f t="shared" ref="M241" si="13">SUM(M239:M240)</f>
        <v>0</v>
      </c>
      <c r="N241" s="1221"/>
      <c r="O241" s="1221"/>
      <c r="P241" s="1222"/>
      <c r="Q241" s="1140">
        <f>'Výdaje kapitol celkem'!DF69</f>
        <v>0</v>
      </c>
      <c r="R241" s="1141">
        <f>+Q241-J241</f>
        <v>0</v>
      </c>
    </row>
    <row r="242" spans="1:18" ht="15" hidden="1" customHeight="1" outlineLevel="1" x14ac:dyDescent="0.25">
      <c r="A242" s="1175"/>
      <c r="B242" s="1176" t="s">
        <v>298</v>
      </c>
      <c r="C242" s="1206"/>
      <c r="D242" s="1207"/>
      <c r="E242" s="1207"/>
      <c r="F242" s="1208"/>
      <c r="G242" s="1216" t="s">
        <v>640</v>
      </c>
      <c r="H242" s="1185">
        <v>0</v>
      </c>
      <c r="I242" s="1185">
        <v>0</v>
      </c>
      <c r="J242" s="1185">
        <f>'[6]Rybníky 3749-2'!$B$23</f>
        <v>0</v>
      </c>
      <c r="K242" s="1186">
        <f t="shared" si="9"/>
        <v>0</v>
      </c>
      <c r="L242" s="1187"/>
      <c r="M242" s="1188"/>
      <c r="N242" s="1189"/>
      <c r="O242" s="1189"/>
      <c r="P242" s="1185"/>
      <c r="Q242" s="1101"/>
      <c r="R242" s="1141"/>
    </row>
    <row r="243" spans="1:18" ht="15" hidden="1" customHeight="1" outlineLevel="1" x14ac:dyDescent="0.25">
      <c r="A243" s="1175"/>
      <c r="B243" s="1176" t="s">
        <v>298</v>
      </c>
      <c r="C243" s="1206"/>
      <c r="D243" s="1207"/>
      <c r="E243" s="1207"/>
      <c r="F243" s="1208"/>
      <c r="G243" s="1178" t="s">
        <v>640</v>
      </c>
      <c r="H243" s="1185">
        <v>0</v>
      </c>
      <c r="I243" s="1185">
        <v>0</v>
      </c>
      <c r="J243" s="1185">
        <f>'[6]Rybníky 3749-2'!$B$24</f>
        <v>0</v>
      </c>
      <c r="K243" s="1186">
        <f t="shared" si="9"/>
        <v>0</v>
      </c>
      <c r="L243" s="1187"/>
      <c r="M243" s="1188"/>
      <c r="N243" s="1189"/>
      <c r="O243" s="1189"/>
      <c r="P243" s="1185"/>
      <c r="Q243" s="1101"/>
      <c r="R243" s="1141"/>
    </row>
    <row r="244" spans="1:18" ht="15" hidden="1" customHeight="1" outlineLevel="1" x14ac:dyDescent="0.25">
      <c r="A244" s="1175"/>
      <c r="B244" s="1176" t="s">
        <v>298</v>
      </c>
      <c r="C244" s="1206"/>
      <c r="D244" s="1207"/>
      <c r="E244" s="1207"/>
      <c r="F244" s="1208"/>
      <c r="G244" s="1178" t="s">
        <v>640</v>
      </c>
      <c r="H244" s="1185"/>
      <c r="I244" s="1185"/>
      <c r="J244" s="1185"/>
      <c r="K244" s="1186">
        <f t="shared" si="9"/>
        <v>0</v>
      </c>
      <c r="L244" s="1187"/>
      <c r="M244" s="1188"/>
      <c r="N244" s="1189"/>
      <c r="O244" s="1189"/>
      <c r="P244" s="1185"/>
      <c r="Q244" s="1101"/>
      <c r="R244" s="1141"/>
    </row>
    <row r="245" spans="1:18" s="1181" customFormat="1" ht="14.25" hidden="1" outlineLevel="1" thickBot="1" x14ac:dyDescent="0.3">
      <c r="A245" s="1144" t="s">
        <v>297</v>
      </c>
      <c r="B245" s="1194" t="s">
        <v>298</v>
      </c>
      <c r="C245" s="1194"/>
      <c r="D245" s="1192"/>
      <c r="E245" s="1192"/>
      <c r="F245" s="1193"/>
      <c r="G245" s="1178" t="s">
        <v>640</v>
      </c>
      <c r="H245" s="1167"/>
      <c r="I245" s="1167"/>
      <c r="J245" s="1167"/>
      <c r="K245" s="1172">
        <f t="shared" si="9"/>
        <v>0</v>
      </c>
      <c r="L245" s="1173"/>
      <c r="M245" s="1174"/>
      <c r="N245" s="1166"/>
      <c r="O245" s="1166"/>
      <c r="P245" s="1185"/>
      <c r="Q245" s="1101"/>
      <c r="R245" s="1141"/>
    </row>
    <row r="246" spans="1:18" s="1181" customFormat="1" ht="14.25" hidden="1" collapsed="1" thickBot="1" x14ac:dyDescent="0.3">
      <c r="A246" s="2729" t="s">
        <v>1202</v>
      </c>
      <c r="B246" s="2730"/>
      <c r="C246" s="2102"/>
      <c r="D246" s="2103"/>
      <c r="E246" s="2103"/>
      <c r="F246" s="2104"/>
      <c r="G246" s="2103"/>
      <c r="H246" s="2105">
        <v>0</v>
      </c>
      <c r="I246" s="2105">
        <v>0</v>
      </c>
      <c r="J246" s="2105">
        <f t="shared" ref="J246" si="14">SUM(J242:J245)</f>
        <v>0</v>
      </c>
      <c r="K246" s="1219">
        <f t="shared" si="9"/>
        <v>0</v>
      </c>
      <c r="L246" s="1220"/>
      <c r="M246" s="1218">
        <f t="shared" ref="M246" si="15">SUM(M242:M245)</f>
        <v>0</v>
      </c>
      <c r="N246" s="1221"/>
      <c r="O246" s="1221"/>
      <c r="P246" s="1222"/>
      <c r="Q246" s="1140">
        <f>'Výdaje kapitol celkem'!DK69</f>
        <v>0</v>
      </c>
      <c r="R246" s="1141">
        <f>+Q246-J246</f>
        <v>0</v>
      </c>
    </row>
    <row r="247" spans="1:18" ht="15" hidden="1" customHeight="1" outlineLevel="1" x14ac:dyDescent="0.25">
      <c r="A247" s="1175"/>
      <c r="B247" s="1176" t="s">
        <v>1208</v>
      </c>
      <c r="C247" s="1206"/>
      <c r="D247" s="1207"/>
      <c r="E247" s="1207"/>
      <c r="F247" s="1208"/>
      <c r="G247" s="1216" t="s">
        <v>640</v>
      </c>
      <c r="H247" s="1185"/>
      <c r="I247" s="1185"/>
      <c r="J247" s="1185"/>
      <c r="K247" s="1186">
        <f t="shared" si="9"/>
        <v>0</v>
      </c>
      <c r="L247" s="1187"/>
      <c r="M247" s="1188"/>
      <c r="N247" s="1189"/>
      <c r="O247" s="1189"/>
      <c r="P247" s="1185"/>
      <c r="Q247" s="1101"/>
      <c r="R247" s="1141"/>
    </row>
    <row r="248" spans="1:18" ht="15" hidden="1" customHeight="1" outlineLevel="1" x14ac:dyDescent="0.25">
      <c r="A248" s="1175"/>
      <c r="B248" s="1176" t="s">
        <v>1208</v>
      </c>
      <c r="C248" s="1206"/>
      <c r="D248" s="1207"/>
      <c r="E248" s="1207"/>
      <c r="F248" s="1208"/>
      <c r="G248" s="1178" t="s">
        <v>640</v>
      </c>
      <c r="H248" s="1185"/>
      <c r="I248" s="1185"/>
      <c r="J248" s="1185"/>
      <c r="K248" s="1186">
        <f t="shared" si="9"/>
        <v>0</v>
      </c>
      <c r="L248" s="1187"/>
      <c r="M248" s="1188"/>
      <c r="N248" s="1189"/>
      <c r="O248" s="1189"/>
      <c r="P248" s="1185"/>
      <c r="Q248" s="1101"/>
      <c r="R248" s="1141"/>
    </row>
    <row r="249" spans="1:18" s="1181" customFormat="1" ht="14.25" hidden="1" outlineLevel="1" thickBot="1" x14ac:dyDescent="0.3">
      <c r="A249" s="1144" t="s">
        <v>720</v>
      </c>
      <c r="B249" s="1194" t="s">
        <v>1208</v>
      </c>
      <c r="C249" s="1194"/>
      <c r="D249" s="1192"/>
      <c r="E249" s="1192"/>
      <c r="F249" s="1193"/>
      <c r="G249" s="1192" t="s">
        <v>640</v>
      </c>
      <c r="H249" s="1167"/>
      <c r="I249" s="1167"/>
      <c r="J249" s="1167"/>
      <c r="K249" s="1172">
        <f t="shared" si="9"/>
        <v>0</v>
      </c>
      <c r="L249" s="1173"/>
      <c r="M249" s="1174"/>
      <c r="N249" s="1166"/>
      <c r="O249" s="1166"/>
      <c r="P249" s="1185"/>
      <c r="Q249" s="1101"/>
      <c r="R249" s="1141"/>
    </row>
    <row r="250" spans="1:18" s="1181" customFormat="1" ht="14.25" hidden="1" collapsed="1" thickBot="1" x14ac:dyDescent="0.3">
      <c r="A250" s="2729" t="s">
        <v>1203</v>
      </c>
      <c r="B250" s="2730"/>
      <c r="C250" s="2102"/>
      <c r="D250" s="2103"/>
      <c r="E250" s="2103"/>
      <c r="F250" s="2104"/>
      <c r="G250" s="2103"/>
      <c r="H250" s="2105">
        <v>0</v>
      </c>
      <c r="I250" s="2105">
        <v>0</v>
      </c>
      <c r="J250" s="2105">
        <f>SUM(J247:J249)</f>
        <v>0</v>
      </c>
      <c r="K250" s="1219">
        <f t="shared" si="9"/>
        <v>0</v>
      </c>
      <c r="L250" s="1220"/>
      <c r="M250" s="1218">
        <f>SUM(M247:M249)</f>
        <v>0</v>
      </c>
      <c r="N250" s="1221"/>
      <c r="O250" s="1221"/>
      <c r="P250" s="1222"/>
      <c r="Q250" s="1140">
        <f>'Výdaje kapitol celkem'!DL69</f>
        <v>0</v>
      </c>
      <c r="R250" s="1141">
        <f>+Q250-J250</f>
        <v>0</v>
      </c>
    </row>
    <row r="251" spans="1:18" ht="12" hidden="1" customHeight="1" outlineLevel="1" x14ac:dyDescent="0.25">
      <c r="A251" s="1175"/>
      <c r="B251" s="1176" t="s">
        <v>723</v>
      </c>
      <c r="C251" s="1206"/>
      <c r="D251" s="1207"/>
      <c r="E251" s="1207"/>
      <c r="F251" s="1208"/>
      <c r="G251" s="1216" t="s">
        <v>640</v>
      </c>
      <c r="H251" s="1185"/>
      <c r="I251" s="1185"/>
      <c r="J251" s="1185"/>
      <c r="K251" s="1186">
        <f t="shared" si="9"/>
        <v>0</v>
      </c>
      <c r="L251" s="1187"/>
      <c r="M251" s="1188"/>
      <c r="N251" s="1189"/>
      <c r="O251" s="1189"/>
      <c r="P251" s="1185"/>
      <c r="Q251" s="1101"/>
      <c r="R251" s="1141"/>
    </row>
    <row r="252" spans="1:18" ht="15" hidden="1" customHeight="1" outlineLevel="1" x14ac:dyDescent="0.25">
      <c r="A252" s="1143"/>
      <c r="B252" s="1176" t="s">
        <v>723</v>
      </c>
      <c r="C252" s="1206"/>
      <c r="D252" s="1207"/>
      <c r="E252" s="1207"/>
      <c r="F252" s="1208"/>
      <c r="G252" s="1178" t="s">
        <v>640</v>
      </c>
      <c r="H252" s="1185"/>
      <c r="I252" s="1185"/>
      <c r="J252" s="1185"/>
      <c r="K252" s="1186">
        <f t="shared" si="9"/>
        <v>0</v>
      </c>
      <c r="L252" s="1187"/>
      <c r="M252" s="1188"/>
      <c r="N252" s="1189"/>
      <c r="O252" s="1189"/>
      <c r="P252" s="1185"/>
      <c r="Q252" s="1101"/>
      <c r="R252" s="1141"/>
    </row>
    <row r="253" spans="1:18" s="1181" customFormat="1" ht="12" hidden="1" customHeight="1" outlineLevel="1" thickBot="1" x14ac:dyDescent="0.3">
      <c r="A253" s="1144" t="s">
        <v>721</v>
      </c>
      <c r="B253" s="1194" t="s">
        <v>723</v>
      </c>
      <c r="C253" s="1194"/>
      <c r="D253" s="1192"/>
      <c r="E253" s="1192"/>
      <c r="F253" s="1193"/>
      <c r="G253" s="1192" t="s">
        <v>640</v>
      </c>
      <c r="H253" s="1167"/>
      <c r="I253" s="1167"/>
      <c r="J253" s="1167"/>
      <c r="K253" s="1172">
        <f t="shared" si="9"/>
        <v>0</v>
      </c>
      <c r="L253" s="1173"/>
      <c r="M253" s="1174"/>
      <c r="N253" s="1166"/>
      <c r="O253" s="1166"/>
      <c r="P253" s="1185"/>
      <c r="Q253" s="1101"/>
      <c r="R253" s="1141"/>
    </row>
    <row r="254" spans="1:18" s="1181" customFormat="1" ht="14.25" hidden="1" collapsed="1" thickBot="1" x14ac:dyDescent="0.3">
      <c r="A254" s="2729" t="s">
        <v>1204</v>
      </c>
      <c r="B254" s="2730"/>
      <c r="C254" s="2102"/>
      <c r="D254" s="2103"/>
      <c r="E254" s="2103"/>
      <c r="F254" s="2104"/>
      <c r="G254" s="2103"/>
      <c r="H254" s="2105">
        <v>0</v>
      </c>
      <c r="I254" s="2105">
        <v>0</v>
      </c>
      <c r="J254" s="2105">
        <f>SUM(J251:J253)</f>
        <v>0</v>
      </c>
      <c r="K254" s="1219">
        <f t="shared" si="9"/>
        <v>0</v>
      </c>
      <c r="L254" s="1220"/>
      <c r="M254" s="1218">
        <f>SUM(M251:M253)</f>
        <v>0</v>
      </c>
      <c r="N254" s="1221"/>
      <c r="O254" s="1221"/>
      <c r="P254" s="1222"/>
      <c r="Q254" s="1140">
        <f>'Výdaje kapitol celkem'!DM69</f>
        <v>0</v>
      </c>
      <c r="R254" s="1141">
        <f>+Q254-J254</f>
        <v>0</v>
      </c>
    </row>
    <row r="255" spans="1:18" ht="12" hidden="1" customHeight="1" outlineLevel="1" x14ac:dyDescent="0.25">
      <c r="A255" s="1175"/>
      <c r="B255" s="1176" t="s">
        <v>493</v>
      </c>
      <c r="C255" s="1206"/>
      <c r="D255" s="1207"/>
      <c r="E255" s="1207"/>
      <c r="F255" s="1208"/>
      <c r="G255" s="1216" t="s">
        <v>640</v>
      </c>
      <c r="H255" s="1185"/>
      <c r="I255" s="1185"/>
      <c r="J255" s="1185"/>
      <c r="K255" s="1186">
        <f t="shared" si="9"/>
        <v>0</v>
      </c>
      <c r="L255" s="1187"/>
      <c r="M255" s="1188"/>
      <c r="N255" s="1189"/>
      <c r="O255" s="1189"/>
      <c r="P255" s="1185"/>
      <c r="Q255" s="1101"/>
      <c r="R255" s="1141"/>
    </row>
    <row r="256" spans="1:18" ht="15" hidden="1" customHeight="1" outlineLevel="1" x14ac:dyDescent="0.25">
      <c r="A256" s="1175"/>
      <c r="B256" s="1176" t="s">
        <v>493</v>
      </c>
      <c r="C256" s="1206"/>
      <c r="D256" s="1207"/>
      <c r="E256" s="1207"/>
      <c r="F256" s="1208"/>
      <c r="G256" s="1178" t="s">
        <v>640</v>
      </c>
      <c r="H256" s="1185"/>
      <c r="I256" s="1185"/>
      <c r="J256" s="1185"/>
      <c r="K256" s="1186">
        <f t="shared" si="9"/>
        <v>0</v>
      </c>
      <c r="L256" s="1187"/>
      <c r="M256" s="1188"/>
      <c r="N256" s="1189"/>
      <c r="O256" s="1189"/>
      <c r="P256" s="1185"/>
      <c r="Q256" s="1101"/>
      <c r="R256" s="1141"/>
    </row>
    <row r="257" spans="1:18" s="1181" customFormat="1" ht="12" hidden="1" customHeight="1" outlineLevel="1" thickBot="1" x14ac:dyDescent="0.3">
      <c r="A257" s="1144" t="s">
        <v>1115</v>
      </c>
      <c r="B257" s="1194" t="s">
        <v>493</v>
      </c>
      <c r="C257" s="1194"/>
      <c r="D257" s="1192"/>
      <c r="E257" s="1192"/>
      <c r="F257" s="1193"/>
      <c r="G257" s="1192" t="s">
        <v>640</v>
      </c>
      <c r="H257" s="1167"/>
      <c r="I257" s="1167"/>
      <c r="J257" s="1167"/>
      <c r="K257" s="1172">
        <f t="shared" si="9"/>
        <v>0</v>
      </c>
      <c r="L257" s="1173"/>
      <c r="M257" s="1174"/>
      <c r="N257" s="1166"/>
      <c r="O257" s="1166"/>
      <c r="P257" s="1185"/>
      <c r="Q257" s="1101"/>
      <c r="R257" s="1141"/>
    </row>
    <row r="258" spans="1:18" s="1181" customFormat="1" ht="14.25" hidden="1" collapsed="1" thickBot="1" x14ac:dyDescent="0.3">
      <c r="A258" s="2729" t="s">
        <v>1205</v>
      </c>
      <c r="B258" s="2730"/>
      <c r="C258" s="2102"/>
      <c r="D258" s="2103"/>
      <c r="E258" s="2103"/>
      <c r="F258" s="2104"/>
      <c r="G258" s="2103"/>
      <c r="H258" s="2105">
        <v>0</v>
      </c>
      <c r="I258" s="2105">
        <v>0</v>
      </c>
      <c r="J258" s="2105">
        <f>SUM(J255:J257)</f>
        <v>0</v>
      </c>
      <c r="K258" s="1219">
        <f t="shared" si="9"/>
        <v>0</v>
      </c>
      <c r="L258" s="1220"/>
      <c r="M258" s="1218">
        <f>SUM(M255:M257)</f>
        <v>0</v>
      </c>
      <c r="N258" s="1221"/>
      <c r="O258" s="1221"/>
      <c r="P258" s="1222"/>
      <c r="Q258" s="1140">
        <f>'Výdaje kapitol celkem'!DP58</f>
        <v>0</v>
      </c>
      <c r="R258" s="1141">
        <f>+Q258-J258</f>
        <v>0</v>
      </c>
    </row>
    <row r="259" spans="1:18" ht="15.95" hidden="1" customHeight="1" outlineLevel="1" x14ac:dyDescent="0.25">
      <c r="A259" s="1175"/>
      <c r="B259" s="1176" t="s">
        <v>863</v>
      </c>
      <c r="C259" s="1206"/>
      <c r="D259" s="1207"/>
      <c r="E259" s="1207"/>
      <c r="F259" s="1208"/>
      <c r="G259" s="1216" t="s">
        <v>640</v>
      </c>
      <c r="H259" s="1185"/>
      <c r="I259" s="1185"/>
      <c r="J259" s="1185"/>
      <c r="K259" s="1186">
        <f t="shared" si="9"/>
        <v>0</v>
      </c>
      <c r="L259" s="1187"/>
      <c r="M259" s="1188"/>
      <c r="N259" s="1189"/>
      <c r="O259" s="1189"/>
      <c r="P259" s="1185"/>
      <c r="Q259" s="1101"/>
      <c r="R259" s="1141"/>
    </row>
    <row r="260" spans="1:18" ht="15" hidden="1" customHeight="1" outlineLevel="1" x14ac:dyDescent="0.25">
      <c r="A260" s="1175"/>
      <c r="B260" s="1176" t="s">
        <v>863</v>
      </c>
      <c r="C260" s="1206"/>
      <c r="D260" s="1207"/>
      <c r="E260" s="1207"/>
      <c r="F260" s="1208"/>
      <c r="G260" s="1178" t="s">
        <v>640</v>
      </c>
      <c r="H260" s="1185"/>
      <c r="I260" s="1185"/>
      <c r="J260" s="1185"/>
      <c r="K260" s="1186">
        <f t="shared" si="9"/>
        <v>0</v>
      </c>
      <c r="L260" s="1187"/>
      <c r="M260" s="1188"/>
      <c r="N260" s="1189"/>
      <c r="O260" s="1189"/>
      <c r="P260" s="1185"/>
      <c r="Q260" s="1101"/>
      <c r="R260" s="1141"/>
    </row>
    <row r="261" spans="1:18" s="1181" customFormat="1" ht="12" hidden="1" customHeight="1" outlineLevel="1" thickBot="1" x14ac:dyDescent="0.3">
      <c r="A261" s="1144" t="s">
        <v>721</v>
      </c>
      <c r="B261" s="1194" t="s">
        <v>863</v>
      </c>
      <c r="C261" s="1194"/>
      <c r="D261" s="1192"/>
      <c r="E261" s="1192"/>
      <c r="F261" s="1193"/>
      <c r="G261" s="1192" t="s">
        <v>640</v>
      </c>
      <c r="H261" s="1167"/>
      <c r="I261" s="1167"/>
      <c r="J261" s="1167"/>
      <c r="K261" s="1172">
        <f t="shared" si="9"/>
        <v>0</v>
      </c>
      <c r="L261" s="1173"/>
      <c r="M261" s="1174"/>
      <c r="N261" s="1166"/>
      <c r="O261" s="1166"/>
      <c r="P261" s="1185"/>
      <c r="Q261" s="1101"/>
      <c r="R261" s="1141"/>
    </row>
    <row r="262" spans="1:18" s="1181" customFormat="1" ht="14.25" hidden="1" collapsed="1" thickBot="1" x14ac:dyDescent="0.3">
      <c r="A262" s="2729" t="s">
        <v>1206</v>
      </c>
      <c r="B262" s="2730"/>
      <c r="C262" s="2102"/>
      <c r="D262" s="2103"/>
      <c r="E262" s="2103"/>
      <c r="F262" s="2104"/>
      <c r="G262" s="2103"/>
      <c r="H262" s="2105">
        <v>0</v>
      </c>
      <c r="I262" s="2105">
        <v>0</v>
      </c>
      <c r="J262" s="2105">
        <f>SUM(J259:J261)</f>
        <v>0</v>
      </c>
      <c r="K262" s="1219">
        <f t="shared" si="9"/>
        <v>0</v>
      </c>
      <c r="L262" s="1220"/>
      <c r="M262" s="1218">
        <f>SUM(M259:M261)</f>
        <v>0</v>
      </c>
      <c r="N262" s="1221"/>
      <c r="O262" s="1221"/>
      <c r="P262" s="1222"/>
      <c r="Q262" s="1140">
        <f>'Výdaje kapitol celkem'!DN69</f>
        <v>0</v>
      </c>
      <c r="R262" s="1141">
        <f>+Q262-J262</f>
        <v>0</v>
      </c>
    </row>
    <row r="263" spans="1:18" ht="12" hidden="1" customHeight="1" outlineLevel="1" x14ac:dyDescent="0.25">
      <c r="A263" s="1175"/>
      <c r="B263" s="1176" t="s">
        <v>486</v>
      </c>
      <c r="C263" s="1206"/>
      <c r="D263" s="1207"/>
      <c r="E263" s="1207"/>
      <c r="F263" s="1208"/>
      <c r="G263" s="1216" t="s">
        <v>640</v>
      </c>
      <c r="H263" s="1185">
        <v>0</v>
      </c>
      <c r="I263" s="1185">
        <v>0</v>
      </c>
      <c r="J263" s="1185">
        <f>'[5]Sběrný dvůr'!$B$4</f>
        <v>0</v>
      </c>
      <c r="K263" s="1186">
        <f t="shared" ref="K263:K273" si="16">+J263-I263</f>
        <v>0</v>
      </c>
      <c r="L263" s="1187"/>
      <c r="M263" s="1185"/>
      <c r="N263" s="1189"/>
      <c r="O263" s="1189"/>
      <c r="P263" s="1185"/>
      <c r="Q263" s="1101"/>
      <c r="R263" s="1141"/>
    </row>
    <row r="264" spans="1:18" ht="15" hidden="1" customHeight="1" outlineLevel="1" x14ac:dyDescent="0.25">
      <c r="A264" s="1224"/>
      <c r="B264" s="1176" t="s">
        <v>486</v>
      </c>
      <c r="C264" s="1206"/>
      <c r="D264" s="1207"/>
      <c r="E264" s="1207"/>
      <c r="F264" s="1208"/>
      <c r="G264" s="1183" t="s">
        <v>640</v>
      </c>
      <c r="H264" s="1185">
        <v>0</v>
      </c>
      <c r="I264" s="1185">
        <v>0</v>
      </c>
      <c r="J264" s="1185">
        <f>'[5]Sběrný dvůr'!$B$5</f>
        <v>0</v>
      </c>
      <c r="K264" s="1186">
        <f t="shared" si="16"/>
        <v>0</v>
      </c>
      <c r="L264" s="1187"/>
      <c r="M264" s="1185"/>
      <c r="N264" s="1225"/>
      <c r="O264" s="1225"/>
      <c r="P264" s="1185"/>
      <c r="Q264" s="1101"/>
      <c r="R264" s="1141"/>
    </row>
    <row r="265" spans="1:18" ht="15" hidden="1" customHeight="1" outlineLevel="1" x14ac:dyDescent="0.25">
      <c r="A265" s="1224"/>
      <c r="B265" s="1176" t="s">
        <v>486</v>
      </c>
      <c r="C265" s="1206"/>
      <c r="D265" s="1207"/>
      <c r="E265" s="1207"/>
      <c r="F265" s="1208"/>
      <c r="G265" s="1183" t="s">
        <v>640</v>
      </c>
      <c r="H265" s="1185"/>
      <c r="I265" s="1185"/>
      <c r="J265" s="1185"/>
      <c r="K265" s="1186">
        <f t="shared" si="16"/>
        <v>0</v>
      </c>
      <c r="L265" s="1187"/>
      <c r="M265" s="1185"/>
      <c r="N265" s="1225"/>
      <c r="O265" s="1225"/>
      <c r="P265" s="1185"/>
      <c r="Q265" s="1101"/>
      <c r="R265" s="1141"/>
    </row>
    <row r="266" spans="1:18" ht="15" hidden="1" customHeight="1" outlineLevel="1" thickBot="1" x14ac:dyDescent="0.3">
      <c r="A266" s="1144" t="s">
        <v>183</v>
      </c>
      <c r="B266" s="1176" t="s">
        <v>486</v>
      </c>
      <c r="C266" s="1206"/>
      <c r="D266" s="1207"/>
      <c r="E266" s="1207"/>
      <c r="F266" s="1208"/>
      <c r="G266" s="1183" t="s">
        <v>640</v>
      </c>
      <c r="H266" s="1185"/>
      <c r="I266" s="1185"/>
      <c r="J266" s="1185"/>
      <c r="K266" s="1186">
        <f t="shared" si="16"/>
        <v>0</v>
      </c>
      <c r="L266" s="1187"/>
      <c r="M266" s="1185"/>
      <c r="N266" s="1225"/>
      <c r="O266" s="1225"/>
      <c r="P266" s="1185"/>
      <c r="Q266" s="1101"/>
      <c r="R266" s="1141"/>
    </row>
    <row r="267" spans="1:18" s="1181" customFormat="1" ht="14.25" hidden="1" collapsed="1" thickBot="1" x14ac:dyDescent="0.3">
      <c r="A267" s="2729" t="s">
        <v>1207</v>
      </c>
      <c r="B267" s="2730"/>
      <c r="C267" s="2102"/>
      <c r="D267" s="2103"/>
      <c r="E267" s="2103"/>
      <c r="F267" s="2104"/>
      <c r="G267" s="2103"/>
      <c r="H267" s="2105">
        <v>0</v>
      </c>
      <c r="I267" s="2105">
        <v>0</v>
      </c>
      <c r="J267" s="2105">
        <f>SUM(J263:J266)</f>
        <v>0</v>
      </c>
      <c r="K267" s="1219">
        <f t="shared" si="16"/>
        <v>0</v>
      </c>
      <c r="L267" s="1220"/>
      <c r="M267" s="1218">
        <f>SUM(M263:M266)</f>
        <v>0</v>
      </c>
      <c r="N267" s="1221"/>
      <c r="O267" s="1221"/>
      <c r="P267" s="1222"/>
      <c r="Q267" s="1140">
        <f>'Výdaje kapitol celkem'!DR69</f>
        <v>0</v>
      </c>
      <c r="R267" s="1141">
        <f>+Q267-J267</f>
        <v>0</v>
      </c>
    </row>
    <row r="268" spans="1:18" ht="15" hidden="1" customHeight="1" outlineLevel="1" x14ac:dyDescent="0.25">
      <c r="A268" s="1224"/>
      <c r="B268" s="1176" t="s">
        <v>163</v>
      </c>
      <c r="C268" s="1206" t="s">
        <v>1738</v>
      </c>
      <c r="D268" s="1207"/>
      <c r="E268" s="1207"/>
      <c r="F268" s="1208"/>
      <c r="G268" s="1216" t="s">
        <v>640</v>
      </c>
      <c r="H268" s="1185">
        <v>0</v>
      </c>
      <c r="I268" s="1185">
        <v>0</v>
      </c>
      <c r="J268" s="1185">
        <f>[5]Cyklostezky!$B$5</f>
        <v>0</v>
      </c>
      <c r="K268" s="1186">
        <f t="shared" si="16"/>
        <v>0</v>
      </c>
      <c r="L268" s="1187"/>
      <c r="M268" s="1185"/>
      <c r="N268" s="1225"/>
      <c r="O268" s="1225"/>
      <c r="P268" s="1185"/>
      <c r="Q268" s="1101"/>
      <c r="R268" s="1141"/>
    </row>
    <row r="269" spans="1:18" ht="15" hidden="1" customHeight="1" outlineLevel="1" x14ac:dyDescent="0.25">
      <c r="A269" s="1224"/>
      <c r="B269" s="1176" t="s">
        <v>163</v>
      </c>
      <c r="C269" s="1206" t="s">
        <v>1739</v>
      </c>
      <c r="D269" s="1207"/>
      <c r="E269" s="1207"/>
      <c r="F269" s="1208"/>
      <c r="G269" s="1183" t="s">
        <v>640</v>
      </c>
      <c r="H269" s="1185">
        <v>0</v>
      </c>
      <c r="I269" s="1185">
        <v>0</v>
      </c>
      <c r="J269" s="1185">
        <f>[5]Cyklostezky!$B$14</f>
        <v>0</v>
      </c>
      <c r="K269" s="1186">
        <f t="shared" si="16"/>
        <v>0</v>
      </c>
      <c r="L269" s="1187"/>
      <c r="M269" s="1185"/>
      <c r="N269" s="1225"/>
      <c r="O269" s="1225"/>
      <c r="P269" s="1185"/>
      <c r="Q269" s="1101"/>
      <c r="R269" s="1141"/>
    </row>
    <row r="270" spans="1:18" ht="15" hidden="1" customHeight="1" outlineLevel="1" x14ac:dyDescent="0.25">
      <c r="A270" s="1224"/>
      <c r="B270" s="1176" t="s">
        <v>163</v>
      </c>
      <c r="C270" s="1206" t="s">
        <v>1740</v>
      </c>
      <c r="D270" s="1207"/>
      <c r="E270" s="1207"/>
      <c r="F270" s="1208"/>
      <c r="G270" s="1183" t="s">
        <v>640</v>
      </c>
      <c r="H270" s="1185">
        <v>0</v>
      </c>
      <c r="I270" s="1185">
        <v>0</v>
      </c>
      <c r="J270" s="1185">
        <f>[5]Cyklostezky!$B$30</f>
        <v>0</v>
      </c>
      <c r="K270" s="1186">
        <f t="shared" si="16"/>
        <v>0</v>
      </c>
      <c r="L270" s="1187"/>
      <c r="M270" s="1185"/>
      <c r="N270" s="1225"/>
      <c r="O270" s="1225"/>
      <c r="P270" s="1185"/>
      <c r="Q270" s="1101"/>
      <c r="R270" s="1141"/>
    </row>
    <row r="271" spans="1:18" ht="14.25" hidden="1" outlineLevel="1" thickBot="1" x14ac:dyDescent="0.3">
      <c r="A271" s="1144" t="s">
        <v>1233</v>
      </c>
      <c r="B271" s="1194" t="s">
        <v>163</v>
      </c>
      <c r="C271" s="1194"/>
      <c r="D271" s="1192"/>
      <c r="E271" s="1192"/>
      <c r="F271" s="1193"/>
      <c r="G271" s="1178" t="s">
        <v>640</v>
      </c>
      <c r="H271" s="1167"/>
      <c r="I271" s="1167"/>
      <c r="J271" s="1167"/>
      <c r="K271" s="1172">
        <f t="shared" si="16"/>
        <v>0</v>
      </c>
      <c r="L271" s="1173"/>
      <c r="M271" s="1167"/>
      <c r="N271" s="1226"/>
      <c r="O271" s="1226"/>
      <c r="P271" s="1185"/>
      <c r="Q271" s="1101"/>
      <c r="R271" s="1141"/>
    </row>
    <row r="272" spans="1:18" s="1181" customFormat="1" ht="14.25" hidden="1" collapsed="1" thickBot="1" x14ac:dyDescent="0.3">
      <c r="A272" s="2729" t="s">
        <v>636</v>
      </c>
      <c r="B272" s="2730"/>
      <c r="C272" s="2102"/>
      <c r="D272" s="2103"/>
      <c r="E272" s="2103"/>
      <c r="F272" s="2104"/>
      <c r="G272" s="2103"/>
      <c r="H272" s="2105">
        <v>0</v>
      </c>
      <c r="I272" s="2105">
        <v>0</v>
      </c>
      <c r="J272" s="2105">
        <f t="shared" ref="J272" si="17">SUM(J268:J271)</f>
        <v>0</v>
      </c>
      <c r="K272" s="1136">
        <f t="shared" si="16"/>
        <v>0</v>
      </c>
      <c r="L272" s="1137"/>
      <c r="M272" s="1135">
        <f t="shared" ref="M272" si="18">SUM(M268:M271)</f>
        <v>0</v>
      </c>
      <c r="N272" s="1138"/>
      <c r="O272" s="1138"/>
      <c r="P272" s="1139"/>
      <c r="Q272" s="1140">
        <f>'Výdaje kapitol celkem'!DV69</f>
        <v>0</v>
      </c>
      <c r="R272" s="1141">
        <f>+Q272-J272</f>
        <v>0</v>
      </c>
    </row>
    <row r="273" spans="1:18" s="1181" customFormat="1" ht="20.25" customHeight="1" thickBot="1" x14ac:dyDescent="0.3">
      <c r="A273" s="1931" t="s">
        <v>1597</v>
      </c>
      <c r="B273" s="1932"/>
      <c r="C273" s="1227"/>
      <c r="D273" s="1228"/>
      <c r="E273" s="1228"/>
      <c r="F273" s="1229"/>
      <c r="G273" s="1228"/>
      <c r="H273" s="1230">
        <v>66583654.480000004</v>
      </c>
      <c r="I273" s="1230">
        <v>67523654.480000004</v>
      </c>
      <c r="J273" s="1230">
        <f>+J272+J267+J246+J241+J238+J235+J232+J229+J225+J208+J205+J154+J149+J143+J132+J122+J114+J89+J85+J82+J78+J69+J65+J60+J57+J53+J36+J30+J21+J17+J13+J250+J254+J262+J258+J136+J94+J27+J118+J99+J24</f>
        <v>70231778.480000004</v>
      </c>
      <c r="K273" s="1231">
        <f t="shared" si="16"/>
        <v>2708124</v>
      </c>
      <c r="L273" s="1232"/>
      <c r="M273" s="1230">
        <f>+M272+M267+M246+M241+M238+M235+M232+M229+M225+M208+M205+M154+M149+M143+M132+M122+M114+M89+M85+M82+M78+M69+M65+M60+M57+M53+M36+M30+M21+M17+M13+M250+M254</f>
        <v>0</v>
      </c>
      <c r="N273" s="1233"/>
      <c r="O273" s="1233"/>
      <c r="P273" s="1234"/>
      <c r="Q273" s="1101"/>
      <c r="R273" s="1180"/>
    </row>
    <row r="274" spans="1:18" x14ac:dyDescent="0.25">
      <c r="A274" s="1097"/>
      <c r="B274" s="1097"/>
      <c r="C274" s="1097"/>
      <c r="D274" s="1100"/>
      <c r="E274" s="1100"/>
      <c r="F274" s="1100"/>
      <c r="G274" s="1100"/>
      <c r="H274" s="2017">
        <v>66583654.480000004</v>
      </c>
      <c r="I274" s="2017">
        <v>67523654.480000004</v>
      </c>
      <c r="J274" s="2017">
        <f>+'Výdaje kapitol celkem'!F57+'Výdaje kapitol celkem'!F58+'Výdaje kapitol celkem'!F59+'Výdaje kapitol celkem'!F60+'Výdaje kapitol celkem'!F61+'Výdaje kapitol celkem'!F62+'Výdaje kapitol celkem'!F63+'Výdaje kapitol celkem'!F64+'Výdaje kapitol celkem'!F65+'Výdaje kapitol celkem'!F66</f>
        <v>70231778.480000004</v>
      </c>
      <c r="K274" s="1236"/>
      <c r="L274" s="1099"/>
      <c r="M274" s="1235"/>
      <c r="N274" s="1237"/>
      <c r="O274" s="1237"/>
      <c r="P274" s="1235"/>
      <c r="Q274" s="1101"/>
      <c r="R274" s="1141">
        <f>+R198+R184+R163+R105+R62+R45+R25</f>
        <v>0</v>
      </c>
    </row>
    <row r="275" spans="1:18" s="1241" customFormat="1" x14ac:dyDescent="0.25">
      <c r="A275" s="1098"/>
      <c r="B275" s="1098"/>
      <c r="C275" s="1098"/>
      <c r="D275" s="1102"/>
      <c r="E275" s="1102"/>
      <c r="F275" s="1102"/>
      <c r="G275" s="1102"/>
      <c r="H275" s="1141">
        <f>+H274-H273</f>
        <v>0</v>
      </c>
      <c r="I275" s="1141">
        <v>0</v>
      </c>
      <c r="J275" s="1141">
        <f>+J274-J273</f>
        <v>0</v>
      </c>
      <c r="K275" s="1236"/>
      <c r="L275" s="1236"/>
      <c r="M275" s="1236"/>
      <c r="N275" s="2018"/>
      <c r="O275" s="2018"/>
      <c r="P275" s="1236"/>
      <c r="Q275" s="1102"/>
      <c r="R275" s="1102"/>
    </row>
    <row r="276" spans="1:18" x14ac:dyDescent="0.25">
      <c r="A276" s="1238" t="s">
        <v>546</v>
      </c>
      <c r="B276" s="1097"/>
      <c r="C276" s="1097"/>
      <c r="D276" s="1100"/>
      <c r="E276" s="1100"/>
      <c r="F276" s="1100"/>
      <c r="G276" s="1100"/>
      <c r="H276" s="1857"/>
      <c r="I276" s="1857"/>
      <c r="J276" s="1857"/>
      <c r="K276" s="1239"/>
      <c r="L276" s="1099"/>
      <c r="M276" s="1097"/>
      <c r="N276" s="1100"/>
      <c r="O276" s="1100"/>
      <c r="P276" s="1097"/>
      <c r="Q276" s="1101"/>
      <c r="R276" s="1102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4:B24"/>
    <mergeCell ref="A254:B254"/>
    <mergeCell ref="A258:B258"/>
    <mergeCell ref="A262:B262"/>
    <mergeCell ref="A267:B267"/>
    <mergeCell ref="A238:B238"/>
    <mergeCell ref="A241:B241"/>
    <mergeCell ref="A246:B246"/>
    <mergeCell ref="A250:B250"/>
    <mergeCell ref="A13:B13"/>
    <mergeCell ref="A114:B114"/>
    <mergeCell ref="A154:B154"/>
    <mergeCell ref="A17:B17"/>
    <mergeCell ref="A21:B21"/>
    <mergeCell ref="A30:B30"/>
    <mergeCell ref="A36:B36"/>
    <mergeCell ref="A53:B53"/>
    <mergeCell ref="A57:B57"/>
    <mergeCell ref="A60:B60"/>
    <mergeCell ref="A65:B65"/>
    <mergeCell ref="A69:B69"/>
    <mergeCell ref="A78:B78"/>
    <mergeCell ref="A82:B82"/>
    <mergeCell ref="A27:B27"/>
    <mergeCell ref="A118:B118"/>
    <mergeCell ref="A272:B272"/>
    <mergeCell ref="A149:B149"/>
    <mergeCell ref="A229:B229"/>
    <mergeCell ref="A235:B235"/>
    <mergeCell ref="A85:B85"/>
    <mergeCell ref="A89:B89"/>
    <mergeCell ref="A122:B122"/>
    <mergeCell ref="A132:B132"/>
    <mergeCell ref="A143:B143"/>
    <mergeCell ref="A205:B205"/>
    <mergeCell ref="A225:B225"/>
    <mergeCell ref="A136:B136"/>
    <mergeCell ref="A94:B94"/>
    <mergeCell ref="A99:B99"/>
    <mergeCell ref="A208:B208"/>
    <mergeCell ref="A232:B232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0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"/>
  <sheetViews>
    <sheetView topLeftCell="A27" zoomScale="80" zoomScaleNormal="80" workbookViewId="0">
      <selection activeCell="F65" sqref="F65"/>
    </sheetView>
  </sheetViews>
  <sheetFormatPr defaultColWidth="9.140625" defaultRowHeight="13.5" outlineLevelRow="1" x14ac:dyDescent="0.25"/>
  <cols>
    <col min="1" max="1" width="17.5703125" style="976" customWidth="1"/>
    <col min="2" max="2" width="8.85546875" style="976" customWidth="1"/>
    <col min="3" max="3" width="37.5703125" style="976" customWidth="1"/>
    <col min="4" max="4" width="13.140625" style="977" bestFit="1" customWidth="1"/>
    <col min="5" max="5" width="13.140625" style="977" customWidth="1"/>
    <col min="6" max="6" width="13.140625" style="977" bestFit="1" customWidth="1"/>
    <col min="7" max="7" width="12.140625" style="978" customWidth="1"/>
    <col min="8" max="8" width="10.7109375" style="1288" bestFit="1" customWidth="1"/>
    <col min="9" max="9" width="10.7109375" style="1289" bestFit="1" customWidth="1"/>
    <col min="10" max="16384" width="9.140625" style="976"/>
  </cols>
  <sheetData>
    <row r="1" spans="1:10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8"/>
      <c r="H1" s="1249"/>
      <c r="I1" s="1250"/>
    </row>
    <row r="2" spans="1:10" s="1255" customFormat="1" ht="20.25" customHeight="1" x14ac:dyDescent="0.3">
      <c r="A2" s="2733" t="s">
        <v>713</v>
      </c>
      <c r="B2" s="2733"/>
      <c r="C2" s="2734"/>
      <c r="D2" s="1251"/>
      <c r="E2" s="1251"/>
      <c r="F2" s="1251"/>
      <c r="G2" s="1252"/>
      <c r="H2" s="1253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256"/>
      <c r="I3" s="958"/>
    </row>
    <row r="4" spans="1:10" ht="17.25" thickBot="1" x14ac:dyDescent="0.3">
      <c r="A4" s="1257" t="s">
        <v>1</v>
      </c>
      <c r="B4" s="1258" t="s">
        <v>64</v>
      </c>
      <c r="C4" s="2171" t="s">
        <v>6</v>
      </c>
      <c r="D4" s="1260" t="s">
        <v>1581</v>
      </c>
      <c r="E4" s="1260" t="s">
        <v>2048</v>
      </c>
      <c r="F4" s="1260" t="s">
        <v>2217</v>
      </c>
      <c r="G4" s="1261" t="s">
        <v>5</v>
      </c>
      <c r="H4" s="1256" t="s">
        <v>768</v>
      </c>
      <c r="I4" s="958" t="s">
        <v>711</v>
      </c>
    </row>
    <row r="5" spans="1:10" ht="15.75" hidden="1" customHeight="1" outlineLevel="1" x14ac:dyDescent="0.25">
      <c r="A5" s="1262">
        <v>6409</v>
      </c>
      <c r="B5" s="1263">
        <v>5137</v>
      </c>
      <c r="C5" s="1854"/>
      <c r="D5" s="1265"/>
      <c r="E5" s="1265"/>
      <c r="F5" s="1265"/>
      <c r="G5" s="1266">
        <f>+F5-E5</f>
        <v>0</v>
      </c>
      <c r="H5" s="1256"/>
      <c r="I5" s="958"/>
    </row>
    <row r="6" spans="1:10" ht="15.75" hidden="1" customHeight="1" outlineLevel="1" x14ac:dyDescent="0.25">
      <c r="A6" s="1267">
        <v>6409</v>
      </c>
      <c r="B6" s="1268">
        <v>5137</v>
      </c>
      <c r="C6" s="2172"/>
      <c r="D6" s="1270"/>
      <c r="E6" s="1270"/>
      <c r="F6" s="1270"/>
      <c r="G6" s="1271">
        <f t="shared" ref="G6:G68" si="0">+F6-E6</f>
        <v>0</v>
      </c>
      <c r="H6" s="1256"/>
      <c r="I6" s="958"/>
    </row>
    <row r="7" spans="1:10" s="979" customFormat="1" ht="16.5" customHeight="1" collapsed="1" thickBot="1" x14ac:dyDescent="0.3">
      <c r="A7" s="2731" t="s">
        <v>1213</v>
      </c>
      <c r="B7" s="2732"/>
      <c r="C7" s="2173"/>
      <c r="D7" s="1925">
        <v>0</v>
      </c>
      <c r="E7" s="1925">
        <v>0</v>
      </c>
      <c r="F7" s="1925">
        <f t="shared" ref="F7" si="1">SUM(F5:F6)</f>
        <v>0</v>
      </c>
      <c r="G7" s="1926">
        <f t="shared" si="0"/>
        <v>0</v>
      </c>
      <c r="H7" s="954">
        <f>'Výdaje kapitol celkem'!K21</f>
        <v>0</v>
      </c>
      <c r="I7" s="1095">
        <f>+H7-F7</f>
        <v>0</v>
      </c>
      <c r="J7" s="987"/>
    </row>
    <row r="8" spans="1:10" ht="15.75" customHeight="1" outlineLevel="1" x14ac:dyDescent="0.25">
      <c r="A8" s="1262">
        <v>6112</v>
      </c>
      <c r="B8" s="1263">
        <v>5137</v>
      </c>
      <c r="C8" s="1854"/>
      <c r="D8" s="1265">
        <v>50000</v>
      </c>
      <c r="E8" s="1265">
        <v>50000</v>
      </c>
      <c r="F8" s="1265">
        <f>[2]Zastupitelé!$B$10</f>
        <v>50000</v>
      </c>
      <c r="G8" s="1266">
        <f t="shared" si="0"/>
        <v>0</v>
      </c>
      <c r="H8" s="1256"/>
      <c r="I8" s="1095"/>
    </row>
    <row r="9" spans="1:10" ht="15.75" hidden="1" customHeight="1" outlineLevel="1" x14ac:dyDescent="0.25">
      <c r="A9" s="1267">
        <v>6112</v>
      </c>
      <c r="B9" s="1268">
        <v>5137</v>
      </c>
      <c r="C9" s="2172"/>
      <c r="D9" s="1270"/>
      <c r="E9" s="1270"/>
      <c r="F9" s="1270"/>
      <c r="G9" s="1271">
        <f t="shared" si="0"/>
        <v>0</v>
      </c>
      <c r="H9" s="1256"/>
      <c r="I9" s="1095"/>
    </row>
    <row r="10" spans="1:10" s="979" customFormat="1" ht="16.5" customHeight="1" thickBot="1" x14ac:dyDescent="0.3">
      <c r="A10" s="2731" t="s">
        <v>1212</v>
      </c>
      <c r="B10" s="2732"/>
      <c r="C10" s="2173"/>
      <c r="D10" s="1925">
        <v>50000</v>
      </c>
      <c r="E10" s="1925">
        <v>50000</v>
      </c>
      <c r="F10" s="1925">
        <f t="shared" ref="F10" si="2">SUM(F8:F9)</f>
        <v>50000</v>
      </c>
      <c r="G10" s="1926">
        <f t="shared" si="0"/>
        <v>0</v>
      </c>
      <c r="H10" s="954">
        <f>'Výdaje kapitol celkem'!M21</f>
        <v>50000</v>
      </c>
      <c r="I10" s="1095">
        <f>+H10-F10</f>
        <v>0</v>
      </c>
      <c r="J10" s="987"/>
    </row>
    <row r="11" spans="1:10" ht="15.75" hidden="1" customHeight="1" outlineLevel="1" x14ac:dyDescent="0.25">
      <c r="A11" s="1262">
        <v>6117</v>
      </c>
      <c r="B11" s="1263">
        <v>5137</v>
      </c>
      <c r="C11" s="1854"/>
      <c r="D11" s="1265">
        <v>0</v>
      </c>
      <c r="E11" s="1265">
        <v>0</v>
      </c>
      <c r="F11" s="1265">
        <f>'[4]Volby '!$B$12</f>
        <v>0</v>
      </c>
      <c r="G11" s="1266">
        <f t="shared" si="0"/>
        <v>0</v>
      </c>
      <c r="H11" s="1256"/>
      <c r="I11" s="1095"/>
    </row>
    <row r="12" spans="1:10" ht="15.75" hidden="1" customHeight="1" outlineLevel="1" x14ac:dyDescent="0.25">
      <c r="A12" s="1267">
        <v>6117</v>
      </c>
      <c r="B12" s="1268">
        <v>5137</v>
      </c>
      <c r="C12" s="2172"/>
      <c r="D12" s="1270">
        <v>0</v>
      </c>
      <c r="E12" s="1270">
        <v>0</v>
      </c>
      <c r="F12" s="1270">
        <f>'[4]Volby '!$B$13</f>
        <v>0</v>
      </c>
      <c r="G12" s="1271">
        <f t="shared" si="0"/>
        <v>0</v>
      </c>
      <c r="H12" s="1256"/>
      <c r="I12" s="1095"/>
    </row>
    <row r="13" spans="1:10" s="979" customFormat="1" ht="16.5" hidden="1" customHeight="1" collapsed="1" thickBot="1" x14ac:dyDescent="0.3">
      <c r="A13" s="2731" t="s">
        <v>1211</v>
      </c>
      <c r="B13" s="2732"/>
      <c r="C13" s="2173"/>
      <c r="D13" s="1925">
        <v>0</v>
      </c>
      <c r="E13" s="1925">
        <v>0</v>
      </c>
      <c r="F13" s="1925">
        <f t="shared" ref="F13" si="3">SUM(F11:F12)</f>
        <v>0</v>
      </c>
      <c r="G13" s="1926">
        <f t="shared" si="0"/>
        <v>0</v>
      </c>
      <c r="H13" s="954">
        <f>'Výdaje kapitol celkem'!N21</f>
        <v>0</v>
      </c>
      <c r="I13" s="1095">
        <f>+H13-F13</f>
        <v>0</v>
      </c>
      <c r="J13" s="987"/>
    </row>
    <row r="14" spans="1:10" ht="15.75" customHeight="1" outlineLevel="1" x14ac:dyDescent="0.25">
      <c r="A14" s="1262">
        <v>6171</v>
      </c>
      <c r="B14" s="1263">
        <v>5137</v>
      </c>
      <c r="C14" s="1854"/>
      <c r="D14" s="1265">
        <v>500000</v>
      </c>
      <c r="E14" s="1265">
        <v>500000</v>
      </c>
      <c r="F14" s="1265">
        <f>[2]Správa!$B$12</f>
        <v>500000</v>
      </c>
      <c r="G14" s="1266">
        <f t="shared" si="0"/>
        <v>0</v>
      </c>
      <c r="H14" s="1256"/>
      <c r="I14" s="1095"/>
    </row>
    <row r="15" spans="1:10" ht="15.75" customHeight="1" outlineLevel="1" x14ac:dyDescent="0.25">
      <c r="A15" s="1267">
        <v>6171</v>
      </c>
      <c r="B15" s="1268">
        <v>5137</v>
      </c>
      <c r="C15" s="2172"/>
      <c r="D15" s="1270">
        <v>350000</v>
      </c>
      <c r="E15" s="1270">
        <v>350000</v>
      </c>
      <c r="F15" s="1270">
        <f>[2]Správa!$B$13</f>
        <v>350000</v>
      </c>
      <c r="G15" s="1271">
        <f t="shared" si="0"/>
        <v>0</v>
      </c>
      <c r="H15" s="1256"/>
      <c r="I15" s="1095"/>
    </row>
    <row r="16" spans="1:10" ht="15.75" customHeight="1" outlineLevel="1" x14ac:dyDescent="0.25">
      <c r="A16" s="1267">
        <v>6171</v>
      </c>
      <c r="B16" s="1268">
        <v>5137</v>
      </c>
      <c r="C16" s="2172"/>
      <c r="D16" s="1270"/>
      <c r="E16" s="1270"/>
      <c r="F16" s="1270"/>
      <c r="G16" s="1271">
        <f t="shared" si="0"/>
        <v>0</v>
      </c>
      <c r="H16" s="1256"/>
      <c r="I16" s="1095"/>
    </row>
    <row r="17" spans="1:10" s="979" customFormat="1" ht="16.5" customHeight="1" thickBot="1" x14ac:dyDescent="0.3">
      <c r="A17" s="2731" t="s">
        <v>214</v>
      </c>
      <c r="B17" s="2732"/>
      <c r="C17" s="2173"/>
      <c r="D17" s="1925">
        <v>850000</v>
      </c>
      <c r="E17" s="1925">
        <v>850000</v>
      </c>
      <c r="F17" s="1925">
        <f t="shared" ref="F17" si="4">SUM(F14:F16)</f>
        <v>850000</v>
      </c>
      <c r="G17" s="1926">
        <f t="shared" si="0"/>
        <v>0</v>
      </c>
      <c r="H17" s="954">
        <f>'Výdaje kapitol celkem'!O21</f>
        <v>850000</v>
      </c>
      <c r="I17" s="1095">
        <f>+H17-F17</f>
        <v>0</v>
      </c>
      <c r="J17" s="987"/>
    </row>
    <row r="18" spans="1:10" ht="15.75" customHeight="1" outlineLevel="1" x14ac:dyDescent="0.25">
      <c r="A18" s="1262">
        <v>4351</v>
      </c>
      <c r="B18" s="1263">
        <v>5137</v>
      </c>
      <c r="C18" s="1854"/>
      <c r="D18" s="1265">
        <v>50000</v>
      </c>
      <c r="E18" s="1265">
        <v>50000</v>
      </c>
      <c r="F18" s="1265">
        <f>'[2]Pečovatelská služba'!$B$13</f>
        <v>50000</v>
      </c>
      <c r="G18" s="1266">
        <f t="shared" si="0"/>
        <v>0</v>
      </c>
      <c r="H18" s="1256"/>
      <c r="I18" s="1095"/>
      <c r="J18" s="987"/>
    </row>
    <row r="19" spans="1:10" ht="15.75" hidden="1" customHeight="1" outlineLevel="1" x14ac:dyDescent="0.25">
      <c r="A19" s="1267">
        <v>4351</v>
      </c>
      <c r="B19" s="1268">
        <v>5137</v>
      </c>
      <c r="C19" s="2172"/>
      <c r="D19" s="1270"/>
      <c r="E19" s="1270"/>
      <c r="F19" s="1270"/>
      <c r="G19" s="1275">
        <f t="shared" si="0"/>
        <v>0</v>
      </c>
      <c r="H19" s="1256"/>
      <c r="I19" s="1095"/>
      <c r="J19" s="987"/>
    </row>
    <row r="20" spans="1:10" s="979" customFormat="1" ht="16.5" customHeight="1" thickBot="1" x14ac:dyDescent="0.3">
      <c r="A20" s="2731" t="s">
        <v>215</v>
      </c>
      <c r="B20" s="2732"/>
      <c r="C20" s="2173"/>
      <c r="D20" s="1925">
        <v>50000</v>
      </c>
      <c r="E20" s="1925">
        <v>50000</v>
      </c>
      <c r="F20" s="1925">
        <f t="shared" ref="F20" si="5">SUM(F18:F19)</f>
        <v>50000</v>
      </c>
      <c r="G20" s="1926">
        <f t="shared" si="0"/>
        <v>0</v>
      </c>
      <c r="H20" s="954">
        <f>'Výdaje kapitol celkem'!T21</f>
        <v>50000</v>
      </c>
      <c r="I20" s="1095">
        <f>+H20-F20</f>
        <v>0</v>
      </c>
      <c r="J20" s="987"/>
    </row>
    <row r="21" spans="1:10" ht="15.75" customHeight="1" outlineLevel="1" x14ac:dyDescent="0.25">
      <c r="A21" s="1262">
        <v>2212</v>
      </c>
      <c r="B21" s="1263">
        <v>5137</v>
      </c>
      <c r="C21" s="1854"/>
      <c r="D21" s="1265">
        <v>100000</v>
      </c>
      <c r="E21" s="1265">
        <v>100000</v>
      </c>
      <c r="F21" s="1265">
        <v>100000</v>
      </c>
      <c r="G21" s="1266">
        <f t="shared" si="0"/>
        <v>0</v>
      </c>
      <c r="H21" s="1256"/>
      <c r="I21" s="1095"/>
      <c r="J21" s="987"/>
    </row>
    <row r="22" spans="1:10" ht="15.75" hidden="1" customHeight="1" outlineLevel="1" x14ac:dyDescent="0.25">
      <c r="A22" s="1267">
        <v>2212</v>
      </c>
      <c r="B22" s="1268">
        <v>5137</v>
      </c>
      <c r="C22" s="2172"/>
      <c r="D22" s="1270"/>
      <c r="E22" s="1270"/>
      <c r="F22" s="1270"/>
      <c r="G22" s="1271">
        <f t="shared" si="0"/>
        <v>0</v>
      </c>
      <c r="H22" s="1256"/>
      <c r="I22" s="1095">
        <f>+H22-F22</f>
        <v>0</v>
      </c>
      <c r="J22" s="987"/>
    </row>
    <row r="23" spans="1:10" ht="15.75" hidden="1" customHeight="1" outlineLevel="1" x14ac:dyDescent="0.25">
      <c r="A23" s="1267">
        <v>2212</v>
      </c>
      <c r="B23" s="1268">
        <v>5137</v>
      </c>
      <c r="C23" s="2172"/>
      <c r="D23" s="1270"/>
      <c r="E23" s="1270"/>
      <c r="F23" s="1270"/>
      <c r="G23" s="1275">
        <f t="shared" si="0"/>
        <v>0</v>
      </c>
      <c r="H23" s="1256"/>
      <c r="I23" s="1095"/>
      <c r="J23" s="987"/>
    </row>
    <row r="24" spans="1:10" s="979" customFormat="1" ht="16.5" customHeight="1" thickBot="1" x14ac:dyDescent="0.3">
      <c r="A24" s="2731" t="s">
        <v>633</v>
      </c>
      <c r="B24" s="2732"/>
      <c r="C24" s="2173"/>
      <c r="D24" s="1925">
        <v>100000</v>
      </c>
      <c r="E24" s="1925">
        <v>100000</v>
      </c>
      <c r="F24" s="1925">
        <f t="shared" ref="F24" si="6">SUM(F21:F23)</f>
        <v>100000</v>
      </c>
      <c r="G24" s="1926">
        <f t="shared" si="0"/>
        <v>0</v>
      </c>
      <c r="H24" s="954">
        <f>'Výdaje kapitol celkem'!CC21</f>
        <v>100000</v>
      </c>
      <c r="I24" s="1095">
        <f>+H24-F24</f>
        <v>0</v>
      </c>
      <c r="J24" s="987"/>
    </row>
    <row r="25" spans="1:10" ht="15.75" customHeight="1" outlineLevel="1" x14ac:dyDescent="0.25">
      <c r="A25" s="1262" t="s">
        <v>198</v>
      </c>
      <c r="B25" s="1263">
        <v>5137</v>
      </c>
      <c r="C25" s="1854"/>
      <c r="D25" s="1265">
        <v>50000</v>
      </c>
      <c r="E25" s="1265">
        <v>50000</v>
      </c>
      <c r="F25" s="1265">
        <f>'[2]Městská policie'!$B$19</f>
        <v>50000</v>
      </c>
      <c r="G25" s="1266">
        <f t="shared" si="0"/>
        <v>0</v>
      </c>
      <c r="H25" s="1256"/>
      <c r="I25" s="1095"/>
      <c r="J25" s="987"/>
    </row>
    <row r="26" spans="1:10" ht="15.75" customHeight="1" outlineLevel="1" x14ac:dyDescent="0.25">
      <c r="A26" s="1267" t="s">
        <v>198</v>
      </c>
      <c r="B26" s="1268">
        <v>5137</v>
      </c>
      <c r="C26" s="2172"/>
      <c r="D26" s="1270">
        <v>50000</v>
      </c>
      <c r="E26" s="1270">
        <v>50000</v>
      </c>
      <c r="F26" s="1270">
        <f>'[2]Městská policie'!$B$20</f>
        <v>50000</v>
      </c>
      <c r="G26" s="1271">
        <f t="shared" si="0"/>
        <v>0</v>
      </c>
      <c r="H26" s="1256"/>
      <c r="I26" s="1095"/>
      <c r="J26" s="987"/>
    </row>
    <row r="27" spans="1:10" ht="15.75" customHeight="1" outlineLevel="1" x14ac:dyDescent="0.25">
      <c r="A27" s="1267" t="s">
        <v>198</v>
      </c>
      <c r="B27" s="1268">
        <v>5137</v>
      </c>
      <c r="C27" s="2172"/>
      <c r="D27" s="1270">
        <v>50000</v>
      </c>
      <c r="E27" s="1270">
        <v>50000</v>
      </c>
      <c r="F27" s="1270">
        <f>'[2]Městská policie'!$B$21</f>
        <v>50000</v>
      </c>
      <c r="G27" s="1275">
        <f t="shared" si="0"/>
        <v>0</v>
      </c>
      <c r="H27" s="1256"/>
      <c r="I27" s="1095"/>
      <c r="J27" s="987"/>
    </row>
    <row r="28" spans="1:10" s="979" customFormat="1" ht="14.25" thickBot="1" x14ac:dyDescent="0.3">
      <c r="A28" s="2731" t="s">
        <v>1183</v>
      </c>
      <c r="B28" s="2732"/>
      <c r="C28" s="2173"/>
      <c r="D28" s="1925">
        <v>150000</v>
      </c>
      <c r="E28" s="1925">
        <v>150000</v>
      </c>
      <c r="F28" s="1925">
        <f t="shared" ref="F28" si="7">SUM(F25:F27)</f>
        <v>150000</v>
      </c>
      <c r="G28" s="1926">
        <f t="shared" si="0"/>
        <v>0</v>
      </c>
      <c r="H28" s="954">
        <f>'Výdaje kapitol celkem'!V21</f>
        <v>150000</v>
      </c>
      <c r="I28" s="1095">
        <f>+H28-F28</f>
        <v>0</v>
      </c>
      <c r="J28" s="987"/>
    </row>
    <row r="29" spans="1:10" ht="15.75" hidden="1" customHeight="1" outlineLevel="1" x14ac:dyDescent="0.25">
      <c r="A29" s="1262">
        <v>3319</v>
      </c>
      <c r="B29" s="1263">
        <v>5137</v>
      </c>
      <c r="C29" s="1854"/>
      <c r="D29" s="1265"/>
      <c r="E29" s="1265"/>
      <c r="F29" s="1265"/>
      <c r="G29" s="1266">
        <f t="shared" si="0"/>
        <v>0</v>
      </c>
      <c r="H29" s="1256"/>
      <c r="I29" s="1095"/>
      <c r="J29" s="987"/>
    </row>
    <row r="30" spans="1:10" ht="15.75" hidden="1" customHeight="1" outlineLevel="1" x14ac:dyDescent="0.25">
      <c r="A30" s="1267">
        <v>3319</v>
      </c>
      <c r="B30" s="1268">
        <v>5137</v>
      </c>
      <c r="C30" s="2172"/>
      <c r="D30" s="1276"/>
      <c r="E30" s="1276"/>
      <c r="F30" s="1276"/>
      <c r="G30" s="1275">
        <f t="shared" si="0"/>
        <v>0</v>
      </c>
      <c r="H30" s="1256"/>
      <c r="I30" s="1095"/>
      <c r="J30" s="987"/>
    </row>
    <row r="31" spans="1:10" s="979" customFormat="1" ht="16.5" customHeight="1" collapsed="1" thickBot="1" x14ac:dyDescent="0.3">
      <c r="A31" s="2731" t="s">
        <v>1182</v>
      </c>
      <c r="B31" s="2732"/>
      <c r="C31" s="2173"/>
      <c r="D31" s="1925">
        <v>0</v>
      </c>
      <c r="E31" s="1925">
        <v>0</v>
      </c>
      <c r="F31" s="1925">
        <f t="shared" ref="F31" si="8">SUM(F29:F30)</f>
        <v>0</v>
      </c>
      <c r="G31" s="1926">
        <f t="shared" si="0"/>
        <v>0</v>
      </c>
      <c r="H31" s="954">
        <f>'Výdaje kapitol celkem'!W21</f>
        <v>0</v>
      </c>
      <c r="I31" s="1095">
        <f>+H31-F31</f>
        <v>0</v>
      </c>
      <c r="J31" s="987"/>
    </row>
    <row r="32" spans="1:10" ht="15.75" customHeight="1" outlineLevel="1" x14ac:dyDescent="0.25">
      <c r="A32" s="1262">
        <v>3314</v>
      </c>
      <c r="B32" s="1263">
        <v>5137</v>
      </c>
      <c r="C32" s="1854"/>
      <c r="D32" s="1265">
        <v>100000</v>
      </c>
      <c r="E32" s="1265">
        <v>100000</v>
      </c>
      <c r="F32" s="1265">
        <f>[2]Knihovna!$B$12</f>
        <v>100000</v>
      </c>
      <c r="G32" s="1266">
        <f t="shared" si="0"/>
        <v>0</v>
      </c>
      <c r="H32" s="1256"/>
      <c r="I32" s="1095"/>
      <c r="J32" s="987"/>
    </row>
    <row r="33" spans="1:10" ht="15.75" customHeight="1" outlineLevel="1" x14ac:dyDescent="0.25">
      <c r="A33" s="1267">
        <v>3314</v>
      </c>
      <c r="B33" s="1268">
        <v>5137</v>
      </c>
      <c r="C33" s="2172"/>
      <c r="D33" s="1270">
        <v>20000</v>
      </c>
      <c r="E33" s="1270">
        <v>20000</v>
      </c>
      <c r="F33" s="1270">
        <f>[2]Knihovna!$B$13</f>
        <v>20000</v>
      </c>
      <c r="G33" s="1275">
        <f t="shared" si="0"/>
        <v>0</v>
      </c>
      <c r="H33" s="1256"/>
      <c r="I33" s="1095"/>
      <c r="J33" s="987"/>
    </row>
    <row r="34" spans="1:10" s="979" customFormat="1" ht="16.5" customHeight="1" thickBot="1" x14ac:dyDescent="0.3">
      <c r="A34" s="2731" t="s">
        <v>1184</v>
      </c>
      <c r="B34" s="2732"/>
      <c r="C34" s="2173"/>
      <c r="D34" s="1925">
        <v>120000</v>
      </c>
      <c r="E34" s="1925">
        <v>120000</v>
      </c>
      <c r="F34" s="1925">
        <f t="shared" ref="F34" si="9">SUM(F32:F33)</f>
        <v>120000</v>
      </c>
      <c r="G34" s="1926">
        <f t="shared" si="0"/>
        <v>0</v>
      </c>
      <c r="H34" s="954">
        <f>'Výdaje kapitol celkem'!Y21</f>
        <v>120000</v>
      </c>
      <c r="I34" s="1095">
        <f>+H34-F34</f>
        <v>0</v>
      </c>
      <c r="J34" s="987"/>
    </row>
    <row r="35" spans="1:10" ht="15.75" hidden="1" customHeight="1" outlineLevel="1" x14ac:dyDescent="0.25">
      <c r="A35" s="1262">
        <v>3349</v>
      </c>
      <c r="B35" s="1263">
        <v>5137</v>
      </c>
      <c r="C35" s="1854"/>
      <c r="D35" s="1265"/>
      <c r="E35" s="1265"/>
      <c r="F35" s="1265"/>
      <c r="G35" s="1266">
        <f t="shared" si="0"/>
        <v>0</v>
      </c>
      <c r="H35" s="1256"/>
      <c r="I35" s="1095"/>
      <c r="J35" s="987"/>
    </row>
    <row r="36" spans="1:10" s="979" customFormat="1" ht="16.5" customHeight="1" collapsed="1" thickBot="1" x14ac:dyDescent="0.3">
      <c r="A36" s="2731" t="s">
        <v>1210</v>
      </c>
      <c r="B36" s="2732"/>
      <c r="C36" s="2173"/>
      <c r="D36" s="1925">
        <v>0</v>
      </c>
      <c r="E36" s="1925">
        <v>0</v>
      </c>
      <c r="F36" s="1925">
        <f t="shared" ref="F36" si="10">SUM(F35)</f>
        <v>0</v>
      </c>
      <c r="G36" s="1926">
        <f t="shared" si="0"/>
        <v>0</v>
      </c>
      <c r="H36" s="954">
        <f>'Výdaje kapitol celkem'!Z21</f>
        <v>0</v>
      </c>
      <c r="I36" s="1095">
        <f>+H36-F36</f>
        <v>0</v>
      </c>
      <c r="J36" s="987"/>
    </row>
    <row r="37" spans="1:10" ht="15.75" customHeight="1" outlineLevel="1" x14ac:dyDescent="0.25">
      <c r="A37" s="1262">
        <v>3359</v>
      </c>
      <c r="B37" s="1263">
        <v>5137</v>
      </c>
      <c r="C37" s="1854"/>
      <c r="D37" s="1265">
        <v>120000</v>
      </c>
      <c r="E37" s="1265">
        <v>120000</v>
      </c>
      <c r="F37" s="1265">
        <f>[2]Kultura!$B$5</f>
        <v>120000</v>
      </c>
      <c r="G37" s="1266">
        <f t="shared" si="0"/>
        <v>0</v>
      </c>
      <c r="H37" s="1256"/>
      <c r="I37" s="1095"/>
      <c r="J37" s="987"/>
    </row>
    <row r="38" spans="1:10" ht="15.75" hidden="1" customHeight="1" outlineLevel="1" x14ac:dyDescent="0.25">
      <c r="A38" s="1267">
        <v>3359</v>
      </c>
      <c r="B38" s="1268">
        <v>5137</v>
      </c>
      <c r="C38" s="2172"/>
      <c r="D38" s="1270"/>
      <c r="E38" s="1270"/>
      <c r="F38" s="1270"/>
      <c r="G38" s="1271">
        <f t="shared" si="0"/>
        <v>0</v>
      </c>
      <c r="H38" s="1256"/>
      <c r="I38" s="1095">
        <f>+H38-F38</f>
        <v>0</v>
      </c>
      <c r="J38" s="987"/>
    </row>
    <row r="39" spans="1:10" ht="15.75" hidden="1" customHeight="1" outlineLevel="1" x14ac:dyDescent="0.25">
      <c r="A39" s="1267">
        <v>3359</v>
      </c>
      <c r="B39" s="1268">
        <v>5137</v>
      </c>
      <c r="C39" s="2172"/>
      <c r="D39" s="1270"/>
      <c r="E39" s="1270"/>
      <c r="F39" s="1270"/>
      <c r="G39" s="1271">
        <f t="shared" si="0"/>
        <v>0</v>
      </c>
      <c r="H39" s="1256"/>
      <c r="I39" s="1095">
        <f>+H39-F39</f>
        <v>0</v>
      </c>
      <c r="J39" s="987"/>
    </row>
    <row r="40" spans="1:10" ht="18" hidden="1" customHeight="1" outlineLevel="1" x14ac:dyDescent="0.25">
      <c r="A40" s="1277">
        <v>3359</v>
      </c>
      <c r="B40" s="1268">
        <v>5137</v>
      </c>
      <c r="C40" s="2174"/>
      <c r="D40" s="1279"/>
      <c r="E40" s="1279"/>
      <c r="F40" s="1279"/>
      <c r="G40" s="1280">
        <f t="shared" si="0"/>
        <v>0</v>
      </c>
      <c r="H40" s="1256"/>
      <c r="I40" s="1095">
        <f>+H40-F40</f>
        <v>0</v>
      </c>
      <c r="J40" s="987"/>
    </row>
    <row r="41" spans="1:10" ht="16.5" hidden="1" customHeight="1" outlineLevel="1" x14ac:dyDescent="0.25">
      <c r="A41" s="1277">
        <v>3359</v>
      </c>
      <c r="B41" s="1268">
        <v>5137</v>
      </c>
      <c r="C41" s="2174"/>
      <c r="D41" s="1279"/>
      <c r="E41" s="1279"/>
      <c r="F41" s="1279"/>
      <c r="G41" s="1280">
        <f t="shared" si="0"/>
        <v>0</v>
      </c>
      <c r="H41" s="1256"/>
      <c r="I41" s="1095"/>
      <c r="J41" s="987"/>
    </row>
    <row r="42" spans="1:10" s="979" customFormat="1" ht="16.5" customHeight="1" thickBot="1" x14ac:dyDescent="0.3">
      <c r="A42" s="2731" t="s">
        <v>1209</v>
      </c>
      <c r="B42" s="2732"/>
      <c r="C42" s="2173"/>
      <c r="D42" s="1925">
        <v>120000</v>
      </c>
      <c r="E42" s="1925">
        <v>120000</v>
      </c>
      <c r="F42" s="1925">
        <f t="shared" ref="F42" si="11">SUM(F37:F41)</f>
        <v>120000</v>
      </c>
      <c r="G42" s="1926">
        <f t="shared" si="0"/>
        <v>0</v>
      </c>
      <c r="H42" s="954">
        <f>'Výdaje kapitol celkem'!AA21</f>
        <v>120000</v>
      </c>
      <c r="I42" s="1095">
        <f>+H42-F42</f>
        <v>0</v>
      </c>
      <c r="J42" s="987"/>
    </row>
    <row r="43" spans="1:10" ht="15.75" customHeight="1" outlineLevel="1" x14ac:dyDescent="0.25">
      <c r="A43" s="1262">
        <v>3612</v>
      </c>
      <c r="B43" s="1263">
        <v>5137</v>
      </c>
      <c r="C43" s="1854"/>
      <c r="D43" s="1265">
        <v>100000</v>
      </c>
      <c r="E43" s="1265">
        <v>100000</v>
      </c>
      <c r="F43" s="1265">
        <v>100000</v>
      </c>
      <c r="G43" s="1266">
        <f t="shared" si="0"/>
        <v>0</v>
      </c>
      <c r="H43" s="1256"/>
      <c r="I43" s="1095"/>
      <c r="J43" s="987"/>
    </row>
    <row r="44" spans="1:10" ht="15.75" hidden="1" customHeight="1" outlineLevel="1" x14ac:dyDescent="0.25">
      <c r="A44" s="1267">
        <v>3612</v>
      </c>
      <c r="B44" s="1268">
        <v>5137</v>
      </c>
      <c r="C44" s="2172">
        <v>0</v>
      </c>
      <c r="D44" s="1270"/>
      <c r="E44" s="1270"/>
      <c r="F44" s="1270"/>
      <c r="G44" s="1271">
        <f t="shared" si="0"/>
        <v>0</v>
      </c>
      <c r="H44" s="1256"/>
      <c r="I44" s="1095"/>
      <c r="J44" s="987"/>
    </row>
    <row r="45" spans="1:10" s="979" customFormat="1" ht="16.5" customHeight="1" thickBot="1" x14ac:dyDescent="0.3">
      <c r="A45" s="2731" t="s">
        <v>201</v>
      </c>
      <c r="B45" s="2732"/>
      <c r="C45" s="2173"/>
      <c r="D45" s="1925">
        <v>100000</v>
      </c>
      <c r="E45" s="1925">
        <v>100000</v>
      </c>
      <c r="F45" s="1925">
        <f t="shared" ref="F45" si="12">SUM(F43:F44)</f>
        <v>100000</v>
      </c>
      <c r="G45" s="1926">
        <f t="shared" si="0"/>
        <v>0</v>
      </c>
      <c r="H45" s="954">
        <f>'Výdaje kapitol celkem'!AB21</f>
        <v>100000</v>
      </c>
      <c r="I45" s="1095">
        <f>+H45-F45</f>
        <v>0</v>
      </c>
      <c r="J45" s="987"/>
    </row>
    <row r="46" spans="1:10" ht="16.5" customHeight="1" outlineLevel="1" x14ac:dyDescent="0.25">
      <c r="A46" s="1277" t="s">
        <v>200</v>
      </c>
      <c r="B46" s="1281">
        <v>5137</v>
      </c>
      <c r="C46" s="2174"/>
      <c r="D46" s="1279">
        <v>20000</v>
      </c>
      <c r="E46" s="1279">
        <v>20000</v>
      </c>
      <c r="F46" s="1279">
        <v>20000</v>
      </c>
      <c r="G46" s="1280">
        <f t="shared" si="0"/>
        <v>0</v>
      </c>
      <c r="H46" s="1256"/>
      <c r="I46" s="1095"/>
      <c r="J46" s="987"/>
    </row>
    <row r="47" spans="1:10" ht="16.5" hidden="1" customHeight="1" outlineLevel="1" x14ac:dyDescent="0.25">
      <c r="A47" s="1277" t="s">
        <v>200</v>
      </c>
      <c r="B47" s="1281">
        <v>5137</v>
      </c>
      <c r="C47" s="2174"/>
      <c r="D47" s="1279"/>
      <c r="E47" s="1279"/>
      <c r="F47" s="1279"/>
      <c r="G47" s="1280">
        <f t="shared" si="0"/>
        <v>0</v>
      </c>
      <c r="H47" s="1256"/>
      <c r="I47" s="1095"/>
      <c r="J47" s="987"/>
    </row>
    <row r="48" spans="1:10" ht="16.5" customHeight="1" thickBot="1" x14ac:dyDescent="0.3">
      <c r="A48" s="2731" t="s">
        <v>202</v>
      </c>
      <c r="B48" s="2732"/>
      <c r="C48" s="2173"/>
      <c r="D48" s="1925">
        <v>20000</v>
      </c>
      <c r="E48" s="1925">
        <v>20000</v>
      </c>
      <c r="F48" s="1925">
        <f t="shared" ref="F48" si="13">SUM(F46:F47)</f>
        <v>20000</v>
      </c>
      <c r="G48" s="1926">
        <f t="shared" si="0"/>
        <v>0</v>
      </c>
      <c r="H48" s="954">
        <f>'Výdaje kapitol celkem'!AE21</f>
        <v>20000</v>
      </c>
      <c r="I48" s="1095">
        <f>+H48-F48</f>
        <v>0</v>
      </c>
      <c r="J48" s="987"/>
    </row>
    <row r="49" spans="1:10" ht="16.5" hidden="1" customHeight="1" outlineLevel="1" x14ac:dyDescent="0.25">
      <c r="A49" s="1267" t="s">
        <v>1262</v>
      </c>
      <c r="B49" s="1268">
        <v>5137</v>
      </c>
      <c r="C49" s="2172"/>
      <c r="D49" s="1270">
        <v>0</v>
      </c>
      <c r="E49" s="1270">
        <v>0</v>
      </c>
      <c r="F49" s="1270">
        <v>0</v>
      </c>
      <c r="G49" s="1275">
        <f t="shared" si="0"/>
        <v>0</v>
      </c>
      <c r="H49" s="1256"/>
      <c r="I49" s="1095"/>
      <c r="J49" s="987"/>
    </row>
    <row r="50" spans="1:10" ht="16.5" hidden="1" customHeight="1" outlineLevel="1" x14ac:dyDescent="0.25">
      <c r="A50" s="1277" t="s">
        <v>1262</v>
      </c>
      <c r="B50" s="1281">
        <v>5137</v>
      </c>
      <c r="C50" s="2174"/>
      <c r="D50" s="1279"/>
      <c r="E50" s="1279"/>
      <c r="F50" s="1279"/>
      <c r="G50" s="1282">
        <f t="shared" si="0"/>
        <v>0</v>
      </c>
      <c r="H50" s="1256"/>
      <c r="I50" s="1095"/>
      <c r="J50" s="987"/>
    </row>
    <row r="51" spans="1:10" ht="19.5" hidden="1" customHeight="1" collapsed="1" thickBot="1" x14ac:dyDescent="0.3">
      <c r="A51" s="2731" t="s">
        <v>1450</v>
      </c>
      <c r="B51" s="2732"/>
      <c r="C51" s="2173"/>
      <c r="D51" s="1925">
        <v>0</v>
      </c>
      <c r="E51" s="1925">
        <v>0</v>
      </c>
      <c r="F51" s="1925">
        <f t="shared" ref="F51" si="14">SUM(F49:F50)</f>
        <v>0</v>
      </c>
      <c r="G51" s="1926">
        <f t="shared" si="0"/>
        <v>0</v>
      </c>
      <c r="H51" s="954">
        <f>'Výdaje kapitol celkem'!X21</f>
        <v>0</v>
      </c>
      <c r="I51" s="1095">
        <f>+H51-F51</f>
        <v>0</v>
      </c>
      <c r="J51" s="987"/>
    </row>
    <row r="52" spans="1:10" ht="16.5" hidden="1" customHeight="1" outlineLevel="1" x14ac:dyDescent="0.25">
      <c r="A52" s="1267">
        <v>3613</v>
      </c>
      <c r="B52" s="1268">
        <v>5137</v>
      </c>
      <c r="C52" s="2172"/>
      <c r="D52" s="1270"/>
      <c r="E52" s="1270"/>
      <c r="F52" s="1270"/>
      <c r="G52" s="1275">
        <f t="shared" si="0"/>
        <v>0</v>
      </c>
      <c r="H52" s="1256"/>
      <c r="I52" s="1095"/>
      <c r="J52" s="987"/>
    </row>
    <row r="53" spans="1:10" ht="16.5" hidden="1" customHeight="1" outlineLevel="1" x14ac:dyDescent="0.25">
      <c r="A53" s="1277">
        <v>3613</v>
      </c>
      <c r="B53" s="1281">
        <v>5137</v>
      </c>
      <c r="C53" s="2174"/>
      <c r="D53" s="1279"/>
      <c r="E53" s="1279"/>
      <c r="F53" s="1279"/>
      <c r="G53" s="1282">
        <f t="shared" si="0"/>
        <v>0</v>
      </c>
      <c r="H53" s="1256"/>
      <c r="I53" s="1095"/>
      <c r="J53" s="987"/>
    </row>
    <row r="54" spans="1:10" ht="19.5" hidden="1" customHeight="1" collapsed="1" thickBot="1" x14ac:dyDescent="0.3">
      <c r="A54" s="2731" t="s">
        <v>203</v>
      </c>
      <c r="B54" s="2732"/>
      <c r="C54" s="2173"/>
      <c r="D54" s="1925">
        <v>0</v>
      </c>
      <c r="E54" s="1925">
        <v>0</v>
      </c>
      <c r="F54" s="1925">
        <f t="shared" ref="F54" si="15">SUM(F52:F53)</f>
        <v>0</v>
      </c>
      <c r="G54" s="1926">
        <f t="shared" si="0"/>
        <v>0</v>
      </c>
      <c r="H54" s="954">
        <f>'Výdaje kapitol celkem'!AH21</f>
        <v>0</v>
      </c>
      <c r="I54" s="1095">
        <f>+H54-F54</f>
        <v>0</v>
      </c>
      <c r="J54" s="987"/>
    </row>
    <row r="55" spans="1:10" ht="20.25" hidden="1" customHeight="1" outlineLevel="1" x14ac:dyDescent="0.25">
      <c r="A55" s="1267">
        <v>3631</v>
      </c>
      <c r="B55" s="1268">
        <v>5137</v>
      </c>
      <c r="C55" s="2172"/>
      <c r="D55" s="1270"/>
      <c r="E55" s="1270"/>
      <c r="F55" s="1270"/>
      <c r="G55" s="1275">
        <f t="shared" si="0"/>
        <v>0</v>
      </c>
      <c r="H55" s="1256"/>
      <c r="I55" s="1095"/>
      <c r="J55" s="987"/>
    </row>
    <row r="56" spans="1:10" ht="20.25" hidden="1" customHeight="1" outlineLevel="1" x14ac:dyDescent="0.25">
      <c r="A56" s="1267">
        <v>3631</v>
      </c>
      <c r="B56" s="1268">
        <v>5137</v>
      </c>
      <c r="C56" s="2172"/>
      <c r="D56" s="1270"/>
      <c r="E56" s="1270"/>
      <c r="F56" s="1270"/>
      <c r="G56" s="1275">
        <f t="shared" si="0"/>
        <v>0</v>
      </c>
      <c r="H56" s="1256"/>
      <c r="I56" s="1095"/>
      <c r="J56" s="987"/>
    </row>
    <row r="57" spans="1:10" ht="20.25" hidden="1" customHeight="1" outlineLevel="1" x14ac:dyDescent="0.25">
      <c r="A57" s="1277">
        <v>3631</v>
      </c>
      <c r="B57" s="1281">
        <v>5137</v>
      </c>
      <c r="C57" s="2172"/>
      <c r="D57" s="1279"/>
      <c r="E57" s="1279"/>
      <c r="F57" s="1279"/>
      <c r="G57" s="1282">
        <f t="shared" si="0"/>
        <v>0</v>
      </c>
      <c r="H57" s="1256"/>
      <c r="I57" s="1095"/>
      <c r="J57" s="987"/>
    </row>
    <row r="58" spans="1:10" ht="20.25" hidden="1" customHeight="1" collapsed="1" thickBot="1" x14ac:dyDescent="0.3">
      <c r="A58" s="2731" t="s">
        <v>632</v>
      </c>
      <c r="B58" s="2732"/>
      <c r="C58" s="2173"/>
      <c r="D58" s="1925">
        <v>0</v>
      </c>
      <c r="E58" s="1925">
        <v>0</v>
      </c>
      <c r="F58" s="1925">
        <f t="shared" ref="F58" si="16">SUM(F55:F57)</f>
        <v>0</v>
      </c>
      <c r="G58" s="1926">
        <f t="shared" si="0"/>
        <v>0</v>
      </c>
      <c r="H58" s="954">
        <f>'Výdaje kapitol celkem'!AK11</f>
        <v>0</v>
      </c>
      <c r="I58" s="1095">
        <f>+H58-F58</f>
        <v>0</v>
      </c>
      <c r="J58" s="987"/>
    </row>
    <row r="59" spans="1:10" ht="20.25" customHeight="1" outlineLevel="1" x14ac:dyDescent="0.25">
      <c r="A59" s="1267">
        <v>5512</v>
      </c>
      <c r="B59" s="1268">
        <v>5137</v>
      </c>
      <c r="C59" s="2172"/>
      <c r="D59" s="1270">
        <v>100000</v>
      </c>
      <c r="E59" s="1270">
        <v>100000</v>
      </c>
      <c r="F59" s="1270">
        <f>[2]Hasiči!$B$12</f>
        <v>100000</v>
      </c>
      <c r="G59" s="1275">
        <f t="shared" si="0"/>
        <v>0</v>
      </c>
      <c r="H59" s="1256"/>
      <c r="I59" s="1095"/>
      <c r="J59" s="987"/>
    </row>
    <row r="60" spans="1:10" ht="20.25" customHeight="1" outlineLevel="1" x14ac:dyDescent="0.25">
      <c r="A60" s="1267">
        <v>5512</v>
      </c>
      <c r="B60" s="1268">
        <v>5137</v>
      </c>
      <c r="C60" s="2172"/>
      <c r="D60" s="1270">
        <v>100000</v>
      </c>
      <c r="E60" s="1270">
        <v>100000</v>
      </c>
      <c r="F60" s="1270">
        <f>[2]Hasiči!$B$13</f>
        <v>100000</v>
      </c>
      <c r="G60" s="1275">
        <f t="shared" si="0"/>
        <v>0</v>
      </c>
      <c r="H60" s="1256"/>
      <c r="I60" s="1095"/>
      <c r="J60" s="987"/>
    </row>
    <row r="61" spans="1:10" ht="20.25" customHeight="1" outlineLevel="1" x14ac:dyDescent="0.25">
      <c r="A61" s="1267">
        <v>5512</v>
      </c>
      <c r="B61" s="1268">
        <v>5137</v>
      </c>
      <c r="C61" s="2172"/>
      <c r="D61" s="1270">
        <v>300000</v>
      </c>
      <c r="E61" s="1270">
        <v>300000</v>
      </c>
      <c r="F61" s="1270">
        <f>[2]Hasiči!$B$14</f>
        <v>300000</v>
      </c>
      <c r="G61" s="1275">
        <f t="shared" si="0"/>
        <v>0</v>
      </c>
      <c r="H61" s="1256"/>
      <c r="I61" s="1095"/>
      <c r="J61" s="987"/>
    </row>
    <row r="62" spans="1:10" ht="20.25" hidden="1" customHeight="1" outlineLevel="1" x14ac:dyDescent="0.25">
      <c r="A62" s="1277">
        <v>5512</v>
      </c>
      <c r="B62" s="1281">
        <v>5137</v>
      </c>
      <c r="C62" s="2172"/>
      <c r="D62" s="1279"/>
      <c r="E62" s="1279"/>
      <c r="F62" s="1279"/>
      <c r="G62" s="1282">
        <f t="shared" si="0"/>
        <v>0</v>
      </c>
      <c r="H62" s="1256"/>
      <c r="I62" s="1095">
        <f>+H62-F62</f>
        <v>0</v>
      </c>
      <c r="J62" s="987"/>
    </row>
    <row r="63" spans="1:10" ht="20.25" customHeight="1" thickBot="1" x14ac:dyDescent="0.3">
      <c r="A63" s="2731" t="s">
        <v>204</v>
      </c>
      <c r="B63" s="2732"/>
      <c r="C63" s="2173"/>
      <c r="D63" s="1925">
        <v>500000</v>
      </c>
      <c r="E63" s="1925">
        <v>500000</v>
      </c>
      <c r="F63" s="1925">
        <f t="shared" ref="F63" si="17">SUM(F59:F62)</f>
        <v>500000</v>
      </c>
      <c r="G63" s="1926">
        <f t="shared" si="0"/>
        <v>0</v>
      </c>
      <c r="H63" s="954">
        <f>'Výdaje kapitol celkem'!AK21</f>
        <v>500000</v>
      </c>
      <c r="I63" s="1095">
        <f>+H63-F63</f>
        <v>0</v>
      </c>
      <c r="J63" s="987"/>
    </row>
    <row r="64" spans="1:10" ht="20.25" customHeight="1" outlineLevel="1" x14ac:dyDescent="0.25">
      <c r="A64" s="1262">
        <v>3114</v>
      </c>
      <c r="B64" s="1263">
        <v>5137</v>
      </c>
      <c r="C64" s="1854"/>
      <c r="D64" s="1265">
        <v>40000</v>
      </c>
      <c r="E64" s="1265">
        <v>40000</v>
      </c>
      <c r="F64" s="1265">
        <f>[2]č.p.65!$B$5</f>
        <v>40000</v>
      </c>
      <c r="G64" s="1266">
        <f t="shared" si="0"/>
        <v>0</v>
      </c>
      <c r="H64" s="1256"/>
      <c r="I64" s="1095"/>
      <c r="J64" s="987"/>
    </row>
    <row r="65" spans="1:10" ht="20.25" customHeight="1" outlineLevel="1" x14ac:dyDescent="0.25">
      <c r="A65" s="1277">
        <v>3114</v>
      </c>
      <c r="B65" s="1281">
        <v>5137</v>
      </c>
      <c r="C65" s="2174"/>
      <c r="D65" s="1283">
        <v>10000</v>
      </c>
      <c r="E65" s="1283">
        <v>10000</v>
      </c>
      <c r="F65" s="1283">
        <f>[2]č.p.65!$B$6</f>
        <v>10000</v>
      </c>
      <c r="G65" s="1282">
        <f t="shared" si="0"/>
        <v>0</v>
      </c>
      <c r="H65" s="1256"/>
      <c r="I65" s="1095"/>
      <c r="J65" s="987"/>
    </row>
    <row r="66" spans="1:10" ht="20.25" hidden="1" customHeight="1" outlineLevel="1" x14ac:dyDescent="0.25">
      <c r="A66" s="1277">
        <v>3114</v>
      </c>
      <c r="B66" s="1281">
        <v>5137</v>
      </c>
      <c r="C66" s="2174"/>
      <c r="D66" s="1283"/>
      <c r="E66" s="1283"/>
      <c r="F66" s="1283"/>
      <c r="G66" s="1282">
        <f t="shared" si="0"/>
        <v>0</v>
      </c>
      <c r="H66" s="1256"/>
      <c r="I66" s="1095">
        <f>+H66-F66</f>
        <v>0</v>
      </c>
      <c r="J66" s="987"/>
    </row>
    <row r="67" spans="1:10" ht="20.25" customHeight="1" thickBot="1" x14ac:dyDescent="0.3">
      <c r="A67" s="2731" t="s">
        <v>213</v>
      </c>
      <c r="B67" s="2732"/>
      <c r="C67" s="2173"/>
      <c r="D67" s="1925">
        <v>50000</v>
      </c>
      <c r="E67" s="1925">
        <v>50000</v>
      </c>
      <c r="F67" s="1925">
        <f t="shared" ref="F67" si="18">SUM(F64:F66)</f>
        <v>50000</v>
      </c>
      <c r="G67" s="1926">
        <f t="shared" si="0"/>
        <v>0</v>
      </c>
      <c r="H67" s="954">
        <f>'Výdaje kapitol celkem'!BF21</f>
        <v>50000</v>
      </c>
      <c r="I67" s="1095">
        <f>+H67-F67</f>
        <v>0</v>
      </c>
      <c r="J67" s="987"/>
    </row>
    <row r="68" spans="1:10" s="1085" customFormat="1" ht="17.25" thickBot="1" x14ac:dyDescent="0.35">
      <c r="A68" s="2735" t="s">
        <v>735</v>
      </c>
      <c r="B68" s="2736"/>
      <c r="C68" s="2736"/>
      <c r="D68" s="1284">
        <v>2110000</v>
      </c>
      <c r="E68" s="1284">
        <v>2110000</v>
      </c>
      <c r="F68" s="1284">
        <f t="shared" ref="F68" si="19">++F63+F48+F45+F42+F36+F34+F31+F28+F20+F17+F10+F7+F67+F13+F54+F58+F24+F51</f>
        <v>2110000</v>
      </c>
      <c r="G68" s="1285">
        <f t="shared" si="0"/>
        <v>0</v>
      </c>
      <c r="H68" s="1286"/>
      <c r="I68" s="1287"/>
      <c r="J68" s="987"/>
    </row>
    <row r="69" spans="1:10" x14ac:dyDescent="0.25">
      <c r="A69" s="919"/>
      <c r="B69" s="919"/>
      <c r="C69" s="919"/>
      <c r="D69" s="918">
        <v>2110000</v>
      </c>
      <c r="E69" s="918">
        <v>2110000</v>
      </c>
      <c r="F69" s="918">
        <f>'Výdaje kapitol celkem'!F21</f>
        <v>2110000</v>
      </c>
      <c r="G69" s="947"/>
      <c r="H69" s="1256"/>
      <c r="I69" s="958"/>
    </row>
    <row r="70" spans="1:10" s="980" customFormat="1" x14ac:dyDescent="0.25">
      <c r="A70" s="944"/>
      <c r="B70" s="944"/>
      <c r="C70" s="944" t="s">
        <v>218</v>
      </c>
      <c r="D70" s="947">
        <v>0</v>
      </c>
      <c r="E70" s="947">
        <v>0</v>
      </c>
      <c r="F70" s="947">
        <v>0</v>
      </c>
      <c r="G70" s="947"/>
      <c r="H70" s="1256"/>
      <c r="I70" s="958"/>
    </row>
    <row r="71" spans="1:10" x14ac:dyDescent="0.25">
      <c r="A71" s="1238" t="s">
        <v>546</v>
      </c>
      <c r="B71" s="919"/>
      <c r="C71" s="919"/>
      <c r="D71" s="918"/>
      <c r="E71" s="918"/>
      <c r="F71" s="918"/>
      <c r="G71" s="947"/>
      <c r="H71" s="1256"/>
      <c r="I71" s="958"/>
    </row>
  </sheetData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48:B48"/>
    <mergeCell ref="A54:B54"/>
    <mergeCell ref="A51:B51"/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9"/>
  <sheetViews>
    <sheetView topLeftCell="A124" zoomScale="81" zoomScaleNormal="81" workbookViewId="0">
      <selection activeCell="E106" sqref="E106"/>
    </sheetView>
  </sheetViews>
  <sheetFormatPr defaultColWidth="9.140625" defaultRowHeight="13.5" outlineLevelRow="1" x14ac:dyDescent="0.25"/>
  <cols>
    <col min="1" max="1" width="19.5703125" style="976" customWidth="1"/>
    <col min="2" max="2" width="13.140625" style="976" customWidth="1"/>
    <col min="3" max="3" width="51.85546875" style="976" customWidth="1"/>
    <col min="4" max="6" width="13.140625" style="977" bestFit="1" customWidth="1"/>
    <col min="7" max="7" width="11.28515625" style="978" customWidth="1"/>
    <col min="8" max="8" width="10.140625" style="1288" bestFit="1" customWidth="1"/>
    <col min="9" max="9" width="10.140625" style="1289" bestFit="1" customWidth="1"/>
    <col min="10" max="16384" width="9.140625" style="976"/>
  </cols>
  <sheetData>
    <row r="1" spans="1:10" s="999" customFormat="1" ht="16.5" x14ac:dyDescent="0.3">
      <c r="A1" s="1245" t="s">
        <v>1579</v>
      </c>
      <c r="B1" s="1245"/>
      <c r="C1" s="1246"/>
      <c r="D1" s="1247"/>
      <c r="E1" s="1247"/>
      <c r="F1" s="1247"/>
      <c r="G1" s="1248"/>
      <c r="H1" s="1249"/>
      <c r="I1" s="1250"/>
    </row>
    <row r="2" spans="1:10" s="1255" customFormat="1" ht="16.5" x14ac:dyDescent="0.3">
      <c r="A2" s="2733" t="s">
        <v>715</v>
      </c>
      <c r="B2" s="2733"/>
      <c r="C2" s="2734"/>
      <c r="D2" s="1251"/>
      <c r="E2" s="1251"/>
      <c r="F2" s="1251"/>
      <c r="G2" s="1252"/>
      <c r="H2" s="1253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256"/>
      <c r="I3" s="958"/>
    </row>
    <row r="4" spans="1:10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2048</v>
      </c>
      <c r="F4" s="1260" t="s">
        <v>2217</v>
      </c>
      <c r="G4" s="1261" t="s">
        <v>5</v>
      </c>
      <c r="H4" s="1256" t="s">
        <v>768</v>
      </c>
      <c r="I4" s="958" t="s">
        <v>711</v>
      </c>
    </row>
    <row r="5" spans="1:10" hidden="1" outlineLevel="1" x14ac:dyDescent="0.25">
      <c r="A5" s="1262">
        <v>6409</v>
      </c>
      <c r="B5" s="1263">
        <v>5139</v>
      </c>
      <c r="C5" s="1264"/>
      <c r="D5" s="1265"/>
      <c r="E5" s="1265"/>
      <c r="F5" s="1265"/>
      <c r="G5" s="1266">
        <f>+F5-E5</f>
        <v>0</v>
      </c>
      <c r="H5" s="1256"/>
      <c r="I5" s="958"/>
    </row>
    <row r="6" spans="1:10" hidden="1" outlineLevel="1" x14ac:dyDescent="0.25">
      <c r="A6" s="1267">
        <v>6409</v>
      </c>
      <c r="B6" s="1268">
        <v>5139</v>
      </c>
      <c r="C6" s="1269"/>
      <c r="D6" s="1270"/>
      <c r="E6" s="1270"/>
      <c r="F6" s="1270"/>
      <c r="G6" s="1271">
        <f t="shared" ref="G6:G69" si="0">+F6-E6</f>
        <v>0</v>
      </c>
      <c r="H6" s="1256"/>
      <c r="I6" s="958"/>
    </row>
    <row r="7" spans="1:10" s="979" customFormat="1" ht="18" customHeight="1" collapsed="1" thickBot="1" x14ac:dyDescent="0.3">
      <c r="A7" s="2731" t="s">
        <v>1213</v>
      </c>
      <c r="B7" s="2732"/>
      <c r="C7" s="1924"/>
      <c r="D7" s="1925">
        <v>0</v>
      </c>
      <c r="E7" s="1925">
        <v>0</v>
      </c>
      <c r="F7" s="1925">
        <f t="shared" ref="F7" si="1">SUM(F5:F6)</f>
        <v>0</v>
      </c>
      <c r="G7" s="1926">
        <f t="shared" si="0"/>
        <v>0</v>
      </c>
      <c r="H7" s="954">
        <f>'Výdaje kapitol celkem'!K22</f>
        <v>0</v>
      </c>
      <c r="I7" s="1095">
        <f>+H7-F7</f>
        <v>0</v>
      </c>
      <c r="J7" s="987"/>
    </row>
    <row r="8" spans="1:10" ht="18" customHeight="1" outlineLevel="1" x14ac:dyDescent="0.25">
      <c r="A8" s="1262">
        <v>6112</v>
      </c>
      <c r="B8" s="1263">
        <v>5139</v>
      </c>
      <c r="C8" s="1264"/>
      <c r="D8" s="1265">
        <v>55000</v>
      </c>
      <c r="E8" s="1265">
        <v>55000</v>
      </c>
      <c r="F8" s="1265">
        <f>[2]Zastupitelé!$B$18</f>
        <v>55000</v>
      </c>
      <c r="G8" s="1266">
        <f t="shared" si="0"/>
        <v>0</v>
      </c>
      <c r="H8" s="1256"/>
      <c r="I8" s="958"/>
    </row>
    <row r="9" spans="1:10" ht="18" customHeight="1" outlineLevel="1" x14ac:dyDescent="0.25">
      <c r="A9" s="1267">
        <v>6112</v>
      </c>
      <c r="B9" s="1268">
        <v>5139</v>
      </c>
      <c r="C9" s="1269"/>
      <c r="D9" s="1270">
        <v>0</v>
      </c>
      <c r="E9" s="1270">
        <v>0</v>
      </c>
      <c r="F9" s="1270">
        <f>[2]Zastupitelé!$B$19</f>
        <v>0</v>
      </c>
      <c r="G9" s="1271">
        <f t="shared" si="0"/>
        <v>0</v>
      </c>
      <c r="H9" s="1256"/>
      <c r="I9" s="958"/>
    </row>
    <row r="10" spans="1:10" s="979" customFormat="1" ht="18" customHeight="1" thickBot="1" x14ac:dyDescent="0.3">
      <c r="A10" s="2731" t="s">
        <v>1212</v>
      </c>
      <c r="B10" s="2732"/>
      <c r="C10" s="1924"/>
      <c r="D10" s="1925">
        <v>55000</v>
      </c>
      <c r="E10" s="1925">
        <v>55000</v>
      </c>
      <c r="F10" s="1925">
        <f>SUM(F8:F9)</f>
        <v>55000</v>
      </c>
      <c r="G10" s="1926">
        <f t="shared" si="0"/>
        <v>0</v>
      </c>
      <c r="H10" s="954">
        <f>'Výdaje kapitol celkem'!M22</f>
        <v>55000</v>
      </c>
      <c r="I10" s="1095">
        <f>+H10-F10</f>
        <v>0</v>
      </c>
      <c r="J10" s="987"/>
    </row>
    <row r="11" spans="1:10" ht="18" hidden="1" customHeight="1" outlineLevel="1" x14ac:dyDescent="0.25">
      <c r="A11" s="1262">
        <v>6117</v>
      </c>
      <c r="B11" s="1263">
        <v>5139</v>
      </c>
      <c r="C11" s="1264"/>
      <c r="D11" s="1265">
        <v>0</v>
      </c>
      <c r="E11" s="1265">
        <v>0</v>
      </c>
      <c r="F11" s="1265">
        <f>'[4]Volby '!$B$19</f>
        <v>0</v>
      </c>
      <c r="G11" s="1266">
        <f t="shared" si="0"/>
        <v>0</v>
      </c>
      <c r="H11" s="1256"/>
      <c r="I11" s="958"/>
    </row>
    <row r="12" spans="1:10" ht="18" hidden="1" customHeight="1" outlineLevel="1" x14ac:dyDescent="0.25">
      <c r="A12" s="1267">
        <v>6117</v>
      </c>
      <c r="B12" s="1268">
        <v>5139</v>
      </c>
      <c r="C12" s="1269"/>
      <c r="D12" s="1270">
        <v>0</v>
      </c>
      <c r="E12" s="1270">
        <v>0</v>
      </c>
      <c r="F12" s="1270">
        <f>'[4]Volby '!$B$20</f>
        <v>0</v>
      </c>
      <c r="G12" s="1271">
        <f t="shared" si="0"/>
        <v>0</v>
      </c>
      <c r="H12" s="1256"/>
      <c r="I12" s="958"/>
    </row>
    <row r="13" spans="1:10" ht="18" hidden="1" customHeight="1" outlineLevel="1" x14ac:dyDescent="0.25">
      <c r="A13" s="1267">
        <v>6117</v>
      </c>
      <c r="B13" s="1268">
        <v>5139</v>
      </c>
      <c r="C13" s="1269"/>
      <c r="D13" s="1270"/>
      <c r="E13" s="1270"/>
      <c r="F13" s="1270"/>
      <c r="G13" s="1271">
        <f t="shared" si="0"/>
        <v>0</v>
      </c>
      <c r="H13" s="1256"/>
      <c r="I13" s="958"/>
    </row>
    <row r="14" spans="1:10" s="979" customFormat="1" ht="18" customHeight="1" collapsed="1" thickBot="1" x14ac:dyDescent="0.3">
      <c r="A14" s="2731" t="s">
        <v>1211</v>
      </c>
      <c r="B14" s="2732"/>
      <c r="C14" s="1924"/>
      <c r="D14" s="1925">
        <v>0</v>
      </c>
      <c r="E14" s="1925">
        <v>0</v>
      </c>
      <c r="F14" s="1925">
        <f t="shared" ref="F14" si="2">SUM(F11:F13)</f>
        <v>0</v>
      </c>
      <c r="G14" s="1926">
        <f t="shared" si="0"/>
        <v>0</v>
      </c>
      <c r="H14" s="954">
        <f>'Výdaje kapitol celkem'!N22</f>
        <v>0</v>
      </c>
      <c r="I14" s="1095">
        <f>+H14-F14</f>
        <v>0</v>
      </c>
      <c r="J14" s="987"/>
    </row>
    <row r="15" spans="1:10" outlineLevel="1" x14ac:dyDescent="0.25">
      <c r="A15" s="1262">
        <v>6171</v>
      </c>
      <c r="B15" s="1263">
        <v>5139</v>
      </c>
      <c r="C15" s="1264"/>
      <c r="D15" s="1265">
        <v>720000</v>
      </c>
      <c r="E15" s="1265">
        <v>720000</v>
      </c>
      <c r="F15" s="1265">
        <f>[2]Správa!$B$19</f>
        <v>720000</v>
      </c>
      <c r="G15" s="1266">
        <f t="shared" si="0"/>
        <v>0</v>
      </c>
      <c r="H15" s="1256"/>
      <c r="I15" s="958"/>
    </row>
    <row r="16" spans="1:10" ht="18" customHeight="1" outlineLevel="1" x14ac:dyDescent="0.25">
      <c r="A16" s="1267">
        <v>6171</v>
      </c>
      <c r="B16" s="1268">
        <v>5139</v>
      </c>
      <c r="C16" s="1269"/>
      <c r="D16" s="1270"/>
      <c r="E16" s="1270"/>
      <c r="F16" s="1270"/>
      <c r="G16" s="1271">
        <f t="shared" si="0"/>
        <v>0</v>
      </c>
      <c r="H16" s="1256"/>
      <c r="I16" s="958"/>
    </row>
    <row r="17" spans="1:10" ht="18" customHeight="1" outlineLevel="1" x14ac:dyDescent="0.25">
      <c r="A17" s="1267">
        <v>6171</v>
      </c>
      <c r="B17" s="1268">
        <v>5139</v>
      </c>
      <c r="C17" s="1269"/>
      <c r="D17" s="1270"/>
      <c r="E17" s="1270"/>
      <c r="F17" s="1270"/>
      <c r="G17" s="1271">
        <f t="shared" si="0"/>
        <v>0</v>
      </c>
      <c r="H17" s="1256"/>
      <c r="I17" s="958"/>
    </row>
    <row r="18" spans="1:10" s="979" customFormat="1" ht="18" customHeight="1" thickBot="1" x14ac:dyDescent="0.3">
      <c r="A18" s="2731" t="s">
        <v>214</v>
      </c>
      <c r="B18" s="2732"/>
      <c r="C18" s="1924"/>
      <c r="D18" s="1925">
        <v>720000</v>
      </c>
      <c r="E18" s="1925">
        <v>720000</v>
      </c>
      <c r="F18" s="1925">
        <f t="shared" ref="F18" si="3">SUM(F15:F17)</f>
        <v>720000</v>
      </c>
      <c r="G18" s="1926">
        <f t="shared" si="0"/>
        <v>0</v>
      </c>
      <c r="H18" s="954">
        <f>'Výdaje kapitol celkem'!O22</f>
        <v>720000</v>
      </c>
      <c r="I18" s="1095">
        <f>+H18-F18</f>
        <v>0</v>
      </c>
      <c r="J18" s="987"/>
    </row>
    <row r="19" spans="1:10" outlineLevel="1" x14ac:dyDescent="0.25">
      <c r="A19" s="1262">
        <v>4351</v>
      </c>
      <c r="B19" s="1263">
        <v>5139</v>
      </c>
      <c r="C19" s="1264"/>
      <c r="D19" s="1265">
        <v>70000</v>
      </c>
      <c r="E19" s="1265">
        <v>70000</v>
      </c>
      <c r="F19" s="1265">
        <f>'[2]Pečovatelská služba'!$B$19</f>
        <v>70000</v>
      </c>
      <c r="G19" s="1266">
        <f t="shared" si="0"/>
        <v>0</v>
      </c>
      <c r="H19" s="1256"/>
      <c r="I19" s="1095"/>
      <c r="J19" s="987"/>
    </row>
    <row r="20" spans="1:10" ht="18" customHeight="1" outlineLevel="1" x14ac:dyDescent="0.25">
      <c r="A20" s="1267">
        <v>4351</v>
      </c>
      <c r="B20" s="1268">
        <v>5139</v>
      </c>
      <c r="C20" s="1269"/>
      <c r="D20" s="1276"/>
      <c r="E20" s="1276"/>
      <c r="F20" s="1276"/>
      <c r="G20" s="1275">
        <f t="shared" si="0"/>
        <v>0</v>
      </c>
      <c r="H20" s="1256"/>
      <c r="I20" s="1095"/>
      <c r="J20" s="987"/>
    </row>
    <row r="21" spans="1:10" s="979" customFormat="1" ht="18" customHeight="1" thickBot="1" x14ac:dyDescent="0.3">
      <c r="A21" s="2731" t="s">
        <v>215</v>
      </c>
      <c r="B21" s="2732"/>
      <c r="C21" s="1924"/>
      <c r="D21" s="1925">
        <v>70000</v>
      </c>
      <c r="E21" s="1925">
        <v>70000</v>
      </c>
      <c r="F21" s="1925">
        <f t="shared" ref="F21" si="4">SUM(F19:F20)</f>
        <v>70000</v>
      </c>
      <c r="G21" s="1926">
        <f t="shared" si="0"/>
        <v>0</v>
      </c>
      <c r="H21" s="954">
        <f>'Výdaje kapitol celkem'!T22</f>
        <v>70000</v>
      </c>
      <c r="I21" s="1095">
        <f>+H21-F21</f>
        <v>0</v>
      </c>
      <c r="J21" s="987"/>
    </row>
    <row r="22" spans="1:10" ht="18" hidden="1" customHeight="1" outlineLevel="1" x14ac:dyDescent="0.25">
      <c r="A22" s="1262">
        <v>5311</v>
      </c>
      <c r="B22" s="1263">
        <v>5139</v>
      </c>
      <c r="C22" s="1264"/>
      <c r="D22" s="1265"/>
      <c r="E22" s="1265"/>
      <c r="F22" s="1265"/>
      <c r="G22" s="1266">
        <f t="shared" si="0"/>
        <v>0</v>
      </c>
      <c r="H22" s="1256"/>
      <c r="I22" s="1095"/>
      <c r="J22" s="987"/>
    </row>
    <row r="23" spans="1:10" ht="18" hidden="1" customHeight="1" outlineLevel="1" x14ac:dyDescent="0.25">
      <c r="A23" s="1267">
        <v>5311</v>
      </c>
      <c r="B23" s="1268">
        <v>5139</v>
      </c>
      <c r="C23" s="1269"/>
      <c r="D23" s="1276"/>
      <c r="E23" s="1276"/>
      <c r="F23" s="1276"/>
      <c r="G23" s="1275">
        <f t="shared" si="0"/>
        <v>0</v>
      </c>
      <c r="H23" s="1256"/>
      <c r="I23" s="1095"/>
      <c r="J23" s="987"/>
    </row>
    <row r="24" spans="1:10" s="979" customFormat="1" ht="14.25" collapsed="1" thickBot="1" x14ac:dyDescent="0.3">
      <c r="A24" s="2731" t="s">
        <v>1214</v>
      </c>
      <c r="B24" s="2732"/>
      <c r="C24" s="1924"/>
      <c r="D24" s="1925">
        <v>0</v>
      </c>
      <c r="E24" s="1925">
        <v>0</v>
      </c>
      <c r="F24" s="1925">
        <f t="shared" ref="F24" si="5">SUM(F22:F23)</f>
        <v>0</v>
      </c>
      <c r="G24" s="1926">
        <f t="shared" si="0"/>
        <v>0</v>
      </c>
      <c r="H24" s="954">
        <f>'Výdaje kapitol celkem'!U22</f>
        <v>0</v>
      </c>
      <c r="I24" s="1095">
        <f>+H24-F24</f>
        <v>0</v>
      </c>
      <c r="J24" s="987"/>
    </row>
    <row r="25" spans="1:10" ht="18" customHeight="1" outlineLevel="1" x14ac:dyDescent="0.25">
      <c r="A25" s="1262" t="s">
        <v>198</v>
      </c>
      <c r="B25" s="1263">
        <v>5139</v>
      </c>
      <c r="C25" s="1264"/>
      <c r="D25" s="1265">
        <v>30000</v>
      </c>
      <c r="E25" s="1265">
        <v>30000</v>
      </c>
      <c r="F25" s="1265">
        <f>'[2]Městská policie'!$B$29</f>
        <v>30000</v>
      </c>
      <c r="G25" s="1266">
        <f t="shared" si="0"/>
        <v>0</v>
      </c>
      <c r="H25" s="1256"/>
      <c r="I25" s="1095"/>
      <c r="J25" s="987"/>
    </row>
    <row r="26" spans="1:10" ht="18" customHeight="1" outlineLevel="1" x14ac:dyDescent="0.25">
      <c r="A26" s="1267" t="s">
        <v>198</v>
      </c>
      <c r="B26" s="1268">
        <v>5139</v>
      </c>
      <c r="C26" s="1269"/>
      <c r="D26" s="1270"/>
      <c r="E26" s="1270"/>
      <c r="F26" s="1270"/>
      <c r="G26" s="1275">
        <f t="shared" si="0"/>
        <v>0</v>
      </c>
      <c r="H26" s="1256"/>
      <c r="I26" s="1095"/>
      <c r="J26" s="987"/>
    </row>
    <row r="27" spans="1:10" s="979" customFormat="1" ht="14.25" thickBot="1" x14ac:dyDescent="0.3">
      <c r="A27" s="2731" t="s">
        <v>1183</v>
      </c>
      <c r="B27" s="2732"/>
      <c r="C27" s="1924"/>
      <c r="D27" s="1925">
        <v>30000</v>
      </c>
      <c r="E27" s="1925">
        <v>30000</v>
      </c>
      <c r="F27" s="1925">
        <f t="shared" ref="F27" si="6">SUM(F25:F26)</f>
        <v>30000</v>
      </c>
      <c r="G27" s="1926">
        <f t="shared" si="0"/>
        <v>0</v>
      </c>
      <c r="H27" s="954">
        <f>'Výdaje kapitol celkem'!V22</f>
        <v>30000</v>
      </c>
      <c r="I27" s="1095">
        <f>+H27-F27</f>
        <v>0</v>
      </c>
      <c r="J27" s="987"/>
    </row>
    <row r="28" spans="1:10" ht="18" customHeight="1" outlineLevel="1" x14ac:dyDescent="0.25">
      <c r="A28" s="1262">
        <v>3319</v>
      </c>
      <c r="B28" s="1263">
        <v>5139</v>
      </c>
      <c r="C28" s="1264"/>
      <c r="D28" s="1265">
        <v>4000</v>
      </c>
      <c r="E28" s="1265">
        <v>4000</v>
      </c>
      <c r="F28" s="1265">
        <f>[2]Kronika!$B$12</f>
        <v>4000</v>
      </c>
      <c r="G28" s="1266">
        <f t="shared" si="0"/>
        <v>0</v>
      </c>
      <c r="H28" s="1256"/>
      <c r="I28" s="1095"/>
      <c r="J28" s="987"/>
    </row>
    <row r="29" spans="1:10" ht="18" customHeight="1" outlineLevel="1" x14ac:dyDescent="0.25">
      <c r="A29" s="1267">
        <v>3319</v>
      </c>
      <c r="B29" s="1268">
        <v>5139</v>
      </c>
      <c r="C29" s="1269"/>
      <c r="D29" s="1270">
        <v>0</v>
      </c>
      <c r="E29" s="1270">
        <v>0</v>
      </c>
      <c r="F29" s="1270">
        <f>[2]Kronika!$B$13</f>
        <v>0</v>
      </c>
      <c r="G29" s="1275">
        <f t="shared" si="0"/>
        <v>0</v>
      </c>
      <c r="H29" s="1256"/>
      <c r="I29" s="1095"/>
      <c r="J29" s="987"/>
    </row>
    <row r="30" spans="1:10" s="979" customFormat="1" ht="18" customHeight="1" thickBot="1" x14ac:dyDescent="0.3">
      <c r="A30" s="2731" t="s">
        <v>1182</v>
      </c>
      <c r="B30" s="2732"/>
      <c r="C30" s="1924"/>
      <c r="D30" s="1925">
        <v>4000</v>
      </c>
      <c r="E30" s="1925">
        <v>4000</v>
      </c>
      <c r="F30" s="1925">
        <f t="shared" ref="F30" si="7">SUM(F28:F29)</f>
        <v>4000</v>
      </c>
      <c r="G30" s="1926">
        <f t="shared" si="0"/>
        <v>0</v>
      </c>
      <c r="H30" s="954">
        <f>'Výdaje kapitol celkem'!W22</f>
        <v>4000</v>
      </c>
      <c r="I30" s="1095">
        <f>+H30-F30</f>
        <v>0</v>
      </c>
      <c r="J30" s="987"/>
    </row>
    <row r="31" spans="1:10" ht="18" customHeight="1" outlineLevel="1" x14ac:dyDescent="0.25">
      <c r="A31" s="1262">
        <v>3314</v>
      </c>
      <c r="B31" s="1263">
        <v>5139</v>
      </c>
      <c r="C31" s="1264"/>
      <c r="D31" s="1265">
        <v>40000</v>
      </c>
      <c r="E31" s="1265">
        <v>40000</v>
      </c>
      <c r="F31" s="1265">
        <f>[2]Knihovna!$B$20</f>
        <v>40000</v>
      </c>
      <c r="G31" s="1266">
        <f t="shared" si="0"/>
        <v>0</v>
      </c>
      <c r="H31" s="1256"/>
      <c r="I31" s="1095"/>
      <c r="J31" s="987"/>
    </row>
    <row r="32" spans="1:10" ht="18" customHeight="1" outlineLevel="1" x14ac:dyDescent="0.25">
      <c r="A32" s="1267">
        <v>3314</v>
      </c>
      <c r="B32" s="1268">
        <v>5139</v>
      </c>
      <c r="C32" s="1269"/>
      <c r="D32" s="1270">
        <v>0</v>
      </c>
      <c r="E32" s="1270">
        <v>0</v>
      </c>
      <c r="F32" s="1270">
        <f>[2]Knihovna!$B$21</f>
        <v>0</v>
      </c>
      <c r="G32" s="1275">
        <f t="shared" si="0"/>
        <v>0</v>
      </c>
      <c r="H32" s="1256"/>
      <c r="I32" s="1095"/>
      <c r="J32" s="987"/>
    </row>
    <row r="33" spans="1:10" s="979" customFormat="1" ht="18" customHeight="1" thickBot="1" x14ac:dyDescent="0.3">
      <c r="A33" s="2731" t="s">
        <v>1184</v>
      </c>
      <c r="B33" s="2732"/>
      <c r="C33" s="1924"/>
      <c r="D33" s="1925">
        <v>40000</v>
      </c>
      <c r="E33" s="1925">
        <v>40000</v>
      </c>
      <c r="F33" s="1925">
        <f t="shared" ref="F33" si="8">SUM(F31:F32)</f>
        <v>40000</v>
      </c>
      <c r="G33" s="1926">
        <f t="shared" si="0"/>
        <v>0</v>
      </c>
      <c r="H33" s="954">
        <f>'Výdaje kapitol celkem'!Y22</f>
        <v>40000</v>
      </c>
      <c r="I33" s="1095">
        <f>+H33-F33</f>
        <v>0</v>
      </c>
      <c r="J33" s="987"/>
    </row>
    <row r="34" spans="1:10" ht="18" hidden="1" customHeight="1" outlineLevel="1" x14ac:dyDescent="0.25">
      <c r="A34" s="1262">
        <v>3349</v>
      </c>
      <c r="B34" s="1263">
        <v>5139</v>
      </c>
      <c r="C34" s="1264"/>
      <c r="D34" s="1265"/>
      <c r="E34" s="1265"/>
      <c r="F34" s="1265"/>
      <c r="G34" s="1266">
        <f t="shared" si="0"/>
        <v>0</v>
      </c>
      <c r="H34" s="1256"/>
      <c r="I34" s="1095"/>
      <c r="J34" s="987"/>
    </row>
    <row r="35" spans="1:10" s="979" customFormat="1" ht="18" customHeight="1" collapsed="1" thickBot="1" x14ac:dyDescent="0.3">
      <c r="A35" s="2731" t="s">
        <v>1210</v>
      </c>
      <c r="B35" s="2732"/>
      <c r="C35" s="1924"/>
      <c r="D35" s="1925">
        <v>0</v>
      </c>
      <c r="E35" s="1925">
        <v>0</v>
      </c>
      <c r="F35" s="1925">
        <f t="shared" ref="F35" si="9">SUM(F34)</f>
        <v>0</v>
      </c>
      <c r="G35" s="1926">
        <f t="shared" si="0"/>
        <v>0</v>
      </c>
      <c r="H35" s="954">
        <f>'Výdaje kapitol celkem'!Z22</f>
        <v>0</v>
      </c>
      <c r="I35" s="1095">
        <f>+H35-F35</f>
        <v>0</v>
      </c>
      <c r="J35" s="987"/>
    </row>
    <row r="36" spans="1:10" ht="18" customHeight="1" outlineLevel="1" x14ac:dyDescent="0.25">
      <c r="A36" s="1262">
        <v>3359</v>
      </c>
      <c r="B36" s="1263">
        <v>5139</v>
      </c>
      <c r="C36" s="1264"/>
      <c r="D36" s="1265">
        <v>40000</v>
      </c>
      <c r="E36" s="1265">
        <v>40000</v>
      </c>
      <c r="F36" s="1265">
        <f>[2]Kultura!$B$14</f>
        <v>40000</v>
      </c>
      <c r="G36" s="1266">
        <f t="shared" si="0"/>
        <v>0</v>
      </c>
      <c r="H36" s="1256"/>
      <c r="I36" s="1095"/>
      <c r="J36" s="987"/>
    </row>
    <row r="37" spans="1:10" ht="18" customHeight="1" outlineLevel="1" x14ac:dyDescent="0.25">
      <c r="A37" s="1267">
        <v>3359</v>
      </c>
      <c r="B37" s="1268">
        <v>5139</v>
      </c>
      <c r="C37" s="1269"/>
      <c r="D37" s="1270">
        <v>60000</v>
      </c>
      <c r="E37" s="1270">
        <v>60000</v>
      </c>
      <c r="F37" s="1270">
        <f>[2]Kultura!$B$15</f>
        <v>60000</v>
      </c>
      <c r="G37" s="1271">
        <f t="shared" si="0"/>
        <v>0</v>
      </c>
      <c r="H37" s="1256"/>
      <c r="I37" s="1095"/>
      <c r="J37" s="987"/>
    </row>
    <row r="38" spans="1:10" ht="18" customHeight="1" outlineLevel="1" x14ac:dyDescent="0.25">
      <c r="A38" s="1277">
        <v>3359</v>
      </c>
      <c r="B38" s="1281">
        <v>5139</v>
      </c>
      <c r="C38" s="1278"/>
      <c r="D38" s="1279"/>
      <c r="E38" s="1279"/>
      <c r="F38" s="1279"/>
      <c r="G38" s="1280">
        <f t="shared" si="0"/>
        <v>0</v>
      </c>
      <c r="H38" s="1256"/>
      <c r="I38" s="1095"/>
      <c r="J38" s="987"/>
    </row>
    <row r="39" spans="1:10" s="979" customFormat="1" ht="18" customHeight="1" thickBot="1" x14ac:dyDescent="0.3">
      <c r="A39" s="2731" t="s">
        <v>1209</v>
      </c>
      <c r="B39" s="2732"/>
      <c r="C39" s="1924"/>
      <c r="D39" s="1925">
        <v>100000</v>
      </c>
      <c r="E39" s="1925">
        <v>100000</v>
      </c>
      <c r="F39" s="1925">
        <f t="shared" ref="F39" si="10">SUM(F36:F38)</f>
        <v>100000</v>
      </c>
      <c r="G39" s="1926">
        <f t="shared" si="0"/>
        <v>0</v>
      </c>
      <c r="H39" s="954">
        <f>'Výdaje kapitol celkem'!AA22</f>
        <v>100000</v>
      </c>
      <c r="I39" s="1095">
        <f>+H39-F39</f>
        <v>0</v>
      </c>
      <c r="J39" s="987"/>
    </row>
    <row r="40" spans="1:10" outlineLevel="1" x14ac:dyDescent="0.25">
      <c r="A40" s="1262">
        <v>3612</v>
      </c>
      <c r="B40" s="1263">
        <v>5139</v>
      </c>
      <c r="C40" s="1264"/>
      <c r="D40" s="1265">
        <v>50000</v>
      </c>
      <c r="E40" s="1265">
        <v>50000</v>
      </c>
      <c r="F40" s="1265">
        <f>[3]Byty!$B$12</f>
        <v>50000</v>
      </c>
      <c r="G40" s="1266">
        <f t="shared" si="0"/>
        <v>0</v>
      </c>
      <c r="H40" s="1256"/>
      <c r="I40" s="1095"/>
      <c r="J40" s="987"/>
    </row>
    <row r="41" spans="1:10" ht="18" customHeight="1" outlineLevel="1" x14ac:dyDescent="0.25">
      <c r="A41" s="1267">
        <v>3612</v>
      </c>
      <c r="B41" s="1268">
        <v>5139</v>
      </c>
      <c r="C41" s="1269"/>
      <c r="D41" s="1270"/>
      <c r="E41" s="1270"/>
      <c r="F41" s="1270">
        <f>[3]Byty!$B$13</f>
        <v>0</v>
      </c>
      <c r="G41" s="1271">
        <f t="shared" si="0"/>
        <v>0</v>
      </c>
      <c r="H41" s="1256"/>
      <c r="I41" s="1095"/>
      <c r="J41" s="987"/>
    </row>
    <row r="42" spans="1:10" s="979" customFormat="1" ht="18" customHeight="1" thickBot="1" x14ac:dyDescent="0.3">
      <c r="A42" s="2731" t="s">
        <v>201</v>
      </c>
      <c r="B42" s="2732"/>
      <c r="C42" s="1924"/>
      <c r="D42" s="1925">
        <v>50000</v>
      </c>
      <c r="E42" s="1925">
        <v>50000</v>
      </c>
      <c r="F42" s="1925">
        <f t="shared" ref="F42" si="11">SUM(F40:F41)</f>
        <v>50000</v>
      </c>
      <c r="G42" s="1926">
        <f t="shared" si="0"/>
        <v>0</v>
      </c>
      <c r="H42" s="954">
        <f>'Výdaje kapitol celkem'!AB22</f>
        <v>50000</v>
      </c>
      <c r="I42" s="1095">
        <f>+H42-F42</f>
        <v>0</v>
      </c>
      <c r="J42" s="987"/>
    </row>
    <row r="43" spans="1:10" outlineLevel="1" x14ac:dyDescent="0.25">
      <c r="A43" s="1277" t="s">
        <v>200</v>
      </c>
      <c r="B43" s="1281">
        <v>5139</v>
      </c>
      <c r="C43" s="1278"/>
      <c r="D43" s="1279">
        <v>80000</v>
      </c>
      <c r="E43" s="1279">
        <v>80000</v>
      </c>
      <c r="F43" s="1279">
        <f>[3]DPS!$B$13</f>
        <v>80000</v>
      </c>
      <c r="G43" s="1280">
        <f t="shared" si="0"/>
        <v>0</v>
      </c>
      <c r="H43" s="1256"/>
      <c r="I43" s="1095"/>
      <c r="J43" s="987"/>
    </row>
    <row r="44" spans="1:10" outlineLevel="1" x14ac:dyDescent="0.25">
      <c r="A44" s="1277" t="s">
        <v>200</v>
      </c>
      <c r="B44" s="1281">
        <v>5139</v>
      </c>
      <c r="C44" s="1278"/>
      <c r="D44" s="1279">
        <v>20000</v>
      </c>
      <c r="E44" s="1279">
        <v>20000</v>
      </c>
      <c r="F44" s="1279">
        <f>[3]DPS!$B$14</f>
        <v>20000</v>
      </c>
      <c r="G44" s="1280">
        <f t="shared" si="0"/>
        <v>0</v>
      </c>
      <c r="H44" s="1256"/>
      <c r="I44" s="1095"/>
      <c r="J44" s="987"/>
    </row>
    <row r="45" spans="1:10" ht="18" customHeight="1" thickBot="1" x14ac:dyDescent="0.3">
      <c r="A45" s="2731" t="s">
        <v>202</v>
      </c>
      <c r="B45" s="2732"/>
      <c r="C45" s="1924"/>
      <c r="D45" s="1925">
        <v>100000</v>
      </c>
      <c r="E45" s="1925">
        <v>100000</v>
      </c>
      <c r="F45" s="1925">
        <f t="shared" ref="F45" si="12">SUM(F43:F44)</f>
        <v>100000</v>
      </c>
      <c r="G45" s="1926">
        <f t="shared" si="0"/>
        <v>0</v>
      </c>
      <c r="H45" s="954">
        <f>'Výdaje kapitol celkem'!AE22</f>
        <v>100000</v>
      </c>
      <c r="I45" s="1095">
        <f>+H45-F45</f>
        <v>0</v>
      </c>
      <c r="J45" s="987"/>
    </row>
    <row r="46" spans="1:10" ht="18" hidden="1" customHeight="1" outlineLevel="1" x14ac:dyDescent="0.25">
      <c r="A46" s="1267" t="s">
        <v>1262</v>
      </c>
      <c r="B46" s="1268">
        <v>5139</v>
      </c>
      <c r="C46" s="1269"/>
      <c r="D46" s="1270">
        <v>0</v>
      </c>
      <c r="E46" s="1270">
        <v>0</v>
      </c>
      <c r="F46" s="1270">
        <f>'[3]Hotel Budka'!$B$12</f>
        <v>0</v>
      </c>
      <c r="G46" s="1275">
        <f t="shared" si="0"/>
        <v>0</v>
      </c>
      <c r="H46" s="1256"/>
      <c r="I46" s="1095"/>
      <c r="J46" s="987"/>
    </row>
    <row r="47" spans="1:10" ht="18" hidden="1" customHeight="1" outlineLevel="1" x14ac:dyDescent="0.25">
      <c r="A47" s="1277" t="s">
        <v>1262</v>
      </c>
      <c r="B47" s="1281">
        <v>5139</v>
      </c>
      <c r="C47" s="1278"/>
      <c r="D47" s="1279"/>
      <c r="E47" s="1279"/>
      <c r="F47" s="1279">
        <f>'[3]Hotel Budka'!$B$13</f>
        <v>0</v>
      </c>
      <c r="G47" s="1282">
        <f t="shared" si="0"/>
        <v>0</v>
      </c>
      <c r="H47" s="1256"/>
      <c r="I47" s="1095"/>
      <c r="J47" s="987"/>
    </row>
    <row r="48" spans="1:10" ht="18" customHeight="1" collapsed="1" thickBot="1" x14ac:dyDescent="0.3">
      <c r="A48" s="2731" t="s">
        <v>1450</v>
      </c>
      <c r="B48" s="2732"/>
      <c r="C48" s="1924"/>
      <c r="D48" s="1925">
        <v>0</v>
      </c>
      <c r="E48" s="1925">
        <v>0</v>
      </c>
      <c r="F48" s="1925">
        <f t="shared" ref="F48" si="13">SUM(F46:F47)</f>
        <v>0</v>
      </c>
      <c r="G48" s="1926">
        <f t="shared" si="0"/>
        <v>0</v>
      </c>
      <c r="H48" s="954">
        <f>'Výdaje kapitol celkem'!X22</f>
        <v>0</v>
      </c>
      <c r="I48" s="1095">
        <f>+H48-F48</f>
        <v>0</v>
      </c>
      <c r="J48" s="987"/>
    </row>
    <row r="49" spans="1:10" ht="18" hidden="1" customHeight="1" outlineLevel="1" x14ac:dyDescent="0.25">
      <c r="A49" s="1267">
        <v>3613</v>
      </c>
      <c r="B49" s="1268">
        <v>5139</v>
      </c>
      <c r="C49" s="1269"/>
      <c r="D49" s="1270"/>
      <c r="E49" s="1270"/>
      <c r="F49" s="1270"/>
      <c r="G49" s="1275">
        <f t="shared" si="0"/>
        <v>0</v>
      </c>
      <c r="H49" s="1256"/>
      <c r="I49" s="1095"/>
      <c r="J49" s="987"/>
    </row>
    <row r="50" spans="1:10" ht="18" hidden="1" customHeight="1" outlineLevel="1" x14ac:dyDescent="0.25">
      <c r="A50" s="1277">
        <v>3613</v>
      </c>
      <c r="B50" s="1281">
        <v>5139</v>
      </c>
      <c r="C50" s="1278"/>
      <c r="D50" s="1279"/>
      <c r="E50" s="1279"/>
      <c r="F50" s="1279"/>
      <c r="G50" s="1282">
        <f t="shared" si="0"/>
        <v>0</v>
      </c>
      <c r="H50" s="1256"/>
      <c r="I50" s="1095"/>
      <c r="J50" s="987"/>
    </row>
    <row r="51" spans="1:10" ht="18" customHeight="1" collapsed="1" thickBot="1" x14ac:dyDescent="0.3">
      <c r="A51" s="2731" t="s">
        <v>203</v>
      </c>
      <c r="B51" s="2732"/>
      <c r="C51" s="1924"/>
      <c r="D51" s="1925">
        <v>0</v>
      </c>
      <c r="E51" s="1925">
        <v>0</v>
      </c>
      <c r="F51" s="1925">
        <f t="shared" ref="F51" si="14">SUM(F49:F50)</f>
        <v>0</v>
      </c>
      <c r="G51" s="1926">
        <f t="shared" si="0"/>
        <v>0</v>
      </c>
      <c r="H51" s="954">
        <f>'Výdaje kapitol celkem'!AH22</f>
        <v>0</v>
      </c>
      <c r="I51" s="1095">
        <f>+H51-F51</f>
        <v>0</v>
      </c>
      <c r="J51" s="987"/>
    </row>
    <row r="52" spans="1:10" ht="18" customHeight="1" outlineLevel="1" x14ac:dyDescent="0.25">
      <c r="A52" s="1267">
        <v>5512</v>
      </c>
      <c r="B52" s="1268">
        <v>5139</v>
      </c>
      <c r="C52" s="1269"/>
      <c r="D52" s="1270">
        <v>20000</v>
      </c>
      <c r="E52" s="1270">
        <v>20000</v>
      </c>
      <c r="F52" s="1270">
        <f>[3]Hasiči!$B$5</f>
        <v>20000</v>
      </c>
      <c r="G52" s="1275">
        <f t="shared" si="0"/>
        <v>0</v>
      </c>
      <c r="H52" s="1256"/>
      <c r="I52" s="1095"/>
      <c r="J52" s="987"/>
    </row>
    <row r="53" spans="1:10" outlineLevel="1" x14ac:dyDescent="0.25">
      <c r="A53" s="1277">
        <v>5512</v>
      </c>
      <c r="B53" s="1281">
        <v>5139</v>
      </c>
      <c r="C53" s="1278"/>
      <c r="D53" s="1279">
        <v>50000</v>
      </c>
      <c r="E53" s="1279">
        <v>50000</v>
      </c>
      <c r="F53" s="1279">
        <f>[2]Hasiči!$B$20</f>
        <v>50000</v>
      </c>
      <c r="G53" s="1282">
        <f t="shared" si="0"/>
        <v>0</v>
      </c>
      <c r="H53" s="1256"/>
      <c r="I53" s="1095"/>
      <c r="J53" s="987"/>
    </row>
    <row r="54" spans="1:10" ht="18" customHeight="1" outlineLevel="1" x14ac:dyDescent="0.25">
      <c r="A54" s="1277">
        <v>5512</v>
      </c>
      <c r="B54" s="1281">
        <v>5139</v>
      </c>
      <c r="C54" s="1278"/>
      <c r="D54" s="1279"/>
      <c r="E54" s="1279"/>
      <c r="F54" s="1279">
        <f>[2]Hasiči!$B$21</f>
        <v>0</v>
      </c>
      <c r="G54" s="1282">
        <f t="shared" si="0"/>
        <v>0</v>
      </c>
      <c r="H54" s="1256"/>
      <c r="I54" s="1095"/>
      <c r="J54" s="987"/>
    </row>
    <row r="55" spans="1:10" ht="18" customHeight="1" outlineLevel="1" x14ac:dyDescent="0.25">
      <c r="A55" s="1267">
        <v>5512</v>
      </c>
      <c r="B55" s="1268">
        <v>5139</v>
      </c>
      <c r="C55" s="1290"/>
      <c r="D55" s="1291"/>
      <c r="E55" s="1291"/>
      <c r="F55" s="1291"/>
      <c r="G55" s="1282">
        <f t="shared" si="0"/>
        <v>0</v>
      </c>
      <c r="H55" s="1256"/>
      <c r="I55" s="1095"/>
      <c r="J55" s="987"/>
    </row>
    <row r="56" spans="1:10" ht="18" customHeight="1" thickBot="1" x14ac:dyDescent="0.3">
      <c r="A56" s="2731" t="s">
        <v>204</v>
      </c>
      <c r="B56" s="2732"/>
      <c r="C56" s="1924"/>
      <c r="D56" s="1925">
        <v>70000</v>
      </c>
      <c r="E56" s="1925">
        <v>70000</v>
      </c>
      <c r="F56" s="1925">
        <f t="shared" ref="F56" si="15">SUM(F52:F55)</f>
        <v>70000</v>
      </c>
      <c r="G56" s="1926">
        <f t="shared" si="0"/>
        <v>0</v>
      </c>
      <c r="H56" s="954">
        <f>'Výdaje kapitol celkem'!AK22</f>
        <v>70000</v>
      </c>
      <c r="I56" s="1095">
        <f>+H56-F56</f>
        <v>0</v>
      </c>
      <c r="J56" s="987"/>
    </row>
    <row r="57" spans="1:10" ht="18" hidden="1" customHeight="1" outlineLevel="1" x14ac:dyDescent="0.25">
      <c r="A57" s="1267">
        <v>3519</v>
      </c>
      <c r="B57" s="1268">
        <v>5139</v>
      </c>
      <c r="C57" s="1269"/>
      <c r="D57" s="1270"/>
      <c r="E57" s="1270"/>
      <c r="F57" s="1270"/>
      <c r="G57" s="1275">
        <f t="shared" si="0"/>
        <v>0</v>
      </c>
      <c r="H57" s="1256"/>
      <c r="I57" s="1095"/>
      <c r="J57" s="987"/>
    </row>
    <row r="58" spans="1:10" ht="18" hidden="1" customHeight="1" outlineLevel="1" x14ac:dyDescent="0.25">
      <c r="A58" s="1277">
        <v>3519</v>
      </c>
      <c r="B58" s="1281">
        <v>5139</v>
      </c>
      <c r="C58" s="1278"/>
      <c r="D58" s="1279"/>
      <c r="E58" s="1279"/>
      <c r="F58" s="1279"/>
      <c r="G58" s="1282">
        <f t="shared" si="0"/>
        <v>0</v>
      </c>
      <c r="H58" s="1256"/>
      <c r="I58" s="1095"/>
      <c r="J58" s="987"/>
    </row>
    <row r="59" spans="1:10" ht="18" customHeight="1" collapsed="1" thickBot="1" x14ac:dyDescent="0.3">
      <c r="A59" s="2731" t="s">
        <v>205</v>
      </c>
      <c r="B59" s="2732"/>
      <c r="C59" s="1924"/>
      <c r="D59" s="1925">
        <v>0</v>
      </c>
      <c r="E59" s="1925">
        <v>0</v>
      </c>
      <c r="F59" s="1925">
        <f t="shared" ref="F59" si="16">SUM(F57:F58)</f>
        <v>0</v>
      </c>
      <c r="G59" s="1926">
        <f t="shared" si="0"/>
        <v>0</v>
      </c>
      <c r="H59" s="954">
        <f>'Výdaje kapitol celkem'!AL22</f>
        <v>0</v>
      </c>
      <c r="I59" s="1095">
        <f>+H59-F59</f>
        <v>0</v>
      </c>
      <c r="J59" s="987"/>
    </row>
    <row r="60" spans="1:10" ht="18" customHeight="1" outlineLevel="1" x14ac:dyDescent="0.25">
      <c r="A60" s="1267">
        <v>3631</v>
      </c>
      <c r="B60" s="1268">
        <v>5139</v>
      </c>
      <c r="C60" s="1269"/>
      <c r="D60" s="1270">
        <v>20000</v>
      </c>
      <c r="E60" s="1270">
        <v>20000</v>
      </c>
      <c r="F60" s="1270">
        <f>[3]VO!$B$5</f>
        <v>20000</v>
      </c>
      <c r="G60" s="1275">
        <f t="shared" si="0"/>
        <v>0</v>
      </c>
      <c r="H60" s="1256"/>
      <c r="I60" s="1095"/>
      <c r="J60" s="987"/>
    </row>
    <row r="61" spans="1:10" ht="18" customHeight="1" outlineLevel="1" x14ac:dyDescent="0.25">
      <c r="A61" s="1267">
        <v>3631</v>
      </c>
      <c r="B61" s="1268">
        <v>5139</v>
      </c>
      <c r="C61" s="1269"/>
      <c r="D61" s="1270">
        <v>60000</v>
      </c>
      <c r="E61" s="1270">
        <v>60000</v>
      </c>
      <c r="F61" s="1270">
        <f>[3]VO!$B$6</f>
        <v>60000</v>
      </c>
      <c r="G61" s="1275">
        <f t="shared" si="0"/>
        <v>0</v>
      </c>
      <c r="H61" s="1256"/>
      <c r="I61" s="1095"/>
      <c r="J61" s="987"/>
    </row>
    <row r="62" spans="1:10" ht="18" customHeight="1" outlineLevel="1" x14ac:dyDescent="0.25">
      <c r="A62" s="1277">
        <v>3631</v>
      </c>
      <c r="B62" s="1281">
        <v>5139</v>
      </c>
      <c r="C62" s="1269"/>
      <c r="D62" s="1270">
        <v>70000</v>
      </c>
      <c r="E62" s="1270">
        <v>70000</v>
      </c>
      <c r="F62" s="1270">
        <f>[3]VO!$B$7</f>
        <v>70000</v>
      </c>
      <c r="G62" s="1275">
        <f t="shared" si="0"/>
        <v>0</v>
      </c>
      <c r="H62" s="1256"/>
      <c r="I62" s="1095"/>
      <c r="J62" s="987"/>
    </row>
    <row r="63" spans="1:10" ht="18" customHeight="1" outlineLevel="1" x14ac:dyDescent="0.25">
      <c r="A63" s="1277">
        <v>3631</v>
      </c>
      <c r="B63" s="1281">
        <v>5139</v>
      </c>
      <c r="C63" s="1278"/>
      <c r="D63" s="1279"/>
      <c r="E63" s="1279"/>
      <c r="F63" s="1279"/>
      <c r="G63" s="1282">
        <f t="shared" si="0"/>
        <v>0</v>
      </c>
      <c r="H63" s="1256"/>
      <c r="I63" s="1095"/>
      <c r="J63" s="987"/>
    </row>
    <row r="64" spans="1:10" ht="18" customHeight="1" thickBot="1" x14ac:dyDescent="0.3">
      <c r="A64" s="2731" t="s">
        <v>632</v>
      </c>
      <c r="B64" s="2732"/>
      <c r="C64" s="1924"/>
      <c r="D64" s="1925">
        <v>150000</v>
      </c>
      <c r="E64" s="1925">
        <v>150000</v>
      </c>
      <c r="F64" s="1925">
        <f t="shared" ref="F64" si="17">SUM(F60:F63)</f>
        <v>150000</v>
      </c>
      <c r="G64" s="1926">
        <f t="shared" si="0"/>
        <v>0</v>
      </c>
      <c r="H64" s="954">
        <f>'Výdaje kapitol celkem'!BZ22</f>
        <v>150000</v>
      </c>
      <c r="I64" s="1095">
        <f>+H64-F64</f>
        <v>0</v>
      </c>
      <c r="J64" s="987"/>
    </row>
    <row r="65" spans="1:10" ht="18" hidden="1" customHeight="1" outlineLevel="1" x14ac:dyDescent="0.25">
      <c r="A65" s="1267">
        <v>3429</v>
      </c>
      <c r="B65" s="1268">
        <v>5139</v>
      </c>
      <c r="C65" s="1269"/>
      <c r="D65" s="1270"/>
      <c r="E65" s="1270"/>
      <c r="F65" s="1270"/>
      <c r="G65" s="1275">
        <f t="shared" si="0"/>
        <v>0</v>
      </c>
      <c r="H65" s="1256"/>
      <c r="I65" s="1095"/>
      <c r="J65" s="987"/>
    </row>
    <row r="66" spans="1:10" ht="18" hidden="1" customHeight="1" outlineLevel="1" x14ac:dyDescent="0.25">
      <c r="A66" s="1277">
        <v>3429</v>
      </c>
      <c r="B66" s="1281">
        <v>5139</v>
      </c>
      <c r="C66" s="1269"/>
      <c r="D66" s="1270"/>
      <c r="E66" s="1270"/>
      <c r="F66" s="1270"/>
      <c r="G66" s="1275">
        <f t="shared" si="0"/>
        <v>0</v>
      </c>
      <c r="H66" s="1256"/>
      <c r="I66" s="1095"/>
      <c r="J66" s="987"/>
    </row>
    <row r="67" spans="1:10" ht="18" hidden="1" customHeight="1" outlineLevel="1" x14ac:dyDescent="0.25">
      <c r="A67" s="1277">
        <v>3429</v>
      </c>
      <c r="B67" s="1281">
        <v>5139</v>
      </c>
      <c r="C67" s="1278"/>
      <c r="D67" s="1283"/>
      <c r="E67" s="1283"/>
      <c r="F67" s="1283"/>
      <c r="G67" s="1282">
        <f t="shared" si="0"/>
        <v>0</v>
      </c>
      <c r="H67" s="1256"/>
      <c r="I67" s="1095"/>
      <c r="J67" s="987"/>
    </row>
    <row r="68" spans="1:10" ht="18" customHeight="1" collapsed="1" thickBot="1" x14ac:dyDescent="0.3">
      <c r="A68" s="2731" t="s">
        <v>1215</v>
      </c>
      <c r="B68" s="2732"/>
      <c r="C68" s="1924"/>
      <c r="D68" s="1925">
        <v>0</v>
      </c>
      <c r="E68" s="1925">
        <v>0</v>
      </c>
      <c r="F68" s="1925">
        <f t="shared" ref="F68" si="18">SUM(F65:F67)</f>
        <v>0</v>
      </c>
      <c r="G68" s="1926">
        <f t="shared" si="0"/>
        <v>0</v>
      </c>
      <c r="H68" s="954">
        <f>'Výdaje kapitol celkem'!AM22</f>
        <v>0</v>
      </c>
      <c r="I68" s="1095">
        <f>+H68-F68</f>
        <v>0</v>
      </c>
      <c r="J68" s="987"/>
    </row>
    <row r="69" spans="1:10" ht="18" customHeight="1" outlineLevel="1" x14ac:dyDescent="0.25">
      <c r="A69" s="1267">
        <v>3632</v>
      </c>
      <c r="B69" s="1268">
        <v>5139</v>
      </c>
      <c r="C69" s="1269"/>
      <c r="D69" s="1270">
        <v>30000</v>
      </c>
      <c r="E69" s="1270">
        <v>30000</v>
      </c>
      <c r="F69" s="1270">
        <f>[3]Hřbitov!$B$5</f>
        <v>30000</v>
      </c>
      <c r="G69" s="1275">
        <f t="shared" si="0"/>
        <v>0</v>
      </c>
      <c r="H69" s="1256"/>
      <c r="I69" s="1095"/>
      <c r="J69" s="987"/>
    </row>
    <row r="70" spans="1:10" ht="18" customHeight="1" outlineLevel="1" x14ac:dyDescent="0.25">
      <c r="A70" s="1277">
        <v>3632</v>
      </c>
      <c r="B70" s="1281">
        <v>5139</v>
      </c>
      <c r="C70" s="1269"/>
      <c r="D70" s="1270">
        <v>20000</v>
      </c>
      <c r="E70" s="1270">
        <v>20000</v>
      </c>
      <c r="F70" s="1270">
        <f>[3]Hřbitov!$B$6</f>
        <v>20000</v>
      </c>
      <c r="G70" s="1275">
        <f t="shared" ref="G70:G133" si="19">+F70-E70</f>
        <v>0</v>
      </c>
      <c r="H70" s="1256"/>
      <c r="I70" s="1095"/>
      <c r="J70" s="987"/>
    </row>
    <row r="71" spans="1:10" ht="18" customHeight="1" outlineLevel="1" x14ac:dyDescent="0.25">
      <c r="A71" s="1277">
        <v>3632</v>
      </c>
      <c r="B71" s="1281">
        <v>5139</v>
      </c>
      <c r="C71" s="1278"/>
      <c r="D71" s="1283"/>
      <c r="E71" s="1283"/>
      <c r="F71" s="1283"/>
      <c r="G71" s="1282">
        <f t="shared" si="19"/>
        <v>0</v>
      </c>
      <c r="H71" s="1256"/>
      <c r="I71" s="1095"/>
      <c r="J71" s="987"/>
    </row>
    <row r="72" spans="1:10" ht="18" customHeight="1" thickBot="1" x14ac:dyDescent="0.3">
      <c r="A72" s="2731" t="s">
        <v>254</v>
      </c>
      <c r="B72" s="2732"/>
      <c r="C72" s="1924"/>
      <c r="D72" s="1925">
        <v>50000</v>
      </c>
      <c r="E72" s="1925">
        <v>50000</v>
      </c>
      <c r="F72" s="1925">
        <f t="shared" ref="F72" si="20">SUM(F69:F71)</f>
        <v>50000</v>
      </c>
      <c r="G72" s="1926">
        <f t="shared" si="19"/>
        <v>0</v>
      </c>
      <c r="H72" s="954">
        <f>'Výdaje kapitol celkem'!AN22</f>
        <v>50000</v>
      </c>
      <c r="I72" s="1095">
        <f>+H72-F72</f>
        <v>0</v>
      </c>
      <c r="J72" s="987"/>
    </row>
    <row r="73" spans="1:10" ht="18" hidden="1" customHeight="1" outlineLevel="1" x14ac:dyDescent="0.25">
      <c r="A73" s="1267">
        <v>3412</v>
      </c>
      <c r="B73" s="1268">
        <v>5139</v>
      </c>
      <c r="C73" s="1269"/>
      <c r="D73" s="1270"/>
      <c r="E73" s="1270"/>
      <c r="F73" s="1270"/>
      <c r="G73" s="1275">
        <f t="shared" si="19"/>
        <v>0</v>
      </c>
      <c r="H73" s="1256"/>
      <c r="I73" s="1095"/>
      <c r="J73" s="987"/>
    </row>
    <row r="74" spans="1:10" ht="18" hidden="1" customHeight="1" outlineLevel="1" x14ac:dyDescent="0.25">
      <c r="A74" s="1277">
        <v>3412</v>
      </c>
      <c r="B74" s="1281">
        <v>5139</v>
      </c>
      <c r="C74" s="1269"/>
      <c r="D74" s="1270"/>
      <c r="E74" s="1270"/>
      <c r="F74" s="1270"/>
      <c r="G74" s="1275">
        <f t="shared" si="19"/>
        <v>0</v>
      </c>
      <c r="H74" s="1256"/>
      <c r="I74" s="1095"/>
      <c r="J74" s="987"/>
    </row>
    <row r="75" spans="1:10" ht="18" customHeight="1" collapsed="1" thickBot="1" x14ac:dyDescent="0.3">
      <c r="A75" s="2731" t="s">
        <v>627</v>
      </c>
      <c r="B75" s="2732"/>
      <c r="C75" s="1924"/>
      <c r="D75" s="1925">
        <v>0</v>
      </c>
      <c r="E75" s="1925">
        <v>0</v>
      </c>
      <c r="F75" s="1925">
        <f t="shared" ref="F75" si="21">SUM(F73:F74)</f>
        <v>0</v>
      </c>
      <c r="G75" s="1926">
        <f t="shared" si="19"/>
        <v>0</v>
      </c>
      <c r="H75" s="954">
        <f>'Výdaje kapitol celkem'!AQ22</f>
        <v>0</v>
      </c>
      <c r="I75" s="1095">
        <f>+H75-F75</f>
        <v>0</v>
      </c>
      <c r="J75" s="987"/>
    </row>
    <row r="76" spans="1:10" ht="18" hidden="1" customHeight="1" outlineLevel="1" x14ac:dyDescent="0.25">
      <c r="A76" s="1292">
        <v>3113</v>
      </c>
      <c r="B76" s="1293">
        <v>5139</v>
      </c>
      <c r="C76" s="1290"/>
      <c r="D76" s="1291"/>
      <c r="E76" s="1291"/>
      <c r="F76" s="1291"/>
      <c r="G76" s="1294">
        <f t="shared" si="19"/>
        <v>0</v>
      </c>
      <c r="H76" s="1256"/>
      <c r="I76" s="1095"/>
      <c r="J76" s="987"/>
    </row>
    <row r="77" spans="1:10" ht="18" hidden="1" customHeight="1" outlineLevel="1" x14ac:dyDescent="0.25">
      <c r="A77" s="1295">
        <v>3113</v>
      </c>
      <c r="B77" s="1296">
        <v>5139</v>
      </c>
      <c r="C77" s="1278"/>
      <c r="D77" s="1279"/>
      <c r="E77" s="1279"/>
      <c r="F77" s="1279"/>
      <c r="G77" s="1282">
        <f t="shared" si="19"/>
        <v>0</v>
      </c>
      <c r="H77" s="1256"/>
      <c r="I77" s="1095"/>
      <c r="J77" s="987"/>
    </row>
    <row r="78" spans="1:10" ht="18" hidden="1" customHeight="1" outlineLevel="1" x14ac:dyDescent="0.25">
      <c r="A78" s="1295">
        <v>3113</v>
      </c>
      <c r="B78" s="1296">
        <v>5139</v>
      </c>
      <c r="C78" s="1278"/>
      <c r="D78" s="1279"/>
      <c r="E78" s="1279"/>
      <c r="F78" s="1279"/>
      <c r="G78" s="1282">
        <f t="shared" si="19"/>
        <v>0</v>
      </c>
      <c r="H78" s="1256"/>
      <c r="I78" s="1095"/>
      <c r="J78" s="987"/>
    </row>
    <row r="79" spans="1:10" ht="18" hidden="1" customHeight="1" outlineLevel="1" x14ac:dyDescent="0.25">
      <c r="A79" s="1295">
        <v>3113</v>
      </c>
      <c r="B79" s="1296">
        <v>5139</v>
      </c>
      <c r="C79" s="1290"/>
      <c r="D79" s="1291"/>
      <c r="E79" s="1291"/>
      <c r="F79" s="1291"/>
      <c r="G79" s="1275">
        <f t="shared" si="19"/>
        <v>0</v>
      </c>
      <c r="H79" s="1256"/>
      <c r="I79" s="1095"/>
      <c r="J79" s="987"/>
    </row>
    <row r="80" spans="1:10" ht="18" customHeight="1" collapsed="1" thickBot="1" x14ac:dyDescent="0.3">
      <c r="A80" s="2731" t="s">
        <v>206</v>
      </c>
      <c r="B80" s="2732"/>
      <c r="C80" s="1924"/>
      <c r="D80" s="1925">
        <v>0</v>
      </c>
      <c r="E80" s="1925">
        <v>0</v>
      </c>
      <c r="F80" s="1925">
        <f t="shared" ref="F80" si="22">SUM(F76:F79)</f>
        <v>0</v>
      </c>
      <c r="G80" s="1926">
        <f t="shared" si="19"/>
        <v>0</v>
      </c>
      <c r="H80" s="954">
        <f>'Výdaje kapitol celkem'!AZ22</f>
        <v>0</v>
      </c>
      <c r="I80" s="1095">
        <f>+H80-F80</f>
        <v>0</v>
      </c>
      <c r="J80" s="987"/>
    </row>
    <row r="81" spans="1:10" ht="18" hidden="1" customHeight="1" outlineLevel="1" x14ac:dyDescent="0.25">
      <c r="A81" s="1292">
        <v>3114</v>
      </c>
      <c r="B81" s="1293">
        <v>5139</v>
      </c>
      <c r="C81" s="1290"/>
      <c r="D81" s="1291"/>
      <c r="E81" s="1291"/>
      <c r="F81" s="1291"/>
      <c r="G81" s="1275">
        <f t="shared" si="19"/>
        <v>0</v>
      </c>
      <c r="H81" s="1256"/>
      <c r="I81" s="1095"/>
      <c r="J81" s="987"/>
    </row>
    <row r="82" spans="1:10" ht="18" hidden="1" customHeight="1" outlineLevel="1" x14ac:dyDescent="0.25">
      <c r="A82" s="1295">
        <v>3114</v>
      </c>
      <c r="B82" s="1296">
        <v>5139</v>
      </c>
      <c r="C82" s="1297"/>
      <c r="D82" s="1298"/>
      <c r="E82" s="1298"/>
      <c r="F82" s="1298"/>
      <c r="G82" s="1275">
        <f t="shared" si="19"/>
        <v>0</v>
      </c>
      <c r="H82" s="1256"/>
      <c r="I82" s="1095"/>
      <c r="J82" s="987"/>
    </row>
    <row r="83" spans="1:10" ht="18" customHeight="1" collapsed="1" thickBot="1" x14ac:dyDescent="0.3">
      <c r="A83" s="2731" t="s">
        <v>207</v>
      </c>
      <c r="B83" s="2732"/>
      <c r="C83" s="1924"/>
      <c r="D83" s="1925">
        <v>0</v>
      </c>
      <c r="E83" s="1925">
        <v>0</v>
      </c>
      <c r="F83" s="1925">
        <f t="shared" ref="F83" si="23">SUM(F81:F82)</f>
        <v>0</v>
      </c>
      <c r="G83" s="1926">
        <f t="shared" si="19"/>
        <v>0</v>
      </c>
      <c r="H83" s="954">
        <f>'Výdaje kapitol celkem'!BI22</f>
        <v>0</v>
      </c>
      <c r="I83" s="1095">
        <f>+H83-F83</f>
        <v>0</v>
      </c>
      <c r="J83" s="987"/>
    </row>
    <row r="84" spans="1:10" ht="18" hidden="1" customHeight="1" outlineLevel="1" x14ac:dyDescent="0.25">
      <c r="A84" s="1292" t="s">
        <v>193</v>
      </c>
      <c r="B84" s="1293">
        <v>5139</v>
      </c>
      <c r="C84" s="1290"/>
      <c r="D84" s="1291"/>
      <c r="E84" s="1291"/>
      <c r="F84" s="1291"/>
      <c r="G84" s="1275">
        <f t="shared" si="19"/>
        <v>0</v>
      </c>
      <c r="H84" s="1256"/>
      <c r="I84" s="1095"/>
      <c r="J84" s="987"/>
    </row>
    <row r="85" spans="1:10" ht="18" hidden="1" customHeight="1" outlineLevel="1" x14ac:dyDescent="0.25">
      <c r="A85" s="1295" t="s">
        <v>193</v>
      </c>
      <c r="B85" s="1296">
        <v>5139</v>
      </c>
      <c r="C85" s="1297"/>
      <c r="D85" s="1299"/>
      <c r="E85" s="1299"/>
      <c r="F85" s="1299"/>
      <c r="G85" s="1282">
        <f t="shared" si="19"/>
        <v>0</v>
      </c>
      <c r="H85" s="1256"/>
      <c r="I85" s="1095"/>
      <c r="J85" s="987"/>
    </row>
    <row r="86" spans="1:10" ht="18" customHeight="1" collapsed="1" thickBot="1" x14ac:dyDescent="0.3">
      <c r="A86" s="2731" t="s">
        <v>208</v>
      </c>
      <c r="B86" s="2732"/>
      <c r="C86" s="1924"/>
      <c r="D86" s="1925">
        <v>0</v>
      </c>
      <c r="E86" s="1925">
        <v>0</v>
      </c>
      <c r="F86" s="1925">
        <f t="shared" ref="F86" si="24">SUM(F84:F85)</f>
        <v>0</v>
      </c>
      <c r="G86" s="1926">
        <f t="shared" si="19"/>
        <v>0</v>
      </c>
      <c r="H86" s="954">
        <f>'Výdaje kapitol celkem'!BO22</f>
        <v>0</v>
      </c>
      <c r="I86" s="1095">
        <f>+H86-F86</f>
        <v>0</v>
      </c>
      <c r="J86" s="987"/>
    </row>
    <row r="87" spans="1:10" ht="18" hidden="1" customHeight="1" outlineLevel="1" x14ac:dyDescent="0.25">
      <c r="A87" s="1292" t="s">
        <v>194</v>
      </c>
      <c r="B87" s="1293">
        <v>5139</v>
      </c>
      <c r="C87" s="1290"/>
      <c r="D87" s="1291"/>
      <c r="E87" s="1291"/>
      <c r="F87" s="1291"/>
      <c r="G87" s="1275">
        <f t="shared" si="19"/>
        <v>0</v>
      </c>
      <c r="H87" s="1256"/>
      <c r="I87" s="1095"/>
      <c r="J87" s="987"/>
    </row>
    <row r="88" spans="1:10" ht="18" hidden="1" customHeight="1" outlineLevel="1" x14ac:dyDescent="0.25">
      <c r="A88" s="1295" t="s">
        <v>194</v>
      </c>
      <c r="B88" s="1296">
        <v>5139</v>
      </c>
      <c r="C88" s="1297"/>
      <c r="D88" s="1298"/>
      <c r="E88" s="1298"/>
      <c r="F88" s="1298"/>
      <c r="G88" s="1282">
        <f t="shared" si="19"/>
        <v>0</v>
      </c>
      <c r="H88" s="1256"/>
      <c r="I88" s="1095"/>
      <c r="J88" s="987"/>
    </row>
    <row r="89" spans="1:10" ht="18" customHeight="1" collapsed="1" thickBot="1" x14ac:dyDescent="0.3">
      <c r="A89" s="2731" t="s">
        <v>209</v>
      </c>
      <c r="B89" s="2732"/>
      <c r="C89" s="1924"/>
      <c r="D89" s="1925">
        <v>0</v>
      </c>
      <c r="E89" s="1925">
        <v>0</v>
      </c>
      <c r="F89" s="1925">
        <f t="shared" ref="F89" si="25">SUM(F87:F88)</f>
        <v>0</v>
      </c>
      <c r="G89" s="1926">
        <f t="shared" si="19"/>
        <v>0</v>
      </c>
      <c r="H89" s="954">
        <f>'Výdaje kapitol celkem'!BL22</f>
        <v>0</v>
      </c>
      <c r="I89" s="1095">
        <f>+H89-F89</f>
        <v>0</v>
      </c>
      <c r="J89" s="987"/>
    </row>
    <row r="90" spans="1:10" ht="18" hidden="1" customHeight="1" outlineLevel="1" x14ac:dyDescent="0.25">
      <c r="A90" s="1292" t="s">
        <v>219</v>
      </c>
      <c r="B90" s="1293">
        <v>5139</v>
      </c>
      <c r="C90" s="1290"/>
      <c r="D90" s="1265"/>
      <c r="E90" s="1265"/>
      <c r="F90" s="1265"/>
      <c r="G90" s="1275">
        <f t="shared" si="19"/>
        <v>0</v>
      </c>
      <c r="H90" s="1256"/>
      <c r="I90" s="1095"/>
      <c r="J90" s="987"/>
    </row>
    <row r="91" spans="1:10" ht="18" hidden="1" customHeight="1" outlineLevel="1" x14ac:dyDescent="0.25">
      <c r="A91" s="1295" t="s">
        <v>219</v>
      </c>
      <c r="B91" s="1296">
        <v>5139</v>
      </c>
      <c r="C91" s="1297"/>
      <c r="D91" s="1279"/>
      <c r="E91" s="1279"/>
      <c r="F91" s="1279"/>
      <c r="G91" s="1282">
        <f t="shared" si="19"/>
        <v>0</v>
      </c>
      <c r="H91" s="1256"/>
      <c r="I91" s="1095"/>
      <c r="J91" s="987"/>
    </row>
    <row r="92" spans="1:10" ht="18" hidden="1" customHeight="1" outlineLevel="1" x14ac:dyDescent="0.25">
      <c r="A92" s="1295" t="s">
        <v>219</v>
      </c>
      <c r="B92" s="1296">
        <v>5139</v>
      </c>
      <c r="C92" s="1297"/>
      <c r="D92" s="1291"/>
      <c r="E92" s="1291"/>
      <c r="F92" s="1291"/>
      <c r="G92" s="1282">
        <f t="shared" si="19"/>
        <v>0</v>
      </c>
      <c r="H92" s="1256"/>
      <c r="I92" s="1095"/>
      <c r="J92" s="987"/>
    </row>
    <row r="93" spans="1:10" ht="18" customHeight="1" collapsed="1" thickBot="1" x14ac:dyDescent="0.3">
      <c r="A93" s="2731" t="s">
        <v>250</v>
      </c>
      <c r="B93" s="2732"/>
      <c r="C93" s="1924"/>
      <c r="D93" s="1925">
        <v>0</v>
      </c>
      <c r="E93" s="1925">
        <v>0</v>
      </c>
      <c r="F93" s="1925">
        <f t="shared" ref="F93" si="26">SUM(F90:F92)</f>
        <v>0</v>
      </c>
      <c r="G93" s="1926">
        <f t="shared" si="19"/>
        <v>0</v>
      </c>
      <c r="H93" s="954">
        <f>'Výdaje kapitol celkem'!BV22</f>
        <v>0</v>
      </c>
      <c r="I93" s="1095">
        <f>+H93-F93</f>
        <v>0</v>
      </c>
      <c r="J93" s="987"/>
    </row>
    <row r="94" spans="1:10" ht="18" hidden="1" customHeight="1" outlineLevel="1" x14ac:dyDescent="0.25">
      <c r="A94" s="1292">
        <v>3635</v>
      </c>
      <c r="B94" s="1293">
        <v>5139</v>
      </c>
      <c r="C94" s="1290"/>
      <c r="D94" s="1291"/>
      <c r="E94" s="1291"/>
      <c r="F94" s="1291"/>
      <c r="G94" s="1271">
        <f t="shared" si="19"/>
        <v>0</v>
      </c>
      <c r="H94" s="1256"/>
      <c r="I94" s="1095"/>
      <c r="J94" s="987"/>
    </row>
    <row r="95" spans="1:10" ht="18" hidden="1" customHeight="1" outlineLevel="1" x14ac:dyDescent="0.25">
      <c r="A95" s="1295">
        <v>3635</v>
      </c>
      <c r="B95" s="1296">
        <v>5139</v>
      </c>
      <c r="C95" s="1297"/>
      <c r="D95" s="1299"/>
      <c r="E95" s="1299"/>
      <c r="F95" s="1299"/>
      <c r="G95" s="1280">
        <f t="shared" si="19"/>
        <v>0</v>
      </c>
      <c r="H95" s="1256"/>
      <c r="I95" s="1095"/>
      <c r="J95" s="987"/>
    </row>
    <row r="96" spans="1:10" ht="18" customHeight="1" collapsed="1" thickBot="1" x14ac:dyDescent="0.3">
      <c r="A96" s="2731" t="s">
        <v>152</v>
      </c>
      <c r="B96" s="2732"/>
      <c r="C96" s="1924"/>
      <c r="D96" s="1925">
        <v>0</v>
      </c>
      <c r="E96" s="1925">
        <v>0</v>
      </c>
      <c r="F96" s="1925">
        <f t="shared" ref="F96" si="27">SUM(F94:F95)</f>
        <v>0</v>
      </c>
      <c r="G96" s="1926">
        <f t="shared" si="19"/>
        <v>0</v>
      </c>
      <c r="H96" s="954">
        <f>'Výdaje kapitol celkem'!BY22</f>
        <v>0</v>
      </c>
      <c r="I96" s="1095">
        <f>+H96-F96</f>
        <v>0</v>
      </c>
      <c r="J96" s="987"/>
    </row>
    <row r="97" spans="1:10" ht="18" hidden="1" customHeight="1" outlineLevel="1" x14ac:dyDescent="0.25">
      <c r="A97" s="1292" t="s">
        <v>195</v>
      </c>
      <c r="B97" s="1293">
        <v>5139</v>
      </c>
      <c r="C97" s="1290"/>
      <c r="D97" s="1291"/>
      <c r="E97" s="1291"/>
      <c r="F97" s="1291"/>
      <c r="G97" s="1271">
        <f t="shared" si="19"/>
        <v>0</v>
      </c>
      <c r="H97" s="1256"/>
      <c r="I97" s="1095"/>
      <c r="J97" s="987"/>
    </row>
    <row r="98" spans="1:10" ht="18" hidden="1" customHeight="1" outlineLevel="1" x14ac:dyDescent="0.25">
      <c r="A98" s="1295" t="s">
        <v>195</v>
      </c>
      <c r="B98" s="1296">
        <v>5139</v>
      </c>
      <c r="C98" s="1297"/>
      <c r="D98" s="1299"/>
      <c r="E98" s="1299"/>
      <c r="F98" s="1299"/>
      <c r="G98" s="1280">
        <f t="shared" si="19"/>
        <v>0</v>
      </c>
      <c r="H98" s="1256"/>
      <c r="I98" s="1095"/>
      <c r="J98" s="987"/>
    </row>
    <row r="99" spans="1:10" ht="18" customHeight="1" collapsed="1" thickBot="1" x14ac:dyDescent="0.3">
      <c r="A99" s="2731" t="s">
        <v>210</v>
      </c>
      <c r="B99" s="2732"/>
      <c r="C99" s="1924"/>
      <c r="D99" s="1925">
        <v>0</v>
      </c>
      <c r="E99" s="1925">
        <v>0</v>
      </c>
      <c r="F99" s="1925">
        <f t="shared" ref="F99" si="28">SUM(F97:F98)</f>
        <v>0</v>
      </c>
      <c r="G99" s="1926">
        <f t="shared" si="19"/>
        <v>0</v>
      </c>
      <c r="H99" s="954">
        <f>'Výdaje kapitol celkem'!BR22</f>
        <v>0</v>
      </c>
      <c r="I99" s="1095">
        <f>+H99-F99</f>
        <v>0</v>
      </c>
      <c r="J99" s="987"/>
    </row>
    <row r="100" spans="1:10" ht="18" hidden="1" customHeight="1" outlineLevel="1" x14ac:dyDescent="0.25">
      <c r="A100" s="1292" t="s">
        <v>196</v>
      </c>
      <c r="B100" s="1293">
        <v>5139</v>
      </c>
      <c r="C100" s="1290"/>
      <c r="D100" s="1291"/>
      <c r="E100" s="1291"/>
      <c r="F100" s="1291"/>
      <c r="G100" s="1271">
        <f t="shared" si="19"/>
        <v>0</v>
      </c>
      <c r="H100" s="1256"/>
      <c r="I100" s="1095"/>
      <c r="J100" s="987"/>
    </row>
    <row r="101" spans="1:10" ht="18" hidden="1" customHeight="1" outlineLevel="1" x14ac:dyDescent="0.25">
      <c r="A101" s="1295" t="s">
        <v>196</v>
      </c>
      <c r="B101" s="1296">
        <v>5139</v>
      </c>
      <c r="C101" s="1297"/>
      <c r="D101" s="1298"/>
      <c r="E101" s="1298"/>
      <c r="F101" s="1298"/>
      <c r="G101" s="1282">
        <f t="shared" si="19"/>
        <v>0</v>
      </c>
      <c r="H101" s="1256"/>
      <c r="I101" s="1095"/>
      <c r="J101" s="987"/>
    </row>
    <row r="102" spans="1:10" ht="18" customHeight="1" collapsed="1" thickBot="1" x14ac:dyDescent="0.3">
      <c r="A102" s="2731" t="s">
        <v>211</v>
      </c>
      <c r="B102" s="2732"/>
      <c r="C102" s="1924"/>
      <c r="D102" s="1925">
        <v>0</v>
      </c>
      <c r="E102" s="1925">
        <v>0</v>
      </c>
      <c r="F102" s="1925">
        <f t="shared" ref="F102" si="29">SUM(F100:F101)</f>
        <v>0</v>
      </c>
      <c r="G102" s="1926">
        <f t="shared" si="19"/>
        <v>0</v>
      </c>
      <c r="H102" s="954">
        <f>'Výdaje kapitol celkem'!BU22</f>
        <v>0</v>
      </c>
      <c r="I102" s="1095">
        <f>+H102-F102</f>
        <v>0</v>
      </c>
      <c r="J102" s="987"/>
    </row>
    <row r="103" spans="1:10" ht="18" customHeight="1" outlineLevel="1" x14ac:dyDescent="0.25">
      <c r="A103" s="1262">
        <v>2212</v>
      </c>
      <c r="B103" s="1263">
        <v>5139</v>
      </c>
      <c r="C103" s="1264"/>
      <c r="D103" s="1265">
        <v>100000</v>
      </c>
      <c r="E103" s="1265">
        <v>100000</v>
      </c>
      <c r="F103" s="1265">
        <f>'[5]Silnice nákup materiálu'!$B$4</f>
        <v>100000</v>
      </c>
      <c r="G103" s="1266">
        <f t="shared" si="19"/>
        <v>0</v>
      </c>
      <c r="H103" s="1256"/>
      <c r="I103" s="1095"/>
      <c r="J103" s="987"/>
    </row>
    <row r="104" spans="1:10" ht="18" customHeight="1" outlineLevel="1" x14ac:dyDescent="0.25">
      <c r="A104" s="1277">
        <v>2212</v>
      </c>
      <c r="B104" s="1281">
        <v>5139</v>
      </c>
      <c r="C104" s="1278"/>
      <c r="D104" s="1279">
        <v>300000</v>
      </c>
      <c r="E104" s="1279">
        <v>300000</v>
      </c>
      <c r="F104" s="1279">
        <f>'[5]Silnice nákup materiálu'!$B$5</f>
        <v>450000</v>
      </c>
      <c r="G104" s="1282">
        <f t="shared" si="19"/>
        <v>150000</v>
      </c>
      <c r="H104" s="1256"/>
      <c r="I104" s="1095"/>
      <c r="J104" s="987"/>
    </row>
    <row r="105" spans="1:10" ht="18" customHeight="1" outlineLevel="1" x14ac:dyDescent="0.25">
      <c r="A105" s="1292">
        <v>2212</v>
      </c>
      <c r="B105" s="1293">
        <v>5139</v>
      </c>
      <c r="C105" s="1290"/>
      <c r="D105" s="1291"/>
      <c r="E105" s="1291"/>
      <c r="F105" s="1291"/>
      <c r="G105" s="1271">
        <f t="shared" si="19"/>
        <v>0</v>
      </c>
      <c r="H105" s="1256"/>
      <c r="I105" s="1095"/>
      <c r="J105" s="987"/>
    </row>
    <row r="106" spans="1:10" ht="18" customHeight="1" thickBot="1" x14ac:dyDescent="0.3">
      <c r="A106" s="2731" t="s">
        <v>255</v>
      </c>
      <c r="B106" s="2732"/>
      <c r="C106" s="1924"/>
      <c r="D106" s="1925">
        <v>400000</v>
      </c>
      <c r="E106" s="1925">
        <f t="shared" ref="E106:F106" si="30">SUM(E103:E105)</f>
        <v>400000</v>
      </c>
      <c r="F106" s="1925">
        <f t="shared" si="30"/>
        <v>550000</v>
      </c>
      <c r="G106" s="1926">
        <f t="shared" si="19"/>
        <v>150000</v>
      </c>
      <c r="H106" s="954">
        <f>'Výdaje kapitol celkem'!CC22</f>
        <v>550000</v>
      </c>
      <c r="I106" s="1095">
        <f>+H106-F106</f>
        <v>0</v>
      </c>
      <c r="J106" s="987"/>
    </row>
    <row r="107" spans="1:10" ht="18" hidden="1" customHeight="1" outlineLevel="1" x14ac:dyDescent="0.25">
      <c r="A107" s="1262">
        <v>2310</v>
      </c>
      <c r="B107" s="1263">
        <v>5139</v>
      </c>
      <c r="C107" s="1264"/>
      <c r="D107" s="1265"/>
      <c r="E107" s="1265"/>
      <c r="F107" s="1265"/>
      <c r="G107" s="1266">
        <f t="shared" si="19"/>
        <v>0</v>
      </c>
      <c r="H107" s="1256"/>
      <c r="I107" s="1095"/>
      <c r="J107" s="987"/>
    </row>
    <row r="108" spans="1:10" ht="18" hidden="1" customHeight="1" outlineLevel="1" x14ac:dyDescent="0.25">
      <c r="A108" s="1295">
        <v>2310</v>
      </c>
      <c r="B108" s="1296">
        <v>5139</v>
      </c>
      <c r="C108" s="1297"/>
      <c r="D108" s="1299"/>
      <c r="E108" s="1299"/>
      <c r="F108" s="1299"/>
      <c r="G108" s="1280">
        <f t="shared" si="19"/>
        <v>0</v>
      </c>
      <c r="H108" s="1256"/>
      <c r="I108" s="1095"/>
      <c r="J108" s="987"/>
    </row>
    <row r="109" spans="1:10" ht="18" customHeight="1" collapsed="1" thickBot="1" x14ac:dyDescent="0.3">
      <c r="A109" s="2731" t="s">
        <v>212</v>
      </c>
      <c r="B109" s="2732"/>
      <c r="C109" s="1924"/>
      <c r="D109" s="1925">
        <v>0</v>
      </c>
      <c r="E109" s="1925">
        <v>0</v>
      </c>
      <c r="F109" s="1925">
        <f t="shared" ref="F109" si="31">SUM(F107:F108)</f>
        <v>0</v>
      </c>
      <c r="G109" s="1926">
        <f t="shared" si="19"/>
        <v>0</v>
      </c>
      <c r="H109" s="954">
        <f>'Výdaje kapitol celkem'!CG22</f>
        <v>0</v>
      </c>
      <c r="I109" s="1095">
        <f>+H109-F109</f>
        <v>0</v>
      </c>
      <c r="J109" s="987"/>
    </row>
    <row r="110" spans="1:10" ht="18" hidden="1" customHeight="1" outlineLevel="1" x14ac:dyDescent="0.25">
      <c r="A110" s="1292">
        <v>3633</v>
      </c>
      <c r="B110" s="1293">
        <v>5139</v>
      </c>
      <c r="C110" s="1290"/>
      <c r="D110" s="1265"/>
      <c r="E110" s="1265"/>
      <c r="F110" s="1265"/>
      <c r="G110" s="1275">
        <f t="shared" si="19"/>
        <v>0</v>
      </c>
      <c r="H110" s="1256"/>
      <c r="I110" s="1095"/>
      <c r="J110" s="987"/>
    </row>
    <row r="111" spans="1:10" ht="18" hidden="1" customHeight="1" outlineLevel="1" x14ac:dyDescent="0.25">
      <c r="A111" s="1295">
        <v>3633</v>
      </c>
      <c r="B111" s="1296">
        <v>5139</v>
      </c>
      <c r="C111" s="1297"/>
      <c r="D111" s="1279"/>
      <c r="E111" s="1279"/>
      <c r="F111" s="1279"/>
      <c r="G111" s="1275">
        <f t="shared" si="19"/>
        <v>0</v>
      </c>
      <c r="H111" s="1256"/>
      <c r="I111" s="1095"/>
      <c r="J111" s="987"/>
    </row>
    <row r="112" spans="1:10" ht="18" customHeight="1" collapsed="1" thickBot="1" x14ac:dyDescent="0.3">
      <c r="A112" s="2731" t="s">
        <v>252</v>
      </c>
      <c r="B112" s="2732"/>
      <c r="C112" s="1924"/>
      <c r="D112" s="1925">
        <v>0</v>
      </c>
      <c r="E112" s="1925">
        <v>0</v>
      </c>
      <c r="F112" s="1925">
        <f t="shared" ref="F112" si="32">SUM(F110:F111)</f>
        <v>0</v>
      </c>
      <c r="G112" s="1926">
        <f t="shared" si="19"/>
        <v>0</v>
      </c>
      <c r="H112" s="954">
        <f>'Výdaje kapitol celkem'!CS22</f>
        <v>0</v>
      </c>
      <c r="I112" s="1095">
        <f>+H112-F112</f>
        <v>0</v>
      </c>
      <c r="J112" s="987"/>
    </row>
    <row r="113" spans="1:10" outlineLevel="1" x14ac:dyDescent="0.25">
      <c r="A113" s="1262">
        <v>3749</v>
      </c>
      <c r="B113" s="1263">
        <v>5139</v>
      </c>
      <c r="C113" s="1854"/>
      <c r="D113" s="1265">
        <v>250000</v>
      </c>
      <c r="E113" s="1265">
        <v>250000</v>
      </c>
      <c r="F113" s="1265">
        <f>'[6]Příroda 3749'!$B$6</f>
        <v>250000</v>
      </c>
      <c r="G113" s="1266">
        <f t="shared" si="19"/>
        <v>0</v>
      </c>
      <c r="H113" s="954">
        <f>'Výdaje kapitol celkem'!CS23</f>
        <v>0</v>
      </c>
      <c r="I113" s="1095"/>
      <c r="J113" s="987"/>
    </row>
    <row r="114" spans="1:10" outlineLevel="1" x14ac:dyDescent="0.25">
      <c r="A114" s="1267">
        <v>3749</v>
      </c>
      <c r="B114" s="1268">
        <v>5139</v>
      </c>
      <c r="C114" s="1855"/>
      <c r="D114" s="1291"/>
      <c r="E114" s="1291"/>
      <c r="F114" s="1291">
        <f>'[6]Příroda 3749'!$B$7</f>
        <v>0</v>
      </c>
      <c r="G114" s="1271">
        <f t="shared" si="19"/>
        <v>0</v>
      </c>
      <c r="H114" s="954"/>
      <c r="I114" s="1095"/>
      <c r="J114" s="987"/>
    </row>
    <row r="115" spans="1:10" ht="18" customHeight="1" outlineLevel="1" x14ac:dyDescent="0.25">
      <c r="A115" s="1295">
        <v>3749</v>
      </c>
      <c r="B115" s="1296">
        <v>5139</v>
      </c>
      <c r="C115" s="1856"/>
      <c r="D115" s="1299"/>
      <c r="E115" s="1299"/>
      <c r="F115" s="1299"/>
      <c r="G115" s="1280">
        <f t="shared" si="19"/>
        <v>0</v>
      </c>
      <c r="H115" s="954">
        <f>'Výdaje kapitol celkem'!CS25</f>
        <v>0</v>
      </c>
      <c r="I115" s="1095"/>
      <c r="J115" s="987"/>
    </row>
    <row r="116" spans="1:10" ht="18" customHeight="1" thickBot="1" x14ac:dyDescent="0.3">
      <c r="A116" s="2731" t="s">
        <v>626</v>
      </c>
      <c r="B116" s="2732"/>
      <c r="C116" s="1924"/>
      <c r="D116" s="1925">
        <v>250000</v>
      </c>
      <c r="E116" s="1925">
        <v>250000</v>
      </c>
      <c r="F116" s="1925">
        <f t="shared" ref="F116" si="33">SUM(F113:F115)</f>
        <v>250000</v>
      </c>
      <c r="G116" s="1926">
        <f t="shared" si="19"/>
        <v>0</v>
      </c>
      <c r="H116" s="954">
        <f>'Výdaje kapitol celkem'!DG22</f>
        <v>250000</v>
      </c>
      <c r="I116" s="1095">
        <f>+H116-F116</f>
        <v>0</v>
      </c>
      <c r="J116" s="987"/>
    </row>
    <row r="117" spans="1:10" ht="18" hidden="1" customHeight="1" outlineLevel="1" x14ac:dyDescent="0.25">
      <c r="A117" s="1292">
        <v>1036</v>
      </c>
      <c r="B117" s="1293">
        <v>5139</v>
      </c>
      <c r="C117" s="1290"/>
      <c r="D117" s="1291"/>
      <c r="E117" s="1291"/>
      <c r="F117" s="1291"/>
      <c r="G117" s="1271">
        <f t="shared" si="19"/>
        <v>0</v>
      </c>
      <c r="H117" s="1256"/>
      <c r="I117" s="1095"/>
      <c r="J117" s="987"/>
    </row>
    <row r="118" spans="1:10" ht="18" hidden="1" customHeight="1" outlineLevel="1" x14ac:dyDescent="0.25">
      <c r="A118" s="1295">
        <v>1036</v>
      </c>
      <c r="B118" s="1296">
        <v>5139</v>
      </c>
      <c r="C118" s="1297"/>
      <c r="D118" s="1299"/>
      <c r="E118" s="1299"/>
      <c r="F118" s="1299"/>
      <c r="G118" s="1280">
        <f t="shared" si="19"/>
        <v>0</v>
      </c>
      <c r="H118" s="1256"/>
      <c r="I118" s="1095"/>
      <c r="J118" s="987"/>
    </row>
    <row r="119" spans="1:10" ht="18" hidden="1" customHeight="1" outlineLevel="1" x14ac:dyDescent="0.25">
      <c r="A119" s="1295">
        <v>1036</v>
      </c>
      <c r="B119" s="1296">
        <v>5139</v>
      </c>
      <c r="C119" s="1278"/>
      <c r="D119" s="1299"/>
      <c r="E119" s="1299"/>
      <c r="F119" s="1299"/>
      <c r="G119" s="1282">
        <f t="shared" si="19"/>
        <v>0</v>
      </c>
      <c r="H119" s="1256"/>
      <c r="I119" s="1095"/>
      <c r="J119" s="987"/>
    </row>
    <row r="120" spans="1:10" ht="18" customHeight="1" collapsed="1" thickBot="1" x14ac:dyDescent="0.3">
      <c r="A120" s="2731" t="s">
        <v>1216</v>
      </c>
      <c r="B120" s="2732"/>
      <c r="C120" s="1924"/>
      <c r="D120" s="1925">
        <v>0</v>
      </c>
      <c r="E120" s="1925">
        <v>0</v>
      </c>
      <c r="F120" s="1925">
        <f t="shared" ref="F120" si="34">SUM(F117:F119)</f>
        <v>0</v>
      </c>
      <c r="G120" s="1926">
        <f t="shared" si="19"/>
        <v>0</v>
      </c>
      <c r="H120" s="954">
        <f>'Výdaje kapitol celkem'!CV22</f>
        <v>0</v>
      </c>
      <c r="I120" s="1095">
        <f>+H120-F120</f>
        <v>0</v>
      </c>
      <c r="J120" s="987"/>
    </row>
    <row r="121" spans="1:10" ht="18" hidden="1" customHeight="1" outlineLevel="1" x14ac:dyDescent="0.25">
      <c r="A121" s="1292" t="s">
        <v>220</v>
      </c>
      <c r="B121" s="1293">
        <v>5139</v>
      </c>
      <c r="C121" s="1290"/>
      <c r="D121" s="1291"/>
      <c r="E121" s="1291"/>
      <c r="F121" s="1291"/>
      <c r="G121" s="1271">
        <f t="shared" si="19"/>
        <v>0</v>
      </c>
      <c r="H121" s="1256"/>
      <c r="I121" s="1095"/>
      <c r="J121" s="987"/>
    </row>
    <row r="122" spans="1:10" ht="18" hidden="1" customHeight="1" outlineLevel="1" x14ac:dyDescent="0.25">
      <c r="A122" s="1295" t="s">
        <v>220</v>
      </c>
      <c r="B122" s="1296">
        <v>5139</v>
      </c>
      <c r="C122" s="1297"/>
      <c r="D122" s="1299"/>
      <c r="E122" s="1299"/>
      <c r="F122" s="1299"/>
      <c r="G122" s="1280">
        <f t="shared" si="19"/>
        <v>0</v>
      </c>
      <c r="H122" s="1256"/>
      <c r="I122" s="1095"/>
      <c r="J122" s="987"/>
    </row>
    <row r="123" spans="1:10" ht="18" hidden="1" customHeight="1" outlineLevel="1" x14ac:dyDescent="0.25">
      <c r="A123" s="1295" t="s">
        <v>220</v>
      </c>
      <c r="B123" s="1296">
        <v>5139</v>
      </c>
      <c r="C123" s="1278"/>
      <c r="D123" s="1299"/>
      <c r="E123" s="1299"/>
      <c r="F123" s="1299"/>
      <c r="G123" s="1282">
        <f t="shared" si="19"/>
        <v>0</v>
      </c>
      <c r="H123" s="1256"/>
      <c r="I123" s="1095"/>
      <c r="J123" s="987"/>
    </row>
    <row r="124" spans="1:10" ht="18" customHeight="1" collapsed="1" thickBot="1" x14ac:dyDescent="0.3">
      <c r="A124" s="2731" t="s">
        <v>251</v>
      </c>
      <c r="B124" s="2732"/>
      <c r="C124" s="1924"/>
      <c r="D124" s="1925">
        <v>0</v>
      </c>
      <c r="E124" s="1925">
        <v>0</v>
      </c>
      <c r="F124" s="1925">
        <f t="shared" ref="F124" si="35">SUM(F121:F123)</f>
        <v>0</v>
      </c>
      <c r="G124" s="1926">
        <f t="shared" si="19"/>
        <v>0</v>
      </c>
      <c r="H124" s="954">
        <f>'Výdaje kapitol celkem'!CP22</f>
        <v>0</v>
      </c>
      <c r="I124" s="1095">
        <f>+H124-F124</f>
        <v>0</v>
      </c>
      <c r="J124" s="987"/>
    </row>
    <row r="125" spans="1:10" ht="18" hidden="1" customHeight="1" outlineLevel="1" x14ac:dyDescent="0.25">
      <c r="A125" s="1292" t="s">
        <v>197</v>
      </c>
      <c r="B125" s="1293">
        <v>5139</v>
      </c>
      <c r="C125" s="1290"/>
      <c r="D125" s="1291"/>
      <c r="E125" s="1291"/>
      <c r="F125" s="1291"/>
      <c r="G125" s="1271">
        <f t="shared" si="19"/>
        <v>0</v>
      </c>
      <c r="H125" s="1256"/>
      <c r="I125" s="1095"/>
      <c r="J125" s="987"/>
    </row>
    <row r="126" spans="1:10" ht="18" hidden="1" customHeight="1" outlineLevel="1" x14ac:dyDescent="0.25">
      <c r="A126" s="1295" t="s">
        <v>197</v>
      </c>
      <c r="B126" s="1296">
        <v>5139</v>
      </c>
      <c r="C126" s="1278"/>
      <c r="D126" s="1299"/>
      <c r="E126" s="1299"/>
      <c r="F126" s="1299"/>
      <c r="G126" s="1282">
        <f t="shared" si="19"/>
        <v>0</v>
      </c>
      <c r="H126" s="1256"/>
      <c r="I126" s="1095"/>
      <c r="J126" s="987"/>
    </row>
    <row r="127" spans="1:10" ht="18" customHeight="1" collapsed="1" thickBot="1" x14ac:dyDescent="0.3">
      <c r="A127" s="2731" t="s">
        <v>689</v>
      </c>
      <c r="B127" s="2732"/>
      <c r="C127" s="1924"/>
      <c r="D127" s="1925">
        <v>0</v>
      </c>
      <c r="E127" s="1925">
        <v>0</v>
      </c>
      <c r="F127" s="1925">
        <f t="shared" ref="F127" si="36">SUM(F125:F126)</f>
        <v>0</v>
      </c>
      <c r="G127" s="1926">
        <f t="shared" si="19"/>
        <v>0</v>
      </c>
      <c r="H127" s="954">
        <f>'Výdaje kapitol celkem'!CM22</f>
        <v>0</v>
      </c>
      <c r="I127" s="1095">
        <f>+H127-F127</f>
        <v>0</v>
      </c>
      <c r="J127" s="987"/>
    </row>
    <row r="128" spans="1:10" ht="18" hidden="1" customHeight="1" outlineLevel="1" x14ac:dyDescent="0.25">
      <c r="A128" s="1262" t="s">
        <v>501</v>
      </c>
      <c r="B128" s="1263">
        <v>5139</v>
      </c>
      <c r="C128" s="1264"/>
      <c r="D128" s="1265"/>
      <c r="E128" s="1265"/>
      <c r="F128" s="1265"/>
      <c r="G128" s="1266">
        <f t="shared" si="19"/>
        <v>0</v>
      </c>
      <c r="H128" s="1256"/>
      <c r="I128" s="1095"/>
      <c r="J128" s="987"/>
    </row>
    <row r="129" spans="1:10" ht="18" hidden="1" customHeight="1" outlineLevel="1" x14ac:dyDescent="0.25">
      <c r="A129" s="1292" t="s">
        <v>501</v>
      </c>
      <c r="B129" s="1293">
        <v>5139</v>
      </c>
      <c r="C129" s="1290"/>
      <c r="D129" s="1300"/>
      <c r="E129" s="1300"/>
      <c r="F129" s="1300"/>
      <c r="G129" s="1275">
        <f t="shared" si="19"/>
        <v>0</v>
      </c>
      <c r="H129" s="1256"/>
      <c r="I129" s="1095"/>
      <c r="J129" s="987"/>
    </row>
    <row r="130" spans="1:10" ht="18" customHeight="1" collapsed="1" thickBot="1" x14ac:dyDescent="0.3">
      <c r="A130" s="2731" t="s">
        <v>1217</v>
      </c>
      <c r="B130" s="2732"/>
      <c r="C130" s="1924"/>
      <c r="D130" s="1925">
        <v>0</v>
      </c>
      <c r="E130" s="1925">
        <v>0</v>
      </c>
      <c r="F130" s="1925">
        <f t="shared" ref="F130" si="37">SUM(F128:F129)</f>
        <v>0</v>
      </c>
      <c r="G130" s="1926">
        <f t="shared" si="19"/>
        <v>0</v>
      </c>
      <c r="H130" s="954">
        <f>'Výdaje kapitol celkem'!CW22</f>
        <v>0</v>
      </c>
      <c r="I130" s="1095">
        <f>+H130-F130</f>
        <v>0</v>
      </c>
      <c r="J130" s="987"/>
    </row>
    <row r="131" spans="1:10" ht="18" hidden="1" customHeight="1" outlineLevel="1" x14ac:dyDescent="0.25">
      <c r="A131" s="1262" t="s">
        <v>182</v>
      </c>
      <c r="B131" s="1263">
        <v>5139</v>
      </c>
      <c r="C131" s="1264"/>
      <c r="D131" s="1265"/>
      <c r="E131" s="1265"/>
      <c r="F131" s="1265"/>
      <c r="G131" s="1266">
        <f t="shared" si="19"/>
        <v>0</v>
      </c>
      <c r="H131" s="1256"/>
      <c r="I131" s="1095"/>
      <c r="J131" s="987"/>
    </row>
    <row r="132" spans="1:10" ht="18" hidden="1" customHeight="1" outlineLevel="1" x14ac:dyDescent="0.25">
      <c r="A132" s="1277" t="s">
        <v>182</v>
      </c>
      <c r="B132" s="1281">
        <v>5139</v>
      </c>
      <c r="C132" s="1278"/>
      <c r="D132" s="1283"/>
      <c r="E132" s="1283"/>
      <c r="F132" s="1283"/>
      <c r="G132" s="1282">
        <f t="shared" si="19"/>
        <v>0</v>
      </c>
      <c r="H132" s="1256"/>
      <c r="I132" s="1095"/>
      <c r="J132" s="987"/>
    </row>
    <row r="133" spans="1:10" ht="18" hidden="1" customHeight="1" outlineLevel="1" x14ac:dyDescent="0.25">
      <c r="A133" s="1292" t="s">
        <v>182</v>
      </c>
      <c r="B133" s="1293">
        <v>5139</v>
      </c>
      <c r="C133" s="1290"/>
      <c r="D133" s="1300"/>
      <c r="E133" s="1300"/>
      <c r="F133" s="1300"/>
      <c r="G133" s="1275">
        <f t="shared" si="19"/>
        <v>0</v>
      </c>
      <c r="H133" s="1256"/>
      <c r="I133" s="1095"/>
      <c r="J133" s="987"/>
    </row>
    <row r="134" spans="1:10" ht="18" customHeight="1" collapsed="1" thickBot="1" x14ac:dyDescent="0.3">
      <c r="A134" s="2731" t="s">
        <v>1218</v>
      </c>
      <c r="B134" s="2732"/>
      <c r="C134" s="1924"/>
      <c r="D134" s="1925">
        <v>0</v>
      </c>
      <c r="E134" s="1925">
        <v>0</v>
      </c>
      <c r="F134" s="1925">
        <f t="shared" ref="F134" si="38">SUM(F131:F133)</f>
        <v>0</v>
      </c>
      <c r="G134" s="1926">
        <f t="shared" ref="G134:G155" si="39">+F134-E134</f>
        <v>0</v>
      </c>
      <c r="H134" s="954">
        <f>'Výdaje kapitol celkem'!CZ22</f>
        <v>0</v>
      </c>
      <c r="I134" s="1095">
        <f>+H134-F134</f>
        <v>0</v>
      </c>
      <c r="J134" s="987"/>
    </row>
    <row r="135" spans="1:10" ht="18" hidden="1" customHeight="1" outlineLevel="1" x14ac:dyDescent="0.25">
      <c r="A135" s="1262">
        <v>3729</v>
      </c>
      <c r="B135" s="1263">
        <v>5139</v>
      </c>
      <c r="C135" s="1264"/>
      <c r="D135" s="1265"/>
      <c r="E135" s="1265"/>
      <c r="F135" s="1265"/>
      <c r="G135" s="1266">
        <f t="shared" si="39"/>
        <v>0</v>
      </c>
      <c r="H135" s="1256"/>
      <c r="I135" s="1095"/>
      <c r="J135" s="987"/>
    </row>
    <row r="136" spans="1:10" ht="18" hidden="1" customHeight="1" outlineLevel="1" x14ac:dyDescent="0.25">
      <c r="A136" s="1292">
        <v>3729</v>
      </c>
      <c r="B136" s="1293">
        <v>5139</v>
      </c>
      <c r="C136" s="1290"/>
      <c r="D136" s="1300"/>
      <c r="E136" s="1300"/>
      <c r="F136" s="1300"/>
      <c r="G136" s="1275">
        <f t="shared" si="39"/>
        <v>0</v>
      </c>
      <c r="H136" s="1256"/>
      <c r="I136" s="1095"/>
      <c r="J136" s="987"/>
    </row>
    <row r="137" spans="1:10" ht="18" customHeight="1" collapsed="1" thickBot="1" x14ac:dyDescent="0.3">
      <c r="A137" s="2731" t="s">
        <v>1219</v>
      </c>
      <c r="B137" s="2732"/>
      <c r="C137" s="1924"/>
      <c r="D137" s="1925">
        <v>0</v>
      </c>
      <c r="E137" s="1925">
        <v>0</v>
      </c>
      <c r="F137" s="1925">
        <f t="shared" ref="F137" si="40">SUM(F135:F136)</f>
        <v>0</v>
      </c>
      <c r="G137" s="1926">
        <f t="shared" si="39"/>
        <v>0</v>
      </c>
      <c r="H137" s="954">
        <f>'Výdaje kapitol celkem'!DC22</f>
        <v>0</v>
      </c>
      <c r="I137" s="1095">
        <f>+H137-F137</f>
        <v>0</v>
      </c>
      <c r="J137" s="987"/>
    </row>
    <row r="138" spans="1:10" ht="18" hidden="1" customHeight="1" outlineLevel="1" x14ac:dyDescent="0.25">
      <c r="A138" s="1262">
        <v>3744</v>
      </c>
      <c r="B138" s="1263">
        <v>5139</v>
      </c>
      <c r="C138" s="1264"/>
      <c r="D138" s="1265"/>
      <c r="E138" s="1265"/>
      <c r="F138" s="1265"/>
      <c r="G138" s="1266">
        <f t="shared" si="39"/>
        <v>0</v>
      </c>
      <c r="H138" s="1256"/>
      <c r="I138" s="1095"/>
      <c r="J138" s="987"/>
    </row>
    <row r="139" spans="1:10" ht="18" hidden="1" customHeight="1" outlineLevel="1" x14ac:dyDescent="0.25">
      <c r="A139" s="1277">
        <v>3744</v>
      </c>
      <c r="B139" s="1281">
        <v>5139</v>
      </c>
      <c r="C139" s="1278"/>
      <c r="D139" s="1279"/>
      <c r="E139" s="1279"/>
      <c r="F139" s="1279"/>
      <c r="G139" s="1280">
        <f t="shared" si="39"/>
        <v>0</v>
      </c>
      <c r="H139" s="1256"/>
      <c r="I139" s="1095"/>
      <c r="J139" s="987"/>
    </row>
    <row r="140" spans="1:10" ht="18" hidden="1" customHeight="1" outlineLevel="1" x14ac:dyDescent="0.25">
      <c r="A140" s="1292">
        <v>3744</v>
      </c>
      <c r="B140" s="1293">
        <v>5139</v>
      </c>
      <c r="C140" s="1290"/>
      <c r="D140" s="1300"/>
      <c r="E140" s="1300"/>
      <c r="F140" s="1300"/>
      <c r="G140" s="1275">
        <f t="shared" si="39"/>
        <v>0</v>
      </c>
      <c r="H140" s="1256"/>
      <c r="I140" s="1095"/>
      <c r="J140" s="987"/>
    </row>
    <row r="141" spans="1:10" ht="18" customHeight="1" collapsed="1" thickBot="1" x14ac:dyDescent="0.3">
      <c r="A141" s="2731" t="s">
        <v>1201</v>
      </c>
      <c r="B141" s="2732"/>
      <c r="C141" s="1924"/>
      <c r="D141" s="1925">
        <v>0</v>
      </c>
      <c r="E141" s="1925">
        <v>0</v>
      </c>
      <c r="F141" s="1925">
        <f t="shared" ref="F141" si="41">SUM(F138:F140)</f>
        <v>0</v>
      </c>
      <c r="G141" s="1926">
        <f t="shared" si="39"/>
        <v>0</v>
      </c>
      <c r="H141" s="954">
        <f>'Výdaje kapitol celkem'!DF22</f>
        <v>0</v>
      </c>
      <c r="I141" s="1095">
        <f>+H141-F141</f>
        <v>0</v>
      </c>
      <c r="J141" s="987"/>
    </row>
    <row r="142" spans="1:10" ht="18" hidden="1" customHeight="1" outlineLevel="1" x14ac:dyDescent="0.25">
      <c r="A142" s="1262" t="s">
        <v>297</v>
      </c>
      <c r="B142" s="1263">
        <v>5139</v>
      </c>
      <c r="C142" s="1264"/>
      <c r="D142" s="1265"/>
      <c r="E142" s="1265"/>
      <c r="F142" s="1265"/>
      <c r="G142" s="1266">
        <f t="shared" si="39"/>
        <v>0</v>
      </c>
      <c r="H142" s="1256"/>
      <c r="I142" s="1095"/>
      <c r="J142" s="987"/>
    </row>
    <row r="143" spans="1:10" ht="18" hidden="1" customHeight="1" outlineLevel="1" x14ac:dyDescent="0.25">
      <c r="A143" s="1292" t="s">
        <v>297</v>
      </c>
      <c r="B143" s="1293">
        <v>5139</v>
      </c>
      <c r="C143" s="1269"/>
      <c r="D143" s="1291"/>
      <c r="E143" s="1291"/>
      <c r="F143" s="1291"/>
      <c r="G143" s="1275">
        <f t="shared" si="39"/>
        <v>0</v>
      </c>
      <c r="H143" s="1256"/>
      <c r="I143" s="1095"/>
      <c r="J143" s="987"/>
    </row>
    <row r="144" spans="1:10" ht="18" customHeight="1" collapsed="1" thickBot="1" x14ac:dyDescent="0.3">
      <c r="A144" s="2731" t="s">
        <v>1202</v>
      </c>
      <c r="B144" s="2732"/>
      <c r="C144" s="1924"/>
      <c r="D144" s="1925">
        <v>0</v>
      </c>
      <c r="E144" s="1925">
        <v>0</v>
      </c>
      <c r="F144" s="1925">
        <f t="shared" ref="F144" si="42">SUM(F142:F143)</f>
        <v>0</v>
      </c>
      <c r="G144" s="1926">
        <f t="shared" si="39"/>
        <v>0</v>
      </c>
      <c r="H144" s="954">
        <f>'Výdaje kapitol celkem'!DK22</f>
        <v>0</v>
      </c>
      <c r="I144" s="1095">
        <f>+H144-F144</f>
        <v>0</v>
      </c>
      <c r="J144" s="987"/>
    </row>
    <row r="145" spans="1:10" ht="18" hidden="1" customHeight="1" outlineLevel="1" x14ac:dyDescent="0.25">
      <c r="A145" s="1262" t="s">
        <v>183</v>
      </c>
      <c r="B145" s="1263">
        <v>5139</v>
      </c>
      <c r="C145" s="1264"/>
      <c r="D145" s="1265"/>
      <c r="E145" s="1265"/>
      <c r="F145" s="1265"/>
      <c r="G145" s="1266">
        <f t="shared" si="39"/>
        <v>0</v>
      </c>
      <c r="H145" s="1256"/>
      <c r="I145" s="1095"/>
      <c r="J145" s="987"/>
    </row>
    <row r="146" spans="1:10" ht="18" hidden="1" customHeight="1" outlineLevel="1" x14ac:dyDescent="0.25">
      <c r="A146" s="1292" t="s">
        <v>183</v>
      </c>
      <c r="B146" s="1293">
        <v>5139</v>
      </c>
      <c r="C146" s="1290"/>
      <c r="D146" s="1300"/>
      <c r="E146" s="1300"/>
      <c r="F146" s="1300"/>
      <c r="G146" s="1275">
        <f t="shared" si="39"/>
        <v>0</v>
      </c>
      <c r="H146" s="1256"/>
      <c r="I146" s="1095"/>
      <c r="J146" s="987"/>
    </row>
    <row r="147" spans="1:10" ht="18" customHeight="1" collapsed="1" thickBot="1" x14ac:dyDescent="0.3">
      <c r="A147" s="2731" t="s">
        <v>1220</v>
      </c>
      <c r="B147" s="2732"/>
      <c r="C147" s="1924"/>
      <c r="D147" s="1925">
        <v>0</v>
      </c>
      <c r="E147" s="1925">
        <v>0</v>
      </c>
      <c r="F147" s="1925">
        <f t="shared" ref="F147" si="43">SUM(F145:F146)</f>
        <v>0</v>
      </c>
      <c r="G147" s="1926">
        <f t="shared" si="39"/>
        <v>0</v>
      </c>
      <c r="H147" s="954">
        <f>'Výdaje kapitol celkem'!DR22</f>
        <v>0</v>
      </c>
      <c r="I147" s="1095">
        <f>+H147-F147</f>
        <v>0</v>
      </c>
      <c r="J147" s="987"/>
    </row>
    <row r="148" spans="1:10" ht="18" customHeight="1" outlineLevel="1" x14ac:dyDescent="0.25">
      <c r="A148" s="1262">
        <v>3114</v>
      </c>
      <c r="B148" s="1263">
        <v>5139</v>
      </c>
      <c r="C148" s="1264"/>
      <c r="D148" s="1265">
        <v>30000</v>
      </c>
      <c r="E148" s="1265">
        <v>30000</v>
      </c>
      <c r="F148" s="1265">
        <f>[2]č.p.65!$B$12</f>
        <v>30000</v>
      </c>
      <c r="G148" s="1266">
        <f t="shared" si="39"/>
        <v>0</v>
      </c>
      <c r="H148" s="1256"/>
      <c r="I148" s="1095"/>
      <c r="J148" s="987"/>
    </row>
    <row r="149" spans="1:10" ht="18" customHeight="1" outlineLevel="1" x14ac:dyDescent="0.25">
      <c r="A149" s="1277">
        <v>3114</v>
      </c>
      <c r="B149" s="1281">
        <v>5139</v>
      </c>
      <c r="C149" s="1278"/>
      <c r="D149" s="1279">
        <v>0</v>
      </c>
      <c r="E149" s="1279">
        <v>0</v>
      </c>
      <c r="F149" s="1279">
        <f>[2]č.p.65!$B$13</f>
        <v>0</v>
      </c>
      <c r="G149" s="1282">
        <f t="shared" si="39"/>
        <v>0</v>
      </c>
      <c r="H149" s="1256"/>
      <c r="I149" s="1095"/>
      <c r="J149" s="987"/>
    </row>
    <row r="150" spans="1:10" ht="18" customHeight="1" outlineLevel="1" x14ac:dyDescent="0.25">
      <c r="A150" s="1292">
        <v>3114</v>
      </c>
      <c r="B150" s="1293">
        <v>5139</v>
      </c>
      <c r="C150" s="1290"/>
      <c r="D150" s="1291"/>
      <c r="E150" s="1291"/>
      <c r="F150" s="1291"/>
      <c r="G150" s="1282">
        <f t="shared" si="39"/>
        <v>0</v>
      </c>
      <c r="H150" s="1256"/>
      <c r="I150" s="1095"/>
      <c r="J150" s="987"/>
    </row>
    <row r="151" spans="1:10" ht="18" customHeight="1" thickBot="1" x14ac:dyDescent="0.3">
      <c r="A151" s="2731" t="s">
        <v>213</v>
      </c>
      <c r="B151" s="2732"/>
      <c r="C151" s="1924"/>
      <c r="D151" s="1925">
        <v>30000</v>
      </c>
      <c r="E151" s="1925">
        <v>30000</v>
      </c>
      <c r="F151" s="1925">
        <f t="shared" ref="F151" si="44">SUM(F148:F150)</f>
        <v>30000</v>
      </c>
      <c r="G151" s="1926">
        <f t="shared" si="39"/>
        <v>0</v>
      </c>
      <c r="H151" s="954">
        <f>'Výdaje kapitol celkem'!BF22</f>
        <v>30000</v>
      </c>
      <c r="I151" s="1095">
        <f>+H151-F151</f>
        <v>0</v>
      </c>
      <c r="J151" s="987"/>
    </row>
    <row r="152" spans="1:10" ht="18" hidden="1" customHeight="1" outlineLevel="1" x14ac:dyDescent="0.25">
      <c r="A152" s="1262" t="s">
        <v>199</v>
      </c>
      <c r="B152" s="1263">
        <v>5139</v>
      </c>
      <c r="C152" s="1264"/>
      <c r="D152" s="1265"/>
      <c r="E152" s="1265"/>
      <c r="F152" s="1265"/>
      <c r="G152" s="1266">
        <f t="shared" si="39"/>
        <v>0</v>
      </c>
      <c r="H152" s="1256"/>
      <c r="I152" s="1095"/>
      <c r="J152" s="987"/>
    </row>
    <row r="153" spans="1:10" ht="18" hidden="1" customHeight="1" outlineLevel="1" x14ac:dyDescent="0.25">
      <c r="A153" s="1277" t="s">
        <v>199</v>
      </c>
      <c r="B153" s="1281">
        <v>5139</v>
      </c>
      <c r="C153" s="1278"/>
      <c r="D153" s="1279"/>
      <c r="E153" s="1279"/>
      <c r="F153" s="1279"/>
      <c r="G153" s="1280">
        <f t="shared" si="39"/>
        <v>0</v>
      </c>
      <c r="H153" s="1256"/>
      <c r="I153" s="1095"/>
      <c r="J153" s="987"/>
    </row>
    <row r="154" spans="1:10" ht="18" hidden="1" customHeight="1" outlineLevel="1" x14ac:dyDescent="0.25">
      <c r="A154" s="1267" t="s">
        <v>199</v>
      </c>
      <c r="B154" s="1268">
        <v>5139</v>
      </c>
      <c r="C154" s="1269"/>
      <c r="D154" s="1276"/>
      <c r="E154" s="1276"/>
      <c r="F154" s="1276"/>
      <c r="G154" s="1275">
        <f t="shared" si="39"/>
        <v>0</v>
      </c>
      <c r="H154" s="1256"/>
      <c r="I154" s="1095"/>
      <c r="J154" s="987"/>
    </row>
    <row r="155" spans="1:10" ht="18" customHeight="1" collapsed="1" thickBot="1" x14ac:dyDescent="0.3">
      <c r="A155" s="2731" t="s">
        <v>1221</v>
      </c>
      <c r="B155" s="2732"/>
      <c r="C155" s="1924"/>
      <c r="D155" s="1925">
        <v>0</v>
      </c>
      <c r="E155" s="1925">
        <v>0</v>
      </c>
      <c r="F155" s="1925">
        <f t="shared" ref="F155" si="45">SUM(F152:F154)</f>
        <v>0</v>
      </c>
      <c r="G155" s="1926">
        <f t="shared" si="39"/>
        <v>0</v>
      </c>
      <c r="H155" s="954">
        <f>'Výdaje kapitol celkem'!CJ22</f>
        <v>0</v>
      </c>
      <c r="I155" s="1095">
        <f>+H155-F155</f>
        <v>0</v>
      </c>
      <c r="J155" s="987"/>
    </row>
    <row r="156" spans="1:10" s="1085" customFormat="1" ht="17.25" thickBot="1" x14ac:dyDescent="0.35">
      <c r="A156" s="2735" t="s">
        <v>736</v>
      </c>
      <c r="B156" s="2736"/>
      <c r="C156" s="2737"/>
      <c r="D156" s="1284">
        <v>2119000</v>
      </c>
      <c r="E156" s="1284">
        <f>+E7+E10+E18+E21+E24+E27+E30+E33+E35+E39+E42+E45+E51+E56+E59+E68+E72+E75+E80+E83+E86+E89+E93+E96+E99+E102+E106+E109+E112+E116+E120+E124+E127+E130+E134+E137+E141+E144+E147+E151+E155+E14+E64+E48</f>
        <v>2119000</v>
      </c>
      <c r="F156" s="1284">
        <f>+F7+F10+F18+F21+F24+F27+F30+F33+F35+F39+F42+F45+F51+F56+F59+F68+F72+F75+F80+F83+F86+F89+F93+F96+F99+F102+F106+F109+F112+F116+F120+F124+F127+F130+F134+F137+F141+F144+F147+F151+F155+F14+F64+F48</f>
        <v>2269000</v>
      </c>
      <c r="G156" s="1285">
        <f>+F156-E156</f>
        <v>150000</v>
      </c>
      <c r="H156" s="1256"/>
      <c r="I156" s="1092"/>
      <c r="J156" s="987"/>
    </row>
    <row r="157" spans="1:10" x14ac:dyDescent="0.25">
      <c r="A157" s="919"/>
      <c r="B157" s="919"/>
      <c r="C157" s="919"/>
      <c r="D157" s="918">
        <v>2069000</v>
      </c>
      <c r="E157" s="918">
        <v>2119000</v>
      </c>
      <c r="F157" s="918">
        <f>'Výdaje kapitol celkem'!F22</f>
        <v>2269000</v>
      </c>
      <c r="G157" s="947"/>
      <c r="H157" s="1256"/>
      <c r="I157" s="958"/>
    </row>
    <row r="158" spans="1:10" s="980" customFormat="1" x14ac:dyDescent="0.25">
      <c r="A158" s="944"/>
      <c r="B158" s="944"/>
      <c r="C158" s="944" t="s">
        <v>218</v>
      </c>
      <c r="D158" s="947">
        <v>0</v>
      </c>
      <c r="E158" s="947">
        <f>+E156-E157</f>
        <v>0</v>
      </c>
      <c r="F158" s="947">
        <v>0</v>
      </c>
      <c r="G158" s="947"/>
      <c r="H158" s="1256"/>
      <c r="I158" s="958"/>
    </row>
    <row r="159" spans="1:10" x14ac:dyDescent="0.25">
      <c r="A159" s="1238" t="s">
        <v>546</v>
      </c>
      <c r="B159" s="919"/>
      <c r="C159" s="919"/>
      <c r="D159" s="918"/>
      <c r="E159" s="918"/>
      <c r="F159" s="918"/>
      <c r="G159" s="947"/>
      <c r="H159" s="1256"/>
      <c r="I159" s="958"/>
    </row>
  </sheetData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  <mergeCell ref="A51:B51"/>
    <mergeCell ref="A45:B45"/>
    <mergeCell ref="A42:B42"/>
    <mergeCell ref="A39:B39"/>
    <mergeCell ref="A35:B35"/>
    <mergeCell ref="A48:B48"/>
    <mergeCell ref="A72:B72"/>
    <mergeCell ref="A68:B68"/>
    <mergeCell ref="A64:B64"/>
    <mergeCell ref="A59:B59"/>
    <mergeCell ref="A56:B56"/>
    <mergeCell ref="A89:B89"/>
    <mergeCell ref="A86:B86"/>
    <mergeCell ref="A83:B83"/>
    <mergeCell ref="A80:B80"/>
    <mergeCell ref="A75:B75"/>
    <mergeCell ref="A106:B106"/>
    <mergeCell ref="A102:B102"/>
    <mergeCell ref="A99:B99"/>
    <mergeCell ref="A96:B96"/>
    <mergeCell ref="A93:B93"/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609" customWidth="1"/>
    <col min="2" max="2" width="23.42578125" style="1609" customWidth="1"/>
    <col min="3" max="3" width="6.28515625" style="1609" customWidth="1"/>
    <col min="4" max="4" width="6.140625" style="1609" customWidth="1"/>
    <col min="5" max="5" width="5.85546875" style="1609" customWidth="1"/>
    <col min="6" max="6" width="6.42578125" style="1609" customWidth="1"/>
    <col min="7" max="9" width="6.85546875" style="1609" customWidth="1"/>
    <col min="10" max="10" width="7.140625" style="1609" customWidth="1"/>
    <col min="11" max="11" width="7.42578125" style="1609" customWidth="1"/>
    <col min="12" max="12" width="6.42578125" style="1609" customWidth="1"/>
    <col min="13" max="13" width="7.28515625" style="1609" customWidth="1"/>
    <col min="14" max="14" width="6.85546875" style="1609" customWidth="1"/>
    <col min="15" max="15" width="7" style="1609" customWidth="1"/>
    <col min="16" max="16" width="6.28515625" style="1609" customWidth="1"/>
    <col min="17" max="17" width="4.85546875" style="1609" customWidth="1"/>
    <col min="18" max="18" width="5.85546875" style="1609" customWidth="1"/>
    <col min="19" max="20" width="8.85546875" style="1609" customWidth="1"/>
    <col min="21" max="16384" width="0" style="1609" hidden="1"/>
  </cols>
  <sheetData>
    <row r="1" spans="2:20" ht="15.75" thickBot="1" x14ac:dyDescent="0.3"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</row>
    <row r="2" spans="2:20" ht="15.75" thickBot="1" x14ac:dyDescent="0.3">
      <c r="B2" s="1608"/>
      <c r="C2" s="2602" t="s">
        <v>694</v>
      </c>
      <c r="D2" s="2603"/>
      <c r="E2" s="2603"/>
      <c r="F2" s="2603"/>
      <c r="G2" s="2603"/>
      <c r="H2" s="2603"/>
      <c r="I2" s="2603"/>
      <c r="J2" s="2603"/>
      <c r="K2" s="2603"/>
      <c r="L2" s="2603"/>
      <c r="M2" s="2603"/>
      <c r="N2" s="2603"/>
      <c r="O2" s="2603"/>
      <c r="P2" s="2603"/>
      <c r="Q2" s="2603"/>
      <c r="R2" s="2603"/>
      <c r="S2" s="2604"/>
      <c r="T2" s="1649"/>
    </row>
    <row r="3" spans="2:20" ht="30.75" thickBot="1" x14ac:dyDescent="0.3">
      <c r="B3" s="1608"/>
      <c r="C3" s="1650">
        <v>2006</v>
      </c>
      <c r="D3" s="1651">
        <v>2007</v>
      </c>
      <c r="E3" s="1651">
        <v>2008</v>
      </c>
      <c r="F3" s="1651">
        <v>2009</v>
      </c>
      <c r="G3" s="1651">
        <v>2010</v>
      </c>
      <c r="H3" s="1651">
        <v>2011</v>
      </c>
      <c r="I3" s="1651">
        <v>2012</v>
      </c>
      <c r="J3" s="1651">
        <v>2013</v>
      </c>
      <c r="K3" s="1651">
        <v>2014</v>
      </c>
      <c r="L3" s="1651">
        <v>2015</v>
      </c>
      <c r="M3" s="1652">
        <v>2016</v>
      </c>
      <c r="N3" s="1651">
        <v>2017</v>
      </c>
      <c r="O3" s="1653">
        <v>2018</v>
      </c>
      <c r="P3" s="1654">
        <v>2019</v>
      </c>
      <c r="Q3" s="1655">
        <v>2020</v>
      </c>
      <c r="R3" s="1655">
        <v>2021</v>
      </c>
      <c r="S3" s="1656" t="s">
        <v>1452</v>
      </c>
      <c r="T3" s="1648"/>
    </row>
    <row r="4" spans="2:20" ht="4.5" customHeight="1" thickBot="1" x14ac:dyDescent="0.3">
      <c r="B4" s="1608"/>
      <c r="C4" s="1610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2"/>
      <c r="O4" s="1613"/>
      <c r="P4" s="1614"/>
      <c r="Q4" s="1615"/>
      <c r="R4" s="1615"/>
      <c r="S4" s="1616"/>
      <c r="T4" s="1608"/>
    </row>
    <row r="5" spans="2:20" ht="15" x14ac:dyDescent="0.25">
      <c r="B5" s="1617" t="s">
        <v>695</v>
      </c>
      <c r="C5" s="1618">
        <v>1</v>
      </c>
      <c r="D5" s="1619">
        <v>1</v>
      </c>
      <c r="E5" s="1619">
        <v>1</v>
      </c>
      <c r="F5" s="1619">
        <v>1</v>
      </c>
      <c r="G5" s="1619">
        <v>1</v>
      </c>
      <c r="H5" s="1619">
        <v>1</v>
      </c>
      <c r="I5" s="1619">
        <v>1</v>
      </c>
      <c r="J5" s="1619">
        <v>1</v>
      </c>
      <c r="K5" s="1619">
        <v>1</v>
      </c>
      <c r="L5" s="1619">
        <v>1</v>
      </c>
      <c r="M5" s="1620">
        <v>1</v>
      </c>
      <c r="N5" s="1619">
        <v>1</v>
      </c>
      <c r="O5" s="1621">
        <v>1</v>
      </c>
      <c r="P5" s="1622">
        <v>1</v>
      </c>
      <c r="Q5" s="1623">
        <v>1</v>
      </c>
      <c r="R5" s="1623">
        <v>1</v>
      </c>
      <c r="S5" s="1624">
        <v>1</v>
      </c>
      <c r="T5" s="1608"/>
    </row>
    <row r="6" spans="2:20" ht="15" x14ac:dyDescent="0.25">
      <c r="B6" s="1625" t="s">
        <v>564</v>
      </c>
      <c r="C6" s="1626">
        <v>0</v>
      </c>
      <c r="D6" s="1627">
        <v>0</v>
      </c>
      <c r="E6" s="1627">
        <v>0</v>
      </c>
      <c r="F6" s="1627">
        <v>0</v>
      </c>
      <c r="G6" s="1627">
        <v>0</v>
      </c>
      <c r="H6" s="1627">
        <v>0</v>
      </c>
      <c r="I6" s="1627">
        <v>0</v>
      </c>
      <c r="J6" s="1627">
        <v>0</v>
      </c>
      <c r="K6" s="1627">
        <v>0</v>
      </c>
      <c r="L6" s="1627">
        <v>1</v>
      </c>
      <c r="M6" s="1628">
        <v>1</v>
      </c>
      <c r="N6" s="1629">
        <v>1</v>
      </c>
      <c r="O6" s="1621">
        <v>1</v>
      </c>
      <c r="P6" s="1630">
        <v>1</v>
      </c>
      <c r="Q6" s="1631">
        <v>1</v>
      </c>
      <c r="R6" s="1631">
        <v>1</v>
      </c>
      <c r="S6" s="1632">
        <v>1</v>
      </c>
      <c r="T6" s="1608"/>
    </row>
    <row r="7" spans="2:20" ht="15" x14ac:dyDescent="0.25">
      <c r="B7" s="1633" t="s">
        <v>565</v>
      </c>
      <c r="C7" s="1626">
        <v>0</v>
      </c>
      <c r="D7" s="1627">
        <v>0</v>
      </c>
      <c r="E7" s="1627">
        <v>0</v>
      </c>
      <c r="F7" s="1627">
        <v>0</v>
      </c>
      <c r="G7" s="1627">
        <v>0</v>
      </c>
      <c r="H7" s="1627">
        <v>0</v>
      </c>
      <c r="I7" s="1627">
        <v>0</v>
      </c>
      <c r="J7" s="1627">
        <v>0</v>
      </c>
      <c r="K7" s="1627">
        <v>0</v>
      </c>
      <c r="L7" s="1627">
        <v>0</v>
      </c>
      <c r="M7" s="1628">
        <v>1</v>
      </c>
      <c r="N7" s="1629">
        <v>1</v>
      </c>
      <c r="O7" s="1621">
        <v>1</v>
      </c>
      <c r="P7" s="1630">
        <v>1</v>
      </c>
      <c r="Q7" s="1631">
        <v>1</v>
      </c>
      <c r="R7" s="1631">
        <v>1</v>
      </c>
      <c r="S7" s="1632">
        <v>1</v>
      </c>
      <c r="T7" s="1608"/>
    </row>
    <row r="8" spans="2:20" ht="15" x14ac:dyDescent="0.25">
      <c r="B8" s="1625" t="s">
        <v>696</v>
      </c>
      <c r="C8" s="1626">
        <v>0</v>
      </c>
      <c r="D8" s="1627">
        <v>0</v>
      </c>
      <c r="E8" s="1627">
        <v>0</v>
      </c>
      <c r="F8" s="1627">
        <v>0</v>
      </c>
      <c r="G8" s="1627">
        <v>0</v>
      </c>
      <c r="H8" s="1627">
        <v>0</v>
      </c>
      <c r="I8" s="1627">
        <v>0</v>
      </c>
      <c r="J8" s="1627">
        <v>0</v>
      </c>
      <c r="K8" s="1627">
        <v>0</v>
      </c>
      <c r="L8" s="1627">
        <v>0</v>
      </c>
      <c r="M8" s="1628">
        <v>0</v>
      </c>
      <c r="N8" s="1627">
        <v>0</v>
      </c>
      <c r="O8" s="1621">
        <v>0</v>
      </c>
      <c r="P8" s="1630">
        <v>0</v>
      </c>
      <c r="Q8" s="1631">
        <v>0</v>
      </c>
      <c r="R8" s="1631">
        <v>0</v>
      </c>
      <c r="S8" s="1632">
        <v>0</v>
      </c>
      <c r="T8" s="1608"/>
    </row>
    <row r="9" spans="2:20" ht="15" x14ac:dyDescent="0.25">
      <c r="B9" s="1633" t="s">
        <v>560</v>
      </c>
      <c r="C9" s="1634">
        <v>1</v>
      </c>
      <c r="D9" s="1629">
        <v>1</v>
      </c>
      <c r="E9" s="1629">
        <v>1</v>
      </c>
      <c r="F9" s="1629">
        <v>1</v>
      </c>
      <c r="G9" s="1629">
        <v>1</v>
      </c>
      <c r="H9" s="1629">
        <v>1</v>
      </c>
      <c r="I9" s="1629">
        <v>1</v>
      </c>
      <c r="J9" s="1629">
        <v>1</v>
      </c>
      <c r="K9" s="1629">
        <v>1</v>
      </c>
      <c r="L9" s="1629">
        <v>2</v>
      </c>
      <c r="M9" s="1629">
        <v>2</v>
      </c>
      <c r="N9" s="1629">
        <v>2</v>
      </c>
      <c r="O9" s="1635">
        <v>2</v>
      </c>
      <c r="P9" s="1630">
        <v>2</v>
      </c>
      <c r="Q9" s="1631">
        <v>2</v>
      </c>
      <c r="R9" s="1631">
        <v>2</v>
      </c>
      <c r="S9" s="1632">
        <v>2</v>
      </c>
      <c r="T9" s="1608"/>
    </row>
    <row r="10" spans="2:20" ht="15" x14ac:dyDescent="0.25">
      <c r="B10" s="1633" t="s">
        <v>697</v>
      </c>
      <c r="C10" s="1636">
        <v>7</v>
      </c>
      <c r="D10" s="1635">
        <v>7</v>
      </c>
      <c r="E10" s="1635">
        <v>8</v>
      </c>
      <c r="F10" s="1635">
        <v>8</v>
      </c>
      <c r="G10" s="1635">
        <v>8</v>
      </c>
      <c r="H10" s="1635">
        <v>8</v>
      </c>
      <c r="I10" s="1635">
        <v>8</v>
      </c>
      <c r="J10" s="1635">
        <v>8</v>
      </c>
      <c r="K10" s="1635">
        <v>8</v>
      </c>
      <c r="L10" s="1635">
        <v>8</v>
      </c>
      <c r="M10" s="1635">
        <v>8</v>
      </c>
      <c r="N10" s="1635">
        <v>8</v>
      </c>
      <c r="O10" s="1635">
        <v>8</v>
      </c>
      <c r="P10" s="1630">
        <v>8</v>
      </c>
      <c r="Q10" s="1631">
        <v>8</v>
      </c>
      <c r="R10" s="1631">
        <v>8</v>
      </c>
      <c r="S10" s="1632">
        <v>8</v>
      </c>
      <c r="T10" s="1608"/>
    </row>
    <row r="11" spans="2:20" ht="15" x14ac:dyDescent="0.25">
      <c r="B11" s="1625" t="s">
        <v>563</v>
      </c>
      <c r="C11" s="1637">
        <v>4</v>
      </c>
      <c r="D11" s="1628">
        <v>4</v>
      </c>
      <c r="E11" s="1628">
        <v>4</v>
      </c>
      <c r="F11" s="1628">
        <v>4</v>
      </c>
      <c r="G11" s="1628">
        <v>4</v>
      </c>
      <c r="H11" s="1628">
        <v>4</v>
      </c>
      <c r="I11" s="1628">
        <v>4</v>
      </c>
      <c r="J11" s="1628">
        <v>4</v>
      </c>
      <c r="K11" s="1628">
        <v>4</v>
      </c>
      <c r="L11" s="1638">
        <v>4</v>
      </c>
      <c r="M11" s="1628">
        <v>4</v>
      </c>
      <c r="N11" s="1628">
        <v>4</v>
      </c>
      <c r="O11" s="1628">
        <v>4</v>
      </c>
      <c r="P11" s="1622">
        <v>4</v>
      </c>
      <c r="Q11" s="1623">
        <v>4</v>
      </c>
      <c r="R11" s="1623">
        <v>4</v>
      </c>
      <c r="S11" s="1624">
        <v>4.5</v>
      </c>
      <c r="T11" s="1608"/>
    </row>
    <row r="12" spans="2:20" ht="15" x14ac:dyDescent="0.25">
      <c r="B12" s="1633" t="s">
        <v>561</v>
      </c>
      <c r="C12" s="1634">
        <v>5</v>
      </c>
      <c r="D12" s="1629">
        <v>5</v>
      </c>
      <c r="E12" s="1629">
        <v>5</v>
      </c>
      <c r="F12" s="1629">
        <v>6</v>
      </c>
      <c r="G12" s="1629">
        <v>8</v>
      </c>
      <c r="H12" s="1629">
        <v>7</v>
      </c>
      <c r="I12" s="1629">
        <v>7.5</v>
      </c>
      <c r="J12" s="1629">
        <v>7.5</v>
      </c>
      <c r="K12" s="1629">
        <v>8.5</v>
      </c>
      <c r="L12" s="1629">
        <v>8.5</v>
      </c>
      <c r="M12" s="1635">
        <v>8.5</v>
      </c>
      <c r="N12" s="1629">
        <v>8.5</v>
      </c>
      <c r="O12" s="1639">
        <v>8.5</v>
      </c>
      <c r="P12" s="1630">
        <v>8.5</v>
      </c>
      <c r="Q12" s="1631">
        <v>8.5</v>
      </c>
      <c r="R12" s="1631">
        <v>8.5</v>
      </c>
      <c r="S12" s="1632">
        <v>8.5</v>
      </c>
      <c r="T12" s="1608"/>
    </row>
    <row r="13" spans="2:20" ht="15" x14ac:dyDescent="0.25">
      <c r="B13" s="1633" t="s">
        <v>508</v>
      </c>
      <c r="C13" s="1634">
        <v>1</v>
      </c>
      <c r="D13" s="1629">
        <v>2</v>
      </c>
      <c r="E13" s="1629">
        <v>3</v>
      </c>
      <c r="F13" s="1629">
        <v>3</v>
      </c>
      <c r="G13" s="1629">
        <v>3</v>
      </c>
      <c r="H13" s="1629">
        <v>3</v>
      </c>
      <c r="I13" s="1629">
        <v>3</v>
      </c>
      <c r="J13" s="1629">
        <v>3</v>
      </c>
      <c r="K13" s="1629">
        <v>3</v>
      </c>
      <c r="L13" s="1629">
        <v>3</v>
      </c>
      <c r="M13" s="1635">
        <v>3</v>
      </c>
      <c r="N13" s="1629">
        <v>3</v>
      </c>
      <c r="O13" s="1639">
        <v>3</v>
      </c>
      <c r="P13" s="1630">
        <v>3</v>
      </c>
      <c r="Q13" s="1631">
        <v>3</v>
      </c>
      <c r="R13" s="1631">
        <v>3</v>
      </c>
      <c r="S13" s="1632">
        <v>3</v>
      </c>
      <c r="T13" s="1608"/>
    </row>
    <row r="14" spans="2:20" ht="15" x14ac:dyDescent="0.25">
      <c r="B14" s="1633" t="s">
        <v>698</v>
      </c>
      <c r="C14" s="1634">
        <v>3</v>
      </c>
      <c r="D14" s="1629">
        <v>3</v>
      </c>
      <c r="E14" s="1629">
        <v>4</v>
      </c>
      <c r="F14" s="1629">
        <v>4</v>
      </c>
      <c r="G14" s="1629">
        <v>3</v>
      </c>
      <c r="H14" s="1629">
        <v>3</v>
      </c>
      <c r="I14" s="1629">
        <v>4</v>
      </c>
      <c r="J14" s="1629">
        <v>4</v>
      </c>
      <c r="K14" s="1629">
        <v>4</v>
      </c>
      <c r="L14" s="1629">
        <v>4</v>
      </c>
      <c r="M14" s="1635">
        <v>5</v>
      </c>
      <c r="N14" s="1629">
        <v>5</v>
      </c>
      <c r="O14" s="1639">
        <v>5</v>
      </c>
      <c r="P14" s="1630">
        <v>5</v>
      </c>
      <c r="Q14" s="1631">
        <v>5</v>
      </c>
      <c r="R14" s="1631">
        <v>5</v>
      </c>
      <c r="S14" s="1632">
        <v>5</v>
      </c>
      <c r="T14" s="1608"/>
    </row>
    <row r="15" spans="2:20" ht="15" x14ac:dyDescent="0.25">
      <c r="B15" s="1633" t="s">
        <v>562</v>
      </c>
      <c r="C15" s="1634">
        <v>7</v>
      </c>
      <c r="D15" s="1629">
        <v>7</v>
      </c>
      <c r="E15" s="1629">
        <v>8.5</v>
      </c>
      <c r="F15" s="1629">
        <v>9.5</v>
      </c>
      <c r="G15" s="1629">
        <v>9.5</v>
      </c>
      <c r="H15" s="1629">
        <v>9.5</v>
      </c>
      <c r="I15" s="1629">
        <v>9.5</v>
      </c>
      <c r="J15" s="1629">
        <v>9.5</v>
      </c>
      <c r="K15" s="1629">
        <v>9.5</v>
      </c>
      <c r="L15" s="1629">
        <v>9.5</v>
      </c>
      <c r="M15" s="1635">
        <v>9.5</v>
      </c>
      <c r="N15" s="1629">
        <v>9.5</v>
      </c>
      <c r="O15" s="1639">
        <v>9.5</v>
      </c>
      <c r="P15" s="1630">
        <v>9.5</v>
      </c>
      <c r="Q15" s="1631">
        <v>9.5</v>
      </c>
      <c r="R15" s="1631">
        <v>9.5</v>
      </c>
      <c r="S15" s="1632">
        <v>9.5</v>
      </c>
      <c r="T15" s="1608"/>
    </row>
    <row r="16" spans="2:20" ht="15" x14ac:dyDescent="0.25">
      <c r="B16" s="1633" t="s">
        <v>699</v>
      </c>
      <c r="C16" s="1636">
        <v>1</v>
      </c>
      <c r="D16" s="1635">
        <v>1</v>
      </c>
      <c r="E16" s="1635">
        <v>1</v>
      </c>
      <c r="F16" s="1635">
        <v>1</v>
      </c>
      <c r="G16" s="1635">
        <v>1</v>
      </c>
      <c r="H16" s="1635">
        <v>1</v>
      </c>
      <c r="I16" s="1635">
        <v>1</v>
      </c>
      <c r="J16" s="1635">
        <v>1</v>
      </c>
      <c r="K16" s="1635">
        <v>1</v>
      </c>
      <c r="L16" s="1635">
        <v>1</v>
      </c>
      <c r="M16" s="1635">
        <v>1</v>
      </c>
      <c r="N16" s="1635">
        <v>1</v>
      </c>
      <c r="O16" s="1635">
        <v>1</v>
      </c>
      <c r="P16" s="1630">
        <v>1</v>
      </c>
      <c r="Q16" s="1631">
        <v>1</v>
      </c>
      <c r="R16" s="1631">
        <v>1</v>
      </c>
      <c r="S16" s="1632">
        <v>1</v>
      </c>
      <c r="T16" s="1608"/>
    </row>
    <row r="17" spans="2:20" ht="15" x14ac:dyDescent="0.25">
      <c r="B17" s="1625" t="s">
        <v>700</v>
      </c>
      <c r="C17" s="1637">
        <v>1</v>
      </c>
      <c r="D17" s="1628">
        <v>1</v>
      </c>
      <c r="E17" s="1628">
        <v>1</v>
      </c>
      <c r="F17" s="1628">
        <v>1</v>
      </c>
      <c r="G17" s="1628">
        <v>1</v>
      </c>
      <c r="H17" s="1628">
        <v>1</v>
      </c>
      <c r="I17" s="1628">
        <v>1</v>
      </c>
      <c r="J17" s="1628">
        <v>1</v>
      </c>
      <c r="K17" s="1628">
        <v>1</v>
      </c>
      <c r="L17" s="1638">
        <v>1</v>
      </c>
      <c r="M17" s="1628">
        <v>1</v>
      </c>
      <c r="N17" s="1628">
        <v>1</v>
      </c>
      <c r="O17" s="1628">
        <v>1</v>
      </c>
      <c r="P17" s="1622">
        <v>1</v>
      </c>
      <c r="Q17" s="1623">
        <v>1</v>
      </c>
      <c r="R17" s="1623">
        <v>1</v>
      </c>
      <c r="S17" s="1624">
        <v>1</v>
      </c>
      <c r="T17" s="1608"/>
    </row>
    <row r="18" spans="2:20" ht="15" x14ac:dyDescent="0.25">
      <c r="B18" s="1625" t="s">
        <v>253</v>
      </c>
      <c r="C18" s="1634">
        <v>0</v>
      </c>
      <c r="D18" s="1629">
        <v>0</v>
      </c>
      <c r="E18" s="1629">
        <v>0</v>
      </c>
      <c r="F18" s="1629">
        <v>0</v>
      </c>
      <c r="G18" s="1629">
        <v>0</v>
      </c>
      <c r="H18" s="1629">
        <v>0</v>
      </c>
      <c r="I18" s="1629">
        <v>0</v>
      </c>
      <c r="J18" s="1629">
        <v>0</v>
      </c>
      <c r="K18" s="1635">
        <v>2</v>
      </c>
      <c r="L18" s="1629">
        <v>5</v>
      </c>
      <c r="M18" s="1635">
        <v>6</v>
      </c>
      <c r="N18" s="1629">
        <v>7</v>
      </c>
      <c r="O18" s="1639">
        <v>7</v>
      </c>
      <c r="P18" s="1630">
        <v>8</v>
      </c>
      <c r="Q18" s="1631">
        <v>8</v>
      </c>
      <c r="R18" s="1631">
        <v>8</v>
      </c>
      <c r="S18" s="1632">
        <v>10</v>
      </c>
      <c r="T18" s="1608"/>
    </row>
    <row r="19" spans="2:20" ht="15.75" thickBot="1" x14ac:dyDescent="0.3">
      <c r="B19" s="1640" t="s">
        <v>1453</v>
      </c>
      <c r="C19" s="1641">
        <v>3</v>
      </c>
      <c r="D19" s="1642">
        <v>3</v>
      </c>
      <c r="E19" s="1642">
        <v>3</v>
      </c>
      <c r="F19" s="1642">
        <v>3</v>
      </c>
      <c r="G19" s="1642">
        <v>3</v>
      </c>
      <c r="H19" s="1642">
        <v>3</v>
      </c>
      <c r="I19" s="1642">
        <v>3</v>
      </c>
      <c r="J19" s="1642">
        <v>3</v>
      </c>
      <c r="K19" s="1642">
        <v>3</v>
      </c>
      <c r="L19" s="1642">
        <v>3</v>
      </c>
      <c r="M19" s="1643">
        <v>3</v>
      </c>
      <c r="N19" s="1642">
        <v>3</v>
      </c>
      <c r="O19" s="1644">
        <v>3</v>
      </c>
      <c r="P19" s="1614">
        <v>3</v>
      </c>
      <c r="Q19" s="1615">
        <v>3</v>
      </c>
      <c r="R19" s="1615">
        <v>3</v>
      </c>
      <c r="S19" s="1616">
        <v>3</v>
      </c>
      <c r="T19" s="1608"/>
    </row>
    <row r="20" spans="2:20" ht="15" x14ac:dyDescent="0.25"/>
    <row r="21" spans="2:20" ht="15" x14ac:dyDescent="0.25">
      <c r="B21" s="1609" t="s">
        <v>567</v>
      </c>
      <c r="C21" s="1609">
        <f>SUM(C5:C20)</f>
        <v>34</v>
      </c>
      <c r="D21" s="1609">
        <f>SUM(D5:D20)</f>
        <v>35</v>
      </c>
      <c r="E21" s="1609">
        <f t="shared" ref="E21:M21" si="0">SUM(E5:E19)</f>
        <v>39.5</v>
      </c>
      <c r="F21" s="1609">
        <f t="shared" si="0"/>
        <v>41.5</v>
      </c>
      <c r="G21" s="1609">
        <f t="shared" si="0"/>
        <v>42.5</v>
      </c>
      <c r="H21" s="1609">
        <f t="shared" si="0"/>
        <v>41.5</v>
      </c>
      <c r="I21" s="1609">
        <f t="shared" si="0"/>
        <v>43</v>
      </c>
      <c r="J21" s="1609">
        <f t="shared" si="0"/>
        <v>43</v>
      </c>
      <c r="K21" s="1609">
        <f t="shared" si="0"/>
        <v>46</v>
      </c>
      <c r="L21" s="1609">
        <f t="shared" si="0"/>
        <v>51</v>
      </c>
      <c r="M21" s="1609">
        <f t="shared" si="0"/>
        <v>54</v>
      </c>
      <c r="N21" s="1609">
        <f>SUM(N5:N20)</f>
        <v>55</v>
      </c>
      <c r="O21" s="1609">
        <f>SUM(O5:O20)</f>
        <v>55</v>
      </c>
      <c r="P21" s="1609">
        <v>56</v>
      </c>
      <c r="Q21" s="1609">
        <v>56</v>
      </c>
      <c r="R21" s="1609">
        <v>56</v>
      </c>
      <c r="S21" s="1609">
        <v>58.5</v>
      </c>
    </row>
    <row r="22" spans="2:20" ht="15" x14ac:dyDescent="0.25">
      <c r="B22" s="1609" t="s">
        <v>568</v>
      </c>
      <c r="D22" s="1609">
        <f>D21-C21</f>
        <v>1</v>
      </c>
      <c r="E22" s="1609">
        <f t="shared" ref="E22:L22" si="1">E21-D21</f>
        <v>4.5</v>
      </c>
      <c r="F22" s="1609">
        <f t="shared" si="1"/>
        <v>2</v>
      </c>
      <c r="G22" s="1609">
        <f t="shared" si="1"/>
        <v>1</v>
      </c>
      <c r="H22" s="1645">
        <f t="shared" si="1"/>
        <v>-1</v>
      </c>
      <c r="I22" s="1609">
        <f t="shared" si="1"/>
        <v>1.5</v>
      </c>
      <c r="J22" s="1609">
        <f t="shared" si="1"/>
        <v>0</v>
      </c>
      <c r="K22" s="1609">
        <f t="shared" si="1"/>
        <v>3</v>
      </c>
      <c r="L22" s="1609">
        <f t="shared" si="1"/>
        <v>5</v>
      </c>
      <c r="M22" s="1609">
        <f>M21-L21</f>
        <v>3</v>
      </c>
      <c r="N22" s="1609">
        <v>1</v>
      </c>
      <c r="O22" s="1609">
        <v>1</v>
      </c>
      <c r="P22" s="1609">
        <v>1</v>
      </c>
      <c r="Q22" s="1609">
        <v>0</v>
      </c>
      <c r="R22" s="1609">
        <v>0</v>
      </c>
      <c r="S22" s="1609">
        <v>2.5</v>
      </c>
    </row>
    <row r="23" spans="2:20" ht="9.9499999999999993" customHeight="1" x14ac:dyDescent="0.25"/>
    <row r="24" spans="2:20" ht="15" x14ac:dyDescent="0.25">
      <c r="B24" s="1646" t="s">
        <v>569</v>
      </c>
      <c r="C24" s="1646">
        <v>31</v>
      </c>
      <c r="D24" s="1646">
        <v>32</v>
      </c>
      <c r="E24" s="1646">
        <v>36.5</v>
      </c>
      <c r="F24" s="1647" t="s">
        <v>1454</v>
      </c>
      <c r="G24" s="1646">
        <v>39.5</v>
      </c>
      <c r="H24" s="1646">
        <v>38.5</v>
      </c>
      <c r="I24" s="1646">
        <v>40</v>
      </c>
      <c r="J24" s="1646">
        <v>40</v>
      </c>
      <c r="K24" s="1646">
        <v>43</v>
      </c>
      <c r="L24" s="1646">
        <v>48</v>
      </c>
      <c r="M24" s="1646">
        <v>51</v>
      </c>
      <c r="N24" s="1646">
        <v>52</v>
      </c>
      <c r="O24" s="1646">
        <v>52</v>
      </c>
      <c r="P24" s="1646">
        <v>53</v>
      </c>
      <c r="Q24" s="1646">
        <v>53</v>
      </c>
      <c r="R24" s="1646">
        <v>53</v>
      </c>
      <c r="S24" s="1646">
        <v>55.5</v>
      </c>
      <c r="T24" s="1646"/>
    </row>
    <row r="25" spans="2:20" ht="15" x14ac:dyDescent="0.25">
      <c r="B25" s="1646" t="s">
        <v>1455</v>
      </c>
      <c r="P25" s="1646"/>
      <c r="Q25" s="1646"/>
      <c r="R25" s="1646"/>
      <c r="S25" s="1646"/>
      <c r="T25" s="1646"/>
    </row>
    <row r="26" spans="2:20" ht="15" x14ac:dyDescent="0.25">
      <c r="B26" s="1646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opLeftCell="A26" zoomScale="80" zoomScaleNormal="80" workbookViewId="0">
      <selection activeCell="F33" sqref="F33"/>
    </sheetView>
  </sheetViews>
  <sheetFormatPr defaultColWidth="9.140625" defaultRowHeight="13.5" outlineLevelRow="1" x14ac:dyDescent="0.25"/>
  <cols>
    <col min="1" max="1" width="17.42578125" style="976" customWidth="1"/>
    <col min="2" max="2" width="5.85546875" style="976" bestFit="1" customWidth="1"/>
    <col min="3" max="3" width="63.7109375" style="976" customWidth="1"/>
    <col min="4" max="6" width="13.140625" style="977" bestFit="1" customWidth="1"/>
    <col min="7" max="7" width="17.5703125" style="978" customWidth="1"/>
    <col min="8" max="8" width="12.85546875" style="1288" bestFit="1" customWidth="1"/>
    <col min="9" max="9" width="11.42578125" style="1289" bestFit="1" customWidth="1"/>
    <col min="10" max="16384" width="9.140625" style="976"/>
  </cols>
  <sheetData>
    <row r="1" spans="1:10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8"/>
      <c r="H1" s="1249"/>
      <c r="I1" s="1250"/>
    </row>
    <row r="2" spans="1:10" s="1255" customFormat="1" ht="20.25" customHeight="1" x14ac:dyDescent="0.3">
      <c r="A2" s="2733" t="s">
        <v>1171</v>
      </c>
      <c r="B2" s="2733"/>
      <c r="C2" s="2734"/>
      <c r="D2" s="1251"/>
      <c r="E2" s="1251"/>
      <c r="F2" s="1251"/>
      <c r="G2" s="1252"/>
      <c r="H2" s="1253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256"/>
      <c r="I3" s="958"/>
    </row>
    <row r="4" spans="1:10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2048</v>
      </c>
      <c r="F4" s="1260" t="s">
        <v>2217</v>
      </c>
      <c r="G4" s="1261" t="s">
        <v>5</v>
      </c>
      <c r="H4" s="1256"/>
      <c r="I4" s="958" t="s">
        <v>711</v>
      </c>
    </row>
    <row r="5" spans="1:10" ht="15.75" customHeight="1" outlineLevel="1" x14ac:dyDescent="0.25">
      <c r="A5" s="1262">
        <v>6171</v>
      </c>
      <c r="B5" s="1263">
        <v>5153</v>
      </c>
      <c r="C5" s="1264"/>
      <c r="D5" s="1265">
        <v>0</v>
      </c>
      <c r="E5" s="1265">
        <v>0</v>
      </c>
      <c r="F5" s="1265">
        <f>[4]Správa!$B$12</f>
        <v>0</v>
      </c>
      <c r="G5" s="1266">
        <f>+F5-E5</f>
        <v>0</v>
      </c>
      <c r="H5" s="1256"/>
      <c r="I5" s="958"/>
    </row>
    <row r="6" spans="1:10" ht="15.75" customHeight="1" outlineLevel="1" x14ac:dyDescent="0.25">
      <c r="A6" s="1267">
        <v>6171</v>
      </c>
      <c r="B6" s="1268">
        <v>5153</v>
      </c>
      <c r="C6" s="1269">
        <v>0</v>
      </c>
      <c r="D6" s="1270">
        <v>682500</v>
      </c>
      <c r="E6" s="1270">
        <v>546000</v>
      </c>
      <c r="F6" s="1270">
        <f>[4]Správa!$B$13</f>
        <v>546000</v>
      </c>
      <c r="G6" s="1271">
        <f t="shared" ref="G6:G36" si="0">+F6-E6</f>
        <v>0</v>
      </c>
      <c r="H6" s="1256"/>
      <c r="I6" s="958"/>
    </row>
    <row r="7" spans="1:10" ht="15.75" customHeight="1" outlineLevel="1" x14ac:dyDescent="0.25">
      <c r="A7" s="1267">
        <v>6171</v>
      </c>
      <c r="B7" s="1268">
        <v>5153</v>
      </c>
      <c r="C7" s="1269"/>
      <c r="D7" s="1270"/>
      <c r="E7" s="1270"/>
      <c r="F7" s="1270"/>
      <c r="G7" s="1271">
        <f t="shared" si="0"/>
        <v>0</v>
      </c>
      <c r="H7" s="1256"/>
      <c r="I7" s="958"/>
    </row>
    <row r="8" spans="1:10" s="979" customFormat="1" ht="16.5" customHeight="1" thickBot="1" x14ac:dyDescent="0.3">
      <c r="A8" s="2731" t="s">
        <v>214</v>
      </c>
      <c r="B8" s="2732"/>
      <c r="C8" s="1924"/>
      <c r="D8" s="1925">
        <v>682500</v>
      </c>
      <c r="E8" s="1925">
        <v>546000</v>
      </c>
      <c r="F8" s="1925">
        <f>SUM(F5:F7)</f>
        <v>546000</v>
      </c>
      <c r="G8" s="1926">
        <f t="shared" si="0"/>
        <v>0</v>
      </c>
      <c r="H8" s="954">
        <f>'Výdaje kapitol celkem'!O24</f>
        <v>546000</v>
      </c>
      <c r="I8" s="1095">
        <f>+H8-F8</f>
        <v>0</v>
      </c>
      <c r="J8" s="987"/>
    </row>
    <row r="9" spans="1:10" ht="15.75" customHeight="1" outlineLevel="1" x14ac:dyDescent="0.25">
      <c r="A9" s="1262">
        <v>3314</v>
      </c>
      <c r="B9" s="1263">
        <v>5153</v>
      </c>
      <c r="C9" s="1264"/>
      <c r="D9" s="1265">
        <v>13000</v>
      </c>
      <c r="E9" s="1265">
        <v>9750</v>
      </c>
      <c r="F9" s="1265">
        <f>[4]Knihovna!$B$12</f>
        <v>9750</v>
      </c>
      <c r="G9" s="1266">
        <f t="shared" si="0"/>
        <v>0</v>
      </c>
      <c r="H9" s="1256"/>
      <c r="I9" s="1095"/>
      <c r="J9" s="987"/>
    </row>
    <row r="10" spans="1:10" ht="15.75" hidden="1" customHeight="1" outlineLevel="1" x14ac:dyDescent="0.25">
      <c r="A10" s="1267">
        <v>3314</v>
      </c>
      <c r="B10" s="1268">
        <v>5153</v>
      </c>
      <c r="C10" s="1269">
        <v>0</v>
      </c>
      <c r="D10" s="1270">
        <v>0</v>
      </c>
      <c r="E10" s="1270">
        <v>0</v>
      </c>
      <c r="F10" s="1270">
        <f>[4]Knihovna!$B$13</f>
        <v>0</v>
      </c>
      <c r="G10" s="1275">
        <f t="shared" si="0"/>
        <v>0</v>
      </c>
      <c r="H10" s="1256"/>
      <c r="I10" s="1095"/>
      <c r="J10" s="987"/>
    </row>
    <row r="11" spans="1:10" s="979" customFormat="1" ht="16.5" customHeight="1" thickBot="1" x14ac:dyDescent="0.3">
      <c r="A11" s="2731" t="s">
        <v>1184</v>
      </c>
      <c r="B11" s="2732"/>
      <c r="C11" s="1924"/>
      <c r="D11" s="1925">
        <v>13000</v>
      </c>
      <c r="E11" s="1925">
        <v>9750</v>
      </c>
      <c r="F11" s="1925">
        <f>SUM(F9:F10)</f>
        <v>9750</v>
      </c>
      <c r="G11" s="1926">
        <f t="shared" si="0"/>
        <v>0</v>
      </c>
      <c r="H11" s="954">
        <f>'Výdaje kapitol celkem'!Y24</f>
        <v>9750</v>
      </c>
      <c r="I11" s="1095">
        <f>+H11-F11</f>
        <v>0</v>
      </c>
      <c r="J11" s="987"/>
    </row>
    <row r="12" spans="1:10" ht="15.75" customHeight="1" outlineLevel="1" x14ac:dyDescent="0.25">
      <c r="A12" s="1262">
        <v>3612</v>
      </c>
      <c r="B12" s="1263">
        <v>5153</v>
      </c>
      <c r="C12" s="1264"/>
      <c r="D12" s="1265">
        <v>312000</v>
      </c>
      <c r="E12" s="1265">
        <v>234000</v>
      </c>
      <c r="F12" s="1265">
        <f>[4]Byty!$B$12</f>
        <v>234000</v>
      </c>
      <c r="G12" s="1266">
        <f t="shared" si="0"/>
        <v>0</v>
      </c>
      <c r="H12" s="1256"/>
      <c r="I12" s="1095"/>
      <c r="J12" s="987"/>
    </row>
    <row r="13" spans="1:10" ht="15.75" hidden="1" customHeight="1" outlineLevel="1" x14ac:dyDescent="0.25">
      <c r="A13" s="1267">
        <v>3612</v>
      </c>
      <c r="B13" s="1268">
        <v>5153</v>
      </c>
      <c r="C13" s="1269">
        <v>0</v>
      </c>
      <c r="D13" s="1270">
        <v>0</v>
      </c>
      <c r="E13" s="1270">
        <v>0</v>
      </c>
      <c r="F13" s="1270">
        <f>[4]Byty!$B$13</f>
        <v>0</v>
      </c>
      <c r="G13" s="1271">
        <f t="shared" si="0"/>
        <v>0</v>
      </c>
      <c r="H13" s="1256"/>
      <c r="I13" s="1095"/>
      <c r="J13" s="987"/>
    </row>
    <row r="14" spans="1:10" s="979" customFormat="1" ht="16.5" customHeight="1" thickBot="1" x14ac:dyDescent="0.3">
      <c r="A14" s="2731" t="s">
        <v>201</v>
      </c>
      <c r="B14" s="2732"/>
      <c r="C14" s="1924"/>
      <c r="D14" s="1925">
        <v>312000</v>
      </c>
      <c r="E14" s="1925">
        <v>234000</v>
      </c>
      <c r="F14" s="1925">
        <f>SUM(F12:F13)</f>
        <v>234000</v>
      </c>
      <c r="G14" s="1926">
        <f t="shared" si="0"/>
        <v>0</v>
      </c>
      <c r="H14" s="954">
        <f>'Výdaje kapitol celkem'!AB24</f>
        <v>234000</v>
      </c>
      <c r="I14" s="1095">
        <f>+H14-F14</f>
        <v>0</v>
      </c>
      <c r="J14" s="987"/>
    </row>
    <row r="15" spans="1:10" ht="16.5" customHeight="1" outlineLevel="1" x14ac:dyDescent="0.25">
      <c r="A15" s="1277" t="s">
        <v>200</v>
      </c>
      <c r="B15" s="1281">
        <v>5153</v>
      </c>
      <c r="C15" s="1278"/>
      <c r="D15" s="1279">
        <v>2420000</v>
      </c>
      <c r="E15" s="1279">
        <v>1815000</v>
      </c>
      <c r="F15" s="1279">
        <f>[4]DPS!$B$12</f>
        <v>1815000</v>
      </c>
      <c r="G15" s="1280">
        <f t="shared" si="0"/>
        <v>0</v>
      </c>
      <c r="H15" s="1256"/>
      <c r="I15" s="1095"/>
      <c r="J15" s="987"/>
    </row>
    <row r="16" spans="1:10" ht="16.5" hidden="1" customHeight="1" outlineLevel="1" x14ac:dyDescent="0.25">
      <c r="A16" s="1277" t="s">
        <v>200</v>
      </c>
      <c r="B16" s="1281">
        <v>5153</v>
      </c>
      <c r="C16" s="1278">
        <v>0</v>
      </c>
      <c r="D16" s="1279">
        <v>0</v>
      </c>
      <c r="E16" s="1279">
        <v>0</v>
      </c>
      <c r="F16" s="1279">
        <f>[4]DPS!$B$13</f>
        <v>0</v>
      </c>
      <c r="G16" s="1280">
        <f t="shared" si="0"/>
        <v>0</v>
      </c>
      <c r="H16" s="1256"/>
      <c r="I16" s="1095"/>
      <c r="J16" s="987"/>
    </row>
    <row r="17" spans="1:10" ht="16.5" customHeight="1" thickBot="1" x14ac:dyDescent="0.3">
      <c r="A17" s="2731" t="s">
        <v>202</v>
      </c>
      <c r="B17" s="2732"/>
      <c r="C17" s="1924"/>
      <c r="D17" s="1925">
        <v>2420000</v>
      </c>
      <c r="E17" s="1925">
        <v>1815000</v>
      </c>
      <c r="F17" s="1925">
        <f>SUM(F15:F16)</f>
        <v>1815000</v>
      </c>
      <c r="G17" s="1926">
        <f t="shared" si="0"/>
        <v>0</v>
      </c>
      <c r="H17" s="954">
        <f>'Výdaje kapitol celkem'!AE24</f>
        <v>1815000</v>
      </c>
      <c r="I17" s="1095">
        <f>+H17-F17</f>
        <v>0</v>
      </c>
      <c r="J17" s="987"/>
    </row>
    <row r="18" spans="1:10" ht="17.100000000000001" customHeight="1" outlineLevel="1" x14ac:dyDescent="0.25">
      <c r="A18" s="1267" t="s">
        <v>1262</v>
      </c>
      <c r="B18" s="1268">
        <v>5153</v>
      </c>
      <c r="C18" s="1269"/>
      <c r="D18" s="1270">
        <v>396000</v>
      </c>
      <c r="E18" s="1270">
        <v>343200</v>
      </c>
      <c r="F18" s="1270">
        <f>'[4]Hotel Budka'!$B$12</f>
        <v>343200</v>
      </c>
      <c r="G18" s="1275">
        <f t="shared" si="0"/>
        <v>0</v>
      </c>
      <c r="H18" s="1256"/>
      <c r="I18" s="1095"/>
      <c r="J18" s="987"/>
    </row>
    <row r="19" spans="1:10" ht="16.5" hidden="1" customHeight="1" outlineLevel="1" x14ac:dyDescent="0.25">
      <c r="A19" s="1277" t="s">
        <v>1262</v>
      </c>
      <c r="B19" s="1281">
        <v>5153</v>
      </c>
      <c r="C19" s="1278"/>
      <c r="D19" s="1279">
        <v>0</v>
      </c>
      <c r="E19" s="1279">
        <v>0</v>
      </c>
      <c r="F19" s="1279">
        <f>'[4]Hotel Budka'!$B$13</f>
        <v>0</v>
      </c>
      <c r="G19" s="1282">
        <f t="shared" si="0"/>
        <v>0</v>
      </c>
      <c r="H19" s="1256"/>
      <c r="I19" s="1095"/>
      <c r="J19" s="987"/>
    </row>
    <row r="20" spans="1:10" ht="19.5" customHeight="1" thickBot="1" x14ac:dyDescent="0.3">
      <c r="A20" s="2731" t="s">
        <v>1450</v>
      </c>
      <c r="B20" s="2732"/>
      <c r="C20" s="1924"/>
      <c r="D20" s="1925">
        <v>396000</v>
      </c>
      <c r="E20" s="1925">
        <v>343200</v>
      </c>
      <c r="F20" s="1925">
        <f>SUM(F18:F19)</f>
        <v>343200</v>
      </c>
      <c r="G20" s="1926">
        <f t="shared" si="0"/>
        <v>0</v>
      </c>
      <c r="H20" s="954">
        <f>'Výdaje kapitol celkem'!X24</f>
        <v>343200</v>
      </c>
      <c r="I20" s="1095">
        <f>+H20-F20</f>
        <v>0</v>
      </c>
      <c r="J20" s="987"/>
    </row>
    <row r="21" spans="1:10" ht="16.5" customHeight="1" outlineLevel="1" x14ac:dyDescent="0.25">
      <c r="A21" s="1267">
        <v>3613</v>
      </c>
      <c r="B21" s="1268">
        <v>5153</v>
      </c>
      <c r="C21" s="1269"/>
      <c r="D21" s="1270">
        <v>1300000</v>
      </c>
      <c r="E21" s="1270">
        <v>975000</v>
      </c>
      <c r="F21" s="1270">
        <f>[4]Nebyty!$B$12</f>
        <v>975000</v>
      </c>
      <c r="G21" s="1275">
        <f t="shared" si="0"/>
        <v>0</v>
      </c>
      <c r="H21" s="1256"/>
      <c r="I21" s="1095"/>
      <c r="J21" s="987"/>
    </row>
    <row r="22" spans="1:10" ht="16.5" hidden="1" customHeight="1" outlineLevel="1" x14ac:dyDescent="0.25">
      <c r="A22" s="1277">
        <v>3613</v>
      </c>
      <c r="B22" s="1281">
        <v>5153</v>
      </c>
      <c r="C22" s="1278"/>
      <c r="D22" s="1279">
        <v>0</v>
      </c>
      <c r="E22" s="1279">
        <v>0</v>
      </c>
      <c r="F22" s="1279">
        <f>[4]Nebyty!$B$13</f>
        <v>0</v>
      </c>
      <c r="G22" s="1282">
        <f t="shared" si="0"/>
        <v>0</v>
      </c>
      <c r="H22" s="1256"/>
      <c r="I22" s="1095"/>
      <c r="J22" s="987"/>
    </row>
    <row r="23" spans="1:10" ht="19.5" customHeight="1" thickBot="1" x14ac:dyDescent="0.3">
      <c r="A23" s="2731" t="s">
        <v>203</v>
      </c>
      <c r="B23" s="2732"/>
      <c r="C23" s="1924"/>
      <c r="D23" s="1925">
        <v>1300000</v>
      </c>
      <c r="E23" s="1925">
        <v>975000</v>
      </c>
      <c r="F23" s="1925">
        <f>SUM(F21:F22)</f>
        <v>975000</v>
      </c>
      <c r="G23" s="1926">
        <f t="shared" si="0"/>
        <v>0</v>
      </c>
      <c r="H23" s="954">
        <f>'Výdaje kapitol celkem'!AH24</f>
        <v>975000</v>
      </c>
      <c r="I23" s="1095">
        <f>+H23-F23</f>
        <v>0</v>
      </c>
      <c r="J23" s="987"/>
    </row>
    <row r="24" spans="1:10" ht="20.25" customHeight="1" outlineLevel="1" x14ac:dyDescent="0.25">
      <c r="A24" s="1267">
        <v>5512</v>
      </c>
      <c r="B24" s="1268">
        <v>5153</v>
      </c>
      <c r="C24" s="1269"/>
      <c r="D24" s="1270">
        <v>130000</v>
      </c>
      <c r="E24" s="1270">
        <v>97500</v>
      </c>
      <c r="F24" s="1270">
        <f>[4]Hasiči!$B$12</f>
        <v>97500</v>
      </c>
      <c r="G24" s="1275">
        <f t="shared" si="0"/>
        <v>0</v>
      </c>
      <c r="H24" s="1256"/>
      <c r="I24" s="1095"/>
      <c r="J24" s="987"/>
    </row>
    <row r="25" spans="1:10" ht="20.25" hidden="1" customHeight="1" outlineLevel="1" x14ac:dyDescent="0.25">
      <c r="A25" s="1267">
        <v>5512</v>
      </c>
      <c r="B25" s="1268">
        <v>5153</v>
      </c>
      <c r="C25" s="1269"/>
      <c r="D25" s="1270">
        <v>0</v>
      </c>
      <c r="E25" s="1270">
        <v>0</v>
      </c>
      <c r="F25" s="1270">
        <f>[4]Hasiči!$B$13</f>
        <v>0</v>
      </c>
      <c r="G25" s="1275">
        <f t="shared" si="0"/>
        <v>0</v>
      </c>
      <c r="H25" s="1256"/>
      <c r="I25" s="1095"/>
      <c r="J25" s="987"/>
    </row>
    <row r="26" spans="1:10" ht="20.25" customHeight="1" thickBot="1" x14ac:dyDescent="0.3">
      <c r="A26" s="2731" t="s">
        <v>204</v>
      </c>
      <c r="B26" s="2732"/>
      <c r="C26" s="1924"/>
      <c r="D26" s="1925">
        <v>130000</v>
      </c>
      <c r="E26" s="1925">
        <v>97500</v>
      </c>
      <c r="F26" s="1925">
        <f>SUM(F24:F25)</f>
        <v>97500</v>
      </c>
      <c r="G26" s="1926">
        <f t="shared" si="0"/>
        <v>0</v>
      </c>
      <c r="H26" s="954">
        <f>'Výdaje kapitol celkem'!AK24</f>
        <v>97500</v>
      </c>
      <c r="I26" s="1095">
        <f>+H26-F26</f>
        <v>0</v>
      </c>
      <c r="J26" s="987"/>
    </row>
    <row r="27" spans="1:10" ht="20.25" hidden="1" customHeight="1" outlineLevel="1" x14ac:dyDescent="0.25">
      <c r="A27" s="1262">
        <v>3113</v>
      </c>
      <c r="B27" s="1263">
        <v>5153</v>
      </c>
      <c r="C27" s="1264"/>
      <c r="D27" s="1265">
        <v>0</v>
      </c>
      <c r="E27" s="1265">
        <v>0</v>
      </c>
      <c r="F27" s="1265">
        <f>[4]ZŠ!$B$12</f>
        <v>0</v>
      </c>
      <c r="G27" s="1266">
        <f t="shared" si="0"/>
        <v>0</v>
      </c>
      <c r="H27" s="1256"/>
      <c r="I27" s="1095"/>
      <c r="J27" s="987"/>
    </row>
    <row r="28" spans="1:10" ht="20.25" customHeight="1" outlineLevel="1" x14ac:dyDescent="0.25">
      <c r="A28" s="1277">
        <v>3113</v>
      </c>
      <c r="B28" s="1281">
        <v>5153</v>
      </c>
      <c r="C28" s="1278"/>
      <c r="D28" s="1283">
        <v>1750000</v>
      </c>
      <c r="E28" s="1283">
        <v>1225000</v>
      </c>
      <c r="F28" s="1283">
        <f>[4]ZŠ!$B$13</f>
        <v>1225000</v>
      </c>
      <c r="G28" s="1282">
        <f t="shared" si="0"/>
        <v>0</v>
      </c>
      <c r="H28" s="1256"/>
      <c r="I28" s="1095"/>
      <c r="J28" s="987"/>
    </row>
    <row r="29" spans="1:10" ht="20.25" customHeight="1" thickBot="1" x14ac:dyDescent="0.3">
      <c r="A29" s="2731" t="s">
        <v>1177</v>
      </c>
      <c r="B29" s="2732"/>
      <c r="C29" s="1924"/>
      <c r="D29" s="1925">
        <v>1750000</v>
      </c>
      <c r="E29" s="1925">
        <v>1225000</v>
      </c>
      <c r="F29" s="1925">
        <f>SUM(F27:F28)</f>
        <v>1225000</v>
      </c>
      <c r="G29" s="1926">
        <f t="shared" si="0"/>
        <v>0</v>
      </c>
      <c r="H29" s="954">
        <f>'Výdaje kapitol celkem'!AZ24</f>
        <v>1225000</v>
      </c>
      <c r="I29" s="1095">
        <f>+H29-F29</f>
        <v>0</v>
      </c>
      <c r="J29" s="987"/>
    </row>
    <row r="30" spans="1:10" ht="20.25" hidden="1" customHeight="1" outlineLevel="1" x14ac:dyDescent="0.25">
      <c r="A30" s="1262" t="s">
        <v>1552</v>
      </c>
      <c r="B30" s="1263">
        <v>5153</v>
      </c>
      <c r="C30" s="1264"/>
      <c r="D30" s="1265">
        <v>0</v>
      </c>
      <c r="E30" s="1265">
        <v>0</v>
      </c>
      <c r="F30" s="1265">
        <f>[4]SŠ!$B$12</f>
        <v>0</v>
      </c>
      <c r="G30" s="1266">
        <f t="shared" si="0"/>
        <v>0</v>
      </c>
      <c r="H30" s="1256"/>
      <c r="I30" s="1095"/>
      <c r="J30" s="987"/>
    </row>
    <row r="31" spans="1:10" ht="20.25" hidden="1" customHeight="1" outlineLevel="1" x14ac:dyDescent="0.25">
      <c r="A31" s="1277" t="s">
        <v>1552</v>
      </c>
      <c r="B31" s="1281">
        <v>5153</v>
      </c>
      <c r="C31" s="1278"/>
      <c r="D31" s="1283">
        <v>0</v>
      </c>
      <c r="E31" s="1283">
        <v>0</v>
      </c>
      <c r="F31" s="1283">
        <f>[4]SŠ!$B$13</f>
        <v>0</v>
      </c>
      <c r="G31" s="1282">
        <f t="shared" si="0"/>
        <v>0</v>
      </c>
      <c r="H31" s="1256"/>
      <c r="I31" s="1095"/>
      <c r="J31" s="987"/>
    </row>
    <row r="32" spans="1:10" ht="20.25" hidden="1" customHeight="1" collapsed="1" thickBot="1" x14ac:dyDescent="0.3">
      <c r="A32" s="2731" t="s">
        <v>1592</v>
      </c>
      <c r="B32" s="2732"/>
      <c r="C32" s="1924"/>
      <c r="D32" s="1925">
        <v>0</v>
      </c>
      <c r="E32" s="1925">
        <v>0</v>
      </c>
      <c r="F32" s="1925">
        <f>SUM(F30:F31)</f>
        <v>0</v>
      </c>
      <c r="G32" s="1926">
        <f t="shared" si="0"/>
        <v>0</v>
      </c>
      <c r="H32" s="954">
        <f>'Výdaje kapitol celkem'!AZ27</f>
        <v>0</v>
      </c>
      <c r="I32" s="1095">
        <f>+H32-F32</f>
        <v>0</v>
      </c>
      <c r="J32" s="987"/>
    </row>
    <row r="33" spans="1:10" ht="20.25" customHeight="1" outlineLevel="1" x14ac:dyDescent="0.25">
      <c r="A33" s="1262">
        <v>3114</v>
      </c>
      <c r="B33" s="1263">
        <v>5153</v>
      </c>
      <c r="C33" s="1264"/>
      <c r="D33" s="1265">
        <v>260000</v>
      </c>
      <c r="E33" s="1265">
        <v>195000</v>
      </c>
      <c r="F33" s="1265">
        <f>[4]č.p.65!$B$12</f>
        <v>195000</v>
      </c>
      <c r="G33" s="1266">
        <f t="shared" si="0"/>
        <v>0</v>
      </c>
      <c r="H33" s="1256"/>
      <c r="I33" s="1095"/>
      <c r="J33" s="987"/>
    </row>
    <row r="34" spans="1:10" ht="20.25" hidden="1" customHeight="1" outlineLevel="1" x14ac:dyDescent="0.25">
      <c r="A34" s="1277">
        <v>3114</v>
      </c>
      <c r="B34" s="1281">
        <v>5153</v>
      </c>
      <c r="C34" s="1278"/>
      <c r="D34" s="1283">
        <v>0</v>
      </c>
      <c r="E34" s="1283">
        <v>0</v>
      </c>
      <c r="F34" s="1283">
        <f>[4]č.p.65!$B$13</f>
        <v>0</v>
      </c>
      <c r="G34" s="1282">
        <f t="shared" si="0"/>
        <v>0</v>
      </c>
      <c r="H34" s="1256"/>
      <c r="I34" s="1095"/>
      <c r="J34" s="987"/>
    </row>
    <row r="35" spans="1:10" ht="20.25" customHeight="1" thickBot="1" x14ac:dyDescent="0.3">
      <c r="A35" s="2731" t="s">
        <v>213</v>
      </c>
      <c r="B35" s="2732"/>
      <c r="C35" s="1924"/>
      <c r="D35" s="1925">
        <v>260000</v>
      </c>
      <c r="E35" s="1925">
        <v>195000</v>
      </c>
      <c r="F35" s="1925">
        <f>SUM(F33:F34)</f>
        <v>195000</v>
      </c>
      <c r="G35" s="1926">
        <f t="shared" si="0"/>
        <v>0</v>
      </c>
      <c r="H35" s="954">
        <f>'Výdaje kapitol celkem'!BF24</f>
        <v>195000</v>
      </c>
      <c r="I35" s="1095">
        <f>+H35-F35</f>
        <v>0</v>
      </c>
      <c r="J35" s="987"/>
    </row>
    <row r="36" spans="1:10" s="1085" customFormat="1" ht="17.25" thickBot="1" x14ac:dyDescent="0.35">
      <c r="A36" s="2735" t="s">
        <v>1176</v>
      </c>
      <c r="B36" s="2736"/>
      <c r="C36" s="2737"/>
      <c r="D36" s="1284">
        <v>7263500</v>
      </c>
      <c r="E36" s="1284">
        <v>5440450</v>
      </c>
      <c r="F36" s="1284">
        <f>+F35+F29+F26+F23+F17+F14+F11+F8+F20+F32</f>
        <v>5440450</v>
      </c>
      <c r="G36" s="1285">
        <f t="shared" si="0"/>
        <v>0</v>
      </c>
      <c r="H36" s="1286"/>
      <c r="I36" s="1287"/>
      <c r="J36" s="987"/>
    </row>
    <row r="37" spans="1:10" x14ac:dyDescent="0.25">
      <c r="A37" s="919"/>
      <c r="B37" s="919"/>
      <c r="C37" s="919"/>
      <c r="D37" s="918">
        <v>7263500</v>
      </c>
      <c r="E37" s="918">
        <v>5440450</v>
      </c>
      <c r="F37" s="918">
        <f>'Výdaje kapitol celkem'!F24</f>
        <v>5440450</v>
      </c>
      <c r="G37" s="947"/>
      <c r="H37" s="1256"/>
      <c r="I37" s="958"/>
    </row>
    <row r="38" spans="1:10" s="980" customFormat="1" x14ac:dyDescent="0.25">
      <c r="A38" s="944"/>
      <c r="B38" s="944"/>
      <c r="C38" s="944" t="s">
        <v>218</v>
      </c>
      <c r="D38" s="947">
        <v>0</v>
      </c>
      <c r="E38" s="947">
        <v>0</v>
      </c>
      <c r="F38" s="947">
        <v>0</v>
      </c>
      <c r="G38" s="947"/>
      <c r="H38" s="1256"/>
      <c r="I38" s="958"/>
    </row>
    <row r="39" spans="1:10" x14ac:dyDescent="0.25">
      <c r="A39" s="1238" t="s">
        <v>546</v>
      </c>
      <c r="B39" s="919"/>
      <c r="C39" s="919"/>
      <c r="D39" s="918"/>
      <c r="E39" s="918"/>
      <c r="F39" s="918"/>
      <c r="G39" s="947"/>
      <c r="H39" s="1256"/>
      <c r="I39" s="958"/>
    </row>
  </sheetData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zoomScale="84" zoomScaleNormal="84" workbookViewId="0">
      <selection activeCell="E69" sqref="E69"/>
    </sheetView>
  </sheetViews>
  <sheetFormatPr defaultColWidth="9.140625" defaultRowHeight="13.5" outlineLevelRow="1" x14ac:dyDescent="0.25"/>
  <cols>
    <col min="1" max="1" width="28.140625" style="976" customWidth="1"/>
    <col min="2" max="2" width="7" style="976" customWidth="1"/>
    <col min="3" max="3" width="45.7109375" style="976" bestFit="1" customWidth="1"/>
    <col min="4" max="6" width="13.42578125" style="977" bestFit="1" customWidth="1"/>
    <col min="7" max="7" width="15" style="978" customWidth="1"/>
    <col min="8" max="8" width="11.7109375" style="1288" bestFit="1" customWidth="1"/>
    <col min="9" max="9" width="10.5703125" style="1289" bestFit="1" customWidth="1"/>
    <col min="10" max="16384" width="9.140625" style="976"/>
  </cols>
  <sheetData>
    <row r="1" spans="1:10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8"/>
      <c r="H1" s="1249"/>
      <c r="I1" s="1250"/>
    </row>
    <row r="2" spans="1:10" s="1255" customFormat="1" ht="20.25" customHeight="1" x14ac:dyDescent="0.3">
      <c r="A2" s="2733" t="s">
        <v>1172</v>
      </c>
      <c r="B2" s="2733"/>
      <c r="C2" s="2734"/>
      <c r="D2" s="1251"/>
      <c r="E2" s="1251"/>
      <c r="F2" s="1251"/>
      <c r="G2" s="1252"/>
      <c r="H2" s="1253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256"/>
      <c r="I3" s="958"/>
    </row>
    <row r="4" spans="1:10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2048</v>
      </c>
      <c r="F4" s="1260" t="s">
        <v>2217</v>
      </c>
      <c r="G4" s="1261" t="s">
        <v>5</v>
      </c>
      <c r="H4" s="1256"/>
      <c r="I4" s="958" t="s">
        <v>711</v>
      </c>
    </row>
    <row r="5" spans="1:10" ht="15.75" customHeight="1" outlineLevel="1" x14ac:dyDescent="0.25">
      <c r="A5" s="1262">
        <v>6171</v>
      </c>
      <c r="B5" s="1263">
        <v>5154</v>
      </c>
      <c r="C5" s="1264"/>
      <c r="D5" s="1265">
        <v>390000</v>
      </c>
      <c r="E5" s="1265">
        <v>292500</v>
      </c>
      <c r="F5" s="1265">
        <f>[4]Správa!$B$19</f>
        <v>292500</v>
      </c>
      <c r="G5" s="1266">
        <f>+F5-E5</f>
        <v>0</v>
      </c>
      <c r="H5" s="1256"/>
      <c r="I5" s="958"/>
    </row>
    <row r="6" spans="1:10" ht="15.75" customHeight="1" outlineLevel="1" x14ac:dyDescent="0.25">
      <c r="A6" s="1267">
        <v>6171</v>
      </c>
      <c r="B6" s="1268">
        <v>5154</v>
      </c>
      <c r="C6" s="1269"/>
      <c r="D6" s="1270">
        <v>682500</v>
      </c>
      <c r="E6" s="1270">
        <v>591500</v>
      </c>
      <c r="F6" s="1270">
        <f>[4]Správa!$B$20</f>
        <v>591500</v>
      </c>
      <c r="G6" s="1271">
        <f t="shared" ref="G6:G66" si="0">+F6-E6</f>
        <v>0</v>
      </c>
      <c r="H6" s="1256"/>
      <c r="I6" s="958"/>
    </row>
    <row r="7" spans="1:10" ht="15.75" hidden="1" customHeight="1" outlineLevel="1" x14ac:dyDescent="0.25">
      <c r="A7" s="1267">
        <v>6171</v>
      </c>
      <c r="B7" s="1268">
        <v>5154</v>
      </c>
      <c r="C7" s="1269"/>
      <c r="D7" s="1270"/>
      <c r="E7" s="1270"/>
      <c r="F7" s="1270"/>
      <c r="G7" s="1271">
        <f t="shared" si="0"/>
        <v>0</v>
      </c>
      <c r="H7" s="1256"/>
      <c r="I7" s="958"/>
    </row>
    <row r="8" spans="1:10" s="979" customFormat="1" ht="16.5" customHeight="1" thickBot="1" x14ac:dyDescent="0.3">
      <c r="A8" s="2731" t="s">
        <v>214</v>
      </c>
      <c r="B8" s="2732"/>
      <c r="C8" s="1924"/>
      <c r="D8" s="1925">
        <v>1072500</v>
      </c>
      <c r="E8" s="1925">
        <v>884000</v>
      </c>
      <c r="F8" s="1925">
        <f>SUM(F5:F7)</f>
        <v>884000</v>
      </c>
      <c r="G8" s="1926">
        <f t="shared" si="0"/>
        <v>0</v>
      </c>
      <c r="H8" s="954">
        <f>'Výdaje kapitol celkem'!O25</f>
        <v>884000</v>
      </c>
      <c r="I8" s="1095">
        <f>+H8-F8</f>
        <v>0</v>
      </c>
      <c r="J8" s="987"/>
    </row>
    <row r="9" spans="1:10" ht="15.75" customHeight="1" outlineLevel="1" x14ac:dyDescent="0.25">
      <c r="A9" s="1262">
        <v>3314</v>
      </c>
      <c r="B9" s="1263">
        <v>5154</v>
      </c>
      <c r="C9" s="1264"/>
      <c r="D9" s="1265">
        <v>265500</v>
      </c>
      <c r="E9" s="1265">
        <v>230100</v>
      </c>
      <c r="F9" s="1265">
        <f>[4]Knihovna!$B$19</f>
        <v>230100</v>
      </c>
      <c r="G9" s="1266">
        <f t="shared" si="0"/>
        <v>0</v>
      </c>
      <c r="H9" s="1256"/>
      <c r="I9" s="1095"/>
      <c r="J9" s="987"/>
    </row>
    <row r="10" spans="1:10" ht="15.75" hidden="1" customHeight="1" outlineLevel="1" x14ac:dyDescent="0.25">
      <c r="A10" s="1267">
        <v>3314</v>
      </c>
      <c r="B10" s="1268">
        <v>5154</v>
      </c>
      <c r="C10" s="1269"/>
      <c r="D10" s="1270">
        <v>0</v>
      </c>
      <c r="E10" s="1270">
        <v>0</v>
      </c>
      <c r="F10" s="1270">
        <f>[4]Knihovna!$B$20</f>
        <v>0</v>
      </c>
      <c r="G10" s="1275">
        <f t="shared" si="0"/>
        <v>0</v>
      </c>
      <c r="H10" s="1256"/>
      <c r="I10" s="1095"/>
      <c r="J10" s="987"/>
    </row>
    <row r="11" spans="1:10" s="979" customFormat="1" ht="16.5" customHeight="1" thickBot="1" x14ac:dyDescent="0.3">
      <c r="A11" s="2731" t="s">
        <v>1184</v>
      </c>
      <c r="B11" s="2732"/>
      <c r="C11" s="1924"/>
      <c r="D11" s="1925">
        <v>265500</v>
      </c>
      <c r="E11" s="1925">
        <v>230100</v>
      </c>
      <c r="F11" s="1925">
        <f>SUM(F9:F10)</f>
        <v>230100</v>
      </c>
      <c r="G11" s="1926">
        <f t="shared" si="0"/>
        <v>0</v>
      </c>
      <c r="H11" s="954">
        <f>'Výdaje kapitol celkem'!Y25</f>
        <v>230100</v>
      </c>
      <c r="I11" s="1095">
        <f>+H11-F11</f>
        <v>0</v>
      </c>
      <c r="J11" s="987"/>
    </row>
    <row r="12" spans="1:10" ht="15.75" customHeight="1" outlineLevel="1" x14ac:dyDescent="0.25">
      <c r="A12" s="1262">
        <v>3612</v>
      </c>
      <c r="B12" s="1263">
        <v>5154</v>
      </c>
      <c r="C12" s="1264"/>
      <c r="D12" s="1265">
        <v>260000</v>
      </c>
      <c r="E12" s="1265">
        <v>195000</v>
      </c>
      <c r="F12" s="1265">
        <f>[4]Byty!$B$19</f>
        <v>195000</v>
      </c>
      <c r="G12" s="1266">
        <f t="shared" si="0"/>
        <v>0</v>
      </c>
      <c r="H12" s="1256"/>
      <c r="I12" s="1095"/>
      <c r="J12" s="987"/>
    </row>
    <row r="13" spans="1:10" ht="15.75" hidden="1" customHeight="1" outlineLevel="1" x14ac:dyDescent="0.25">
      <c r="A13" s="1267">
        <v>3612</v>
      </c>
      <c r="B13" s="1268">
        <v>5154</v>
      </c>
      <c r="C13" s="1269"/>
      <c r="D13" s="1270">
        <v>0</v>
      </c>
      <c r="E13" s="1270">
        <v>0</v>
      </c>
      <c r="F13" s="1270">
        <f>[4]Byty!$B$20</f>
        <v>0</v>
      </c>
      <c r="G13" s="1271">
        <f t="shared" si="0"/>
        <v>0</v>
      </c>
      <c r="H13" s="1256"/>
      <c r="I13" s="1095"/>
      <c r="J13" s="987"/>
    </row>
    <row r="14" spans="1:10" s="979" customFormat="1" ht="16.5" customHeight="1" thickBot="1" x14ac:dyDescent="0.3">
      <c r="A14" s="2731" t="s">
        <v>201</v>
      </c>
      <c r="B14" s="2732"/>
      <c r="C14" s="1924"/>
      <c r="D14" s="1925">
        <v>260000</v>
      </c>
      <c r="E14" s="1925">
        <v>195000</v>
      </c>
      <c r="F14" s="1925">
        <f>SUM(F12:F13)</f>
        <v>195000</v>
      </c>
      <c r="G14" s="1926">
        <f t="shared" si="0"/>
        <v>0</v>
      </c>
      <c r="H14" s="954">
        <f>'Výdaje kapitol celkem'!AB25</f>
        <v>195000</v>
      </c>
      <c r="I14" s="1095">
        <f>+H14-F14</f>
        <v>0</v>
      </c>
      <c r="J14" s="987"/>
    </row>
    <row r="15" spans="1:10" ht="16.5" customHeight="1" outlineLevel="1" x14ac:dyDescent="0.25">
      <c r="A15" s="1277" t="s">
        <v>200</v>
      </c>
      <c r="B15" s="1281">
        <v>5154</v>
      </c>
      <c r="C15" s="1278"/>
      <c r="D15" s="1279">
        <v>780000</v>
      </c>
      <c r="E15" s="1279">
        <v>585000</v>
      </c>
      <c r="F15" s="1279">
        <f>[4]DPS!$B$19</f>
        <v>585000</v>
      </c>
      <c r="G15" s="1280">
        <f t="shared" si="0"/>
        <v>0</v>
      </c>
      <c r="H15" s="1256"/>
      <c r="I15" s="1095"/>
      <c r="J15" s="987"/>
    </row>
    <row r="16" spans="1:10" ht="16.5" hidden="1" customHeight="1" outlineLevel="1" x14ac:dyDescent="0.25">
      <c r="A16" s="1277" t="s">
        <v>200</v>
      </c>
      <c r="B16" s="1281">
        <v>5154</v>
      </c>
      <c r="C16" s="1278"/>
      <c r="D16" s="1279">
        <v>0</v>
      </c>
      <c r="E16" s="1279">
        <v>0</v>
      </c>
      <c r="F16" s="1279">
        <f>[4]DPS!$B$20</f>
        <v>0</v>
      </c>
      <c r="G16" s="1280">
        <f t="shared" si="0"/>
        <v>0</v>
      </c>
      <c r="H16" s="1256"/>
      <c r="I16" s="1095"/>
      <c r="J16" s="987"/>
    </row>
    <row r="17" spans="1:10" ht="16.5" customHeight="1" thickBot="1" x14ac:dyDescent="0.3">
      <c r="A17" s="2731" t="s">
        <v>202</v>
      </c>
      <c r="B17" s="2732"/>
      <c r="C17" s="1924"/>
      <c r="D17" s="1925">
        <v>780000</v>
      </c>
      <c r="E17" s="1925">
        <v>585000</v>
      </c>
      <c r="F17" s="1925">
        <f>SUM(F15:F16)</f>
        <v>585000</v>
      </c>
      <c r="G17" s="1926">
        <f t="shared" si="0"/>
        <v>0</v>
      </c>
      <c r="H17" s="954">
        <f>'Výdaje kapitol celkem'!AE25</f>
        <v>585000</v>
      </c>
      <c r="I17" s="1095">
        <f>+H17-F17</f>
        <v>0</v>
      </c>
      <c r="J17" s="987"/>
    </row>
    <row r="18" spans="1:10" ht="16.5" customHeight="1" outlineLevel="1" x14ac:dyDescent="0.25">
      <c r="A18" s="1267">
        <v>3613</v>
      </c>
      <c r="B18" s="1268">
        <v>5154</v>
      </c>
      <c r="C18" s="1269"/>
      <c r="D18" s="1270">
        <v>300000</v>
      </c>
      <c r="E18" s="1270">
        <v>260000</v>
      </c>
      <c r="F18" s="1270">
        <f>'[4]Hotel Budka'!$B$19</f>
        <v>260000</v>
      </c>
      <c r="G18" s="1275">
        <f t="shared" si="0"/>
        <v>0</v>
      </c>
      <c r="H18" s="1256"/>
      <c r="I18" s="1095"/>
      <c r="J18" s="987"/>
    </row>
    <row r="19" spans="1:10" ht="16.5" hidden="1" customHeight="1" outlineLevel="1" x14ac:dyDescent="0.25">
      <c r="A19" s="1277">
        <v>3613</v>
      </c>
      <c r="B19" s="1281">
        <v>5154</v>
      </c>
      <c r="C19" s="1278"/>
      <c r="D19" s="1279">
        <v>0</v>
      </c>
      <c r="E19" s="1279">
        <v>0</v>
      </c>
      <c r="F19" s="1279">
        <f>'[4]Hotel Budka'!$B$20</f>
        <v>0</v>
      </c>
      <c r="G19" s="1282">
        <f t="shared" si="0"/>
        <v>0</v>
      </c>
      <c r="H19" s="1256"/>
      <c r="I19" s="1095"/>
      <c r="J19" s="987"/>
    </row>
    <row r="20" spans="1:10" ht="19.5" customHeight="1" thickBot="1" x14ac:dyDescent="0.3">
      <c r="A20" s="2731" t="s">
        <v>1450</v>
      </c>
      <c r="B20" s="2732"/>
      <c r="C20" s="1924"/>
      <c r="D20" s="1925">
        <v>300000</v>
      </c>
      <c r="E20" s="1925">
        <v>260000</v>
      </c>
      <c r="F20" s="1925">
        <f>SUM(F18:F19)</f>
        <v>260000</v>
      </c>
      <c r="G20" s="1926">
        <f t="shared" si="0"/>
        <v>0</v>
      </c>
      <c r="H20" s="954">
        <f>'Výdaje kapitol celkem'!X25</f>
        <v>260000</v>
      </c>
      <c r="I20" s="1095">
        <f>+H20-F20</f>
        <v>0</v>
      </c>
      <c r="J20" s="987"/>
    </row>
    <row r="21" spans="1:10" ht="16.5" customHeight="1" outlineLevel="1" x14ac:dyDescent="0.25">
      <c r="A21" s="1267">
        <v>3613</v>
      </c>
      <c r="B21" s="1268">
        <v>5154</v>
      </c>
      <c r="C21" s="1269"/>
      <c r="D21" s="1270">
        <v>699000</v>
      </c>
      <c r="E21" s="1270">
        <v>605800</v>
      </c>
      <c r="F21" s="1270">
        <f>[4]Nebyty!$B$19</f>
        <v>605800</v>
      </c>
      <c r="G21" s="1275">
        <f t="shared" si="0"/>
        <v>0</v>
      </c>
      <c r="H21" s="1256"/>
      <c r="I21" s="1095"/>
      <c r="J21" s="987"/>
    </row>
    <row r="22" spans="1:10" ht="16.5" hidden="1" customHeight="1" outlineLevel="1" x14ac:dyDescent="0.25">
      <c r="A22" s="1277">
        <v>3613</v>
      </c>
      <c r="B22" s="1281">
        <v>5154</v>
      </c>
      <c r="C22" s="1278"/>
      <c r="D22" s="1279">
        <v>0</v>
      </c>
      <c r="E22" s="1279">
        <v>0</v>
      </c>
      <c r="F22" s="1279">
        <f>[4]Nebyty!$B$20</f>
        <v>0</v>
      </c>
      <c r="G22" s="1282">
        <f t="shared" si="0"/>
        <v>0</v>
      </c>
      <c r="H22" s="1256"/>
      <c r="I22" s="1095"/>
      <c r="J22" s="987"/>
    </row>
    <row r="23" spans="1:10" ht="19.5" customHeight="1" thickBot="1" x14ac:dyDescent="0.3">
      <c r="A23" s="2731" t="s">
        <v>203</v>
      </c>
      <c r="B23" s="2732"/>
      <c r="C23" s="1924"/>
      <c r="D23" s="1925">
        <v>699000</v>
      </c>
      <c r="E23" s="1925">
        <v>605800</v>
      </c>
      <c r="F23" s="1925">
        <f>SUM(F21:F22)</f>
        <v>605800</v>
      </c>
      <c r="G23" s="1926">
        <f t="shared" si="0"/>
        <v>0</v>
      </c>
      <c r="H23" s="954">
        <f>'Výdaje kapitol celkem'!AH25</f>
        <v>605800</v>
      </c>
      <c r="I23" s="1095">
        <f>+H23-F23</f>
        <v>0</v>
      </c>
      <c r="J23" s="987"/>
    </row>
    <row r="24" spans="1:10" ht="20.25" customHeight="1" outlineLevel="1" x14ac:dyDescent="0.25">
      <c r="A24" s="1267">
        <v>5512</v>
      </c>
      <c r="B24" s="1268">
        <v>5154</v>
      </c>
      <c r="C24" s="1269"/>
      <c r="D24" s="1270">
        <v>112000</v>
      </c>
      <c r="E24" s="1270">
        <v>106400</v>
      </c>
      <c r="F24" s="1270">
        <f>[4]Hasiči!$B$19</f>
        <v>106400</v>
      </c>
      <c r="G24" s="1275">
        <f t="shared" si="0"/>
        <v>0</v>
      </c>
      <c r="H24" s="1256"/>
      <c r="I24" s="1095"/>
      <c r="J24" s="987"/>
    </row>
    <row r="25" spans="1:10" ht="20.25" hidden="1" customHeight="1" outlineLevel="1" x14ac:dyDescent="0.25">
      <c r="A25" s="1267">
        <v>5512</v>
      </c>
      <c r="B25" s="1268">
        <v>5154</v>
      </c>
      <c r="C25" s="1269"/>
      <c r="D25" s="1270">
        <v>0</v>
      </c>
      <c r="E25" s="1270">
        <v>0</v>
      </c>
      <c r="F25" s="1270">
        <f>[4]Hasiči!$B$20</f>
        <v>0</v>
      </c>
      <c r="G25" s="1275">
        <f t="shared" si="0"/>
        <v>0</v>
      </c>
      <c r="H25" s="1256"/>
      <c r="I25" s="1095"/>
      <c r="J25" s="987"/>
    </row>
    <row r="26" spans="1:10" ht="20.25" customHeight="1" thickBot="1" x14ac:dyDescent="0.3">
      <c r="A26" s="2731" t="s">
        <v>204</v>
      </c>
      <c r="B26" s="2732"/>
      <c r="C26" s="1924"/>
      <c r="D26" s="1925">
        <v>112000</v>
      </c>
      <c r="E26" s="1925">
        <v>106400</v>
      </c>
      <c r="F26" s="1925">
        <f>SUM(F24:F25)</f>
        <v>106400</v>
      </c>
      <c r="G26" s="1926">
        <f t="shared" si="0"/>
        <v>0</v>
      </c>
      <c r="H26" s="954">
        <f>'Výdaje kapitol celkem'!AK25</f>
        <v>106400</v>
      </c>
      <c r="I26" s="1095">
        <f>+H26-F26</f>
        <v>0</v>
      </c>
      <c r="J26" s="987"/>
    </row>
    <row r="27" spans="1:10" ht="20.25" hidden="1" customHeight="1" outlineLevel="1" x14ac:dyDescent="0.25">
      <c r="A27" s="1262">
        <v>3429</v>
      </c>
      <c r="B27" s="1263">
        <v>5154</v>
      </c>
      <c r="C27" s="1264"/>
      <c r="D27" s="1265">
        <v>0</v>
      </c>
      <c r="E27" s="1265">
        <v>0</v>
      </c>
      <c r="F27" s="1265">
        <f>[4]TESKO!$B$5</f>
        <v>0</v>
      </c>
      <c r="G27" s="1266">
        <f t="shared" si="0"/>
        <v>0</v>
      </c>
      <c r="H27" s="1256"/>
      <c r="I27" s="1095"/>
      <c r="J27" s="987"/>
    </row>
    <row r="28" spans="1:10" ht="20.25" hidden="1" customHeight="1" outlineLevel="1" x14ac:dyDescent="0.25">
      <c r="A28" s="1277">
        <v>3429</v>
      </c>
      <c r="B28" s="1281">
        <v>5154</v>
      </c>
      <c r="C28" s="1278"/>
      <c r="D28" s="1283">
        <v>0</v>
      </c>
      <c r="E28" s="1283">
        <v>0</v>
      </c>
      <c r="F28" s="1283">
        <f>[4]TESKO!$B$6</f>
        <v>0</v>
      </c>
      <c r="G28" s="1282">
        <f t="shared" si="0"/>
        <v>0</v>
      </c>
      <c r="H28" s="1256"/>
      <c r="I28" s="1095"/>
      <c r="J28" s="987"/>
    </row>
    <row r="29" spans="1:10" ht="20.25" hidden="1" customHeight="1" collapsed="1" thickBot="1" x14ac:dyDescent="0.3">
      <c r="A29" s="2731" t="s">
        <v>1178</v>
      </c>
      <c r="B29" s="2732"/>
      <c r="C29" s="1924"/>
      <c r="D29" s="1925">
        <v>0</v>
      </c>
      <c r="E29" s="1925">
        <v>0</v>
      </c>
      <c r="F29" s="1925">
        <f>SUM(F27:F28)</f>
        <v>0</v>
      </c>
      <c r="G29" s="1926">
        <f t="shared" si="0"/>
        <v>0</v>
      </c>
      <c r="H29" s="954">
        <f>'Výdaje kapitol celkem'!AM25</f>
        <v>0</v>
      </c>
      <c r="I29" s="1095" t="e">
        <f>+H29-#REF!</f>
        <v>#REF!</v>
      </c>
      <c r="J29" s="987"/>
    </row>
    <row r="30" spans="1:10" ht="20.25" hidden="1" customHeight="1" outlineLevel="1" x14ac:dyDescent="0.25">
      <c r="A30" s="1262">
        <v>3412</v>
      </c>
      <c r="B30" s="1263">
        <v>5154</v>
      </c>
      <c r="C30" s="1264"/>
      <c r="D30" s="1265">
        <v>0</v>
      </c>
      <c r="E30" s="1265">
        <v>0</v>
      </c>
      <c r="F30" s="1265">
        <f>[4]Koupaliště!$B$5</f>
        <v>0</v>
      </c>
      <c r="G30" s="1266">
        <f t="shared" si="0"/>
        <v>0</v>
      </c>
      <c r="H30" s="1256"/>
      <c r="I30" s="1095"/>
      <c r="J30" s="987"/>
    </row>
    <row r="31" spans="1:10" ht="20.25" hidden="1" customHeight="1" outlineLevel="1" x14ac:dyDescent="0.25">
      <c r="A31" s="1277">
        <v>3412</v>
      </c>
      <c r="B31" s="1281">
        <v>5154</v>
      </c>
      <c r="C31" s="1278"/>
      <c r="D31" s="1279">
        <v>0</v>
      </c>
      <c r="E31" s="1279">
        <v>0</v>
      </c>
      <c r="F31" s="1279">
        <f>[4]Koupaliště!$B$6</f>
        <v>0</v>
      </c>
      <c r="G31" s="1282">
        <f t="shared" si="0"/>
        <v>0</v>
      </c>
      <c r="H31" s="1256"/>
      <c r="I31" s="1095"/>
      <c r="J31" s="987"/>
    </row>
    <row r="32" spans="1:10" ht="20.25" hidden="1" customHeight="1" collapsed="1" thickBot="1" x14ac:dyDescent="0.3">
      <c r="A32" s="2731" t="s">
        <v>627</v>
      </c>
      <c r="B32" s="2732"/>
      <c r="C32" s="1924"/>
      <c r="D32" s="1925">
        <v>0</v>
      </c>
      <c r="E32" s="1925">
        <v>0</v>
      </c>
      <c r="F32" s="1925">
        <f>SUM(F30:F31)</f>
        <v>0</v>
      </c>
      <c r="G32" s="1926">
        <f t="shared" si="0"/>
        <v>0</v>
      </c>
      <c r="H32" s="954">
        <f>'Výdaje kapitol celkem'!AQ25</f>
        <v>0</v>
      </c>
      <c r="I32" s="1095" t="e">
        <f>+H32-#REF!</f>
        <v>#REF!</v>
      </c>
      <c r="J32" s="987"/>
    </row>
    <row r="33" spans="1:10" ht="20.25" customHeight="1" outlineLevel="1" x14ac:dyDescent="0.25">
      <c r="A33" s="1262">
        <v>3412</v>
      </c>
      <c r="B33" s="1263">
        <v>5154</v>
      </c>
      <c r="C33" s="1878"/>
      <c r="D33" s="1265">
        <v>60000</v>
      </c>
      <c r="E33" s="1265">
        <v>60000</v>
      </c>
      <c r="F33" s="1265">
        <f>[4]Hřiště!$B$5</f>
        <v>60000</v>
      </c>
      <c r="G33" s="1266">
        <f t="shared" si="0"/>
        <v>0</v>
      </c>
      <c r="H33" s="1256"/>
      <c r="I33" s="1095"/>
      <c r="J33" s="987"/>
    </row>
    <row r="34" spans="1:10" ht="20.25" hidden="1" customHeight="1" outlineLevel="1" x14ac:dyDescent="0.25">
      <c r="A34" s="1277">
        <v>3412</v>
      </c>
      <c r="B34" s="1281">
        <v>5154</v>
      </c>
      <c r="C34" s="1278"/>
      <c r="D34" s="1279">
        <v>0</v>
      </c>
      <c r="E34" s="1279">
        <v>0</v>
      </c>
      <c r="F34" s="1279">
        <f>[4]Hřiště!$B$6</f>
        <v>0</v>
      </c>
      <c r="G34" s="1282">
        <f t="shared" si="0"/>
        <v>0</v>
      </c>
      <c r="H34" s="1256"/>
      <c r="I34" s="1095"/>
      <c r="J34" s="987"/>
    </row>
    <row r="35" spans="1:10" ht="20.25" customHeight="1" thickBot="1" x14ac:dyDescent="0.3">
      <c r="A35" s="2731" t="s">
        <v>1192</v>
      </c>
      <c r="B35" s="2732"/>
      <c r="C35" s="1924"/>
      <c r="D35" s="1925">
        <v>60000</v>
      </c>
      <c r="E35" s="1925">
        <v>60000</v>
      </c>
      <c r="F35" s="1925">
        <f>SUM(F33:F34)</f>
        <v>60000</v>
      </c>
      <c r="G35" s="1926">
        <f t="shared" si="0"/>
        <v>0</v>
      </c>
      <c r="H35" s="954">
        <f>'Výdaje kapitol celkem'!AT25</f>
        <v>60000</v>
      </c>
      <c r="I35" s="1095">
        <f>+H35-F35</f>
        <v>0</v>
      </c>
      <c r="J35" s="987"/>
    </row>
    <row r="36" spans="1:10" ht="20.25" hidden="1" customHeight="1" outlineLevel="1" x14ac:dyDescent="0.25">
      <c r="A36" s="1262">
        <v>3113</v>
      </c>
      <c r="B36" s="1263">
        <v>5154</v>
      </c>
      <c r="C36" s="1878"/>
      <c r="D36" s="1265">
        <v>0</v>
      </c>
      <c r="E36" s="1265">
        <v>0</v>
      </c>
      <c r="F36" s="1265">
        <f>[4]ZŠ!$B$19</f>
        <v>0</v>
      </c>
      <c r="G36" s="1266">
        <f t="shared" si="0"/>
        <v>0</v>
      </c>
      <c r="H36" s="1256"/>
      <c r="I36" s="1095"/>
      <c r="J36" s="987"/>
    </row>
    <row r="37" spans="1:10" ht="20.25" customHeight="1" outlineLevel="1" x14ac:dyDescent="0.25">
      <c r="A37" s="1277">
        <v>3113</v>
      </c>
      <c r="B37" s="1281">
        <v>5154</v>
      </c>
      <c r="C37" s="1878"/>
      <c r="D37" s="1279">
        <v>825000</v>
      </c>
      <c r="E37" s="1279">
        <v>643500</v>
      </c>
      <c r="F37" s="1279">
        <f>[4]ZŠ!$B$20</f>
        <v>643500</v>
      </c>
      <c r="G37" s="1282">
        <f t="shared" si="0"/>
        <v>0</v>
      </c>
      <c r="H37" s="1256"/>
      <c r="I37" s="1095"/>
      <c r="J37" s="987"/>
    </row>
    <row r="38" spans="1:10" ht="20.25" customHeight="1" thickBot="1" x14ac:dyDescent="0.3">
      <c r="A38" s="2731" t="s">
        <v>1177</v>
      </c>
      <c r="B38" s="2732"/>
      <c r="C38" s="1924"/>
      <c r="D38" s="1925">
        <v>825000</v>
      </c>
      <c r="E38" s="1925">
        <v>643500</v>
      </c>
      <c r="F38" s="1925">
        <f>SUM(F36:F37)</f>
        <v>643500</v>
      </c>
      <c r="G38" s="1926">
        <f t="shared" si="0"/>
        <v>0</v>
      </c>
      <c r="H38" s="954">
        <f>'Výdaje kapitol celkem'!AZ25</f>
        <v>643500</v>
      </c>
      <c r="I38" s="1095">
        <f>+H38-F38</f>
        <v>0</v>
      </c>
      <c r="J38" s="987"/>
    </row>
    <row r="39" spans="1:10" ht="20.25" hidden="1" customHeight="1" outlineLevel="1" x14ac:dyDescent="0.25">
      <c r="A39" s="1262" t="s">
        <v>1552</v>
      </c>
      <c r="B39" s="1263">
        <v>5154</v>
      </c>
      <c r="C39" s="1264"/>
      <c r="D39" s="1265">
        <v>0</v>
      </c>
      <c r="E39" s="1265">
        <v>0</v>
      </c>
      <c r="F39" s="1265">
        <f>[4]SŠ!$B$19</f>
        <v>0</v>
      </c>
      <c r="G39" s="1266">
        <f t="shared" si="0"/>
        <v>0</v>
      </c>
      <c r="H39" s="1256"/>
      <c r="I39" s="1095"/>
      <c r="J39" s="987"/>
    </row>
    <row r="40" spans="1:10" ht="20.25" hidden="1" customHeight="1" outlineLevel="1" x14ac:dyDescent="0.25">
      <c r="A40" s="1277" t="s">
        <v>1552</v>
      </c>
      <c r="B40" s="1281">
        <v>5154</v>
      </c>
      <c r="C40" s="1278"/>
      <c r="D40" s="1279">
        <v>0</v>
      </c>
      <c r="E40" s="1279">
        <v>0</v>
      </c>
      <c r="F40" s="1279">
        <f>[4]SŠ!$B$20</f>
        <v>0</v>
      </c>
      <c r="G40" s="1282">
        <f t="shared" si="0"/>
        <v>0</v>
      </c>
      <c r="H40" s="1256"/>
      <c r="I40" s="1095"/>
      <c r="J40" s="987"/>
    </row>
    <row r="41" spans="1:10" ht="20.25" hidden="1" customHeight="1" collapsed="1" thickBot="1" x14ac:dyDescent="0.3">
      <c r="A41" s="2731" t="s">
        <v>1554</v>
      </c>
      <c r="B41" s="2732"/>
      <c r="C41" s="1924"/>
      <c r="D41" s="1925">
        <v>0</v>
      </c>
      <c r="E41" s="1925">
        <v>0</v>
      </c>
      <c r="F41" s="1925">
        <f>SUM(F39:F40)</f>
        <v>0</v>
      </c>
      <c r="G41" s="1926">
        <f t="shared" si="0"/>
        <v>0</v>
      </c>
      <c r="H41" s="954"/>
      <c r="I41" s="1095">
        <f>+H41-F41</f>
        <v>0</v>
      </c>
      <c r="J41" s="987"/>
    </row>
    <row r="42" spans="1:10" ht="20.25" hidden="1" customHeight="1" outlineLevel="1" x14ac:dyDescent="0.25">
      <c r="A42" s="1262">
        <v>3114</v>
      </c>
      <c r="B42" s="1263">
        <v>5154</v>
      </c>
      <c r="C42" s="1264"/>
      <c r="D42" s="1265">
        <v>260000</v>
      </c>
      <c r="E42" s="1265">
        <v>195000</v>
      </c>
      <c r="F42" s="1265">
        <f>[4]č.p.65!$B$19</f>
        <v>195000</v>
      </c>
      <c r="G42" s="1266">
        <f t="shared" si="0"/>
        <v>0</v>
      </c>
      <c r="H42" s="1256"/>
      <c r="I42" s="1095"/>
      <c r="J42" s="987"/>
    </row>
    <row r="43" spans="1:10" ht="20.25" hidden="1" customHeight="1" outlineLevel="1" x14ac:dyDescent="0.25">
      <c r="A43" s="1277">
        <v>3114</v>
      </c>
      <c r="B43" s="1281">
        <v>5154</v>
      </c>
      <c r="C43" s="1278"/>
      <c r="D43" s="1279">
        <v>0</v>
      </c>
      <c r="E43" s="1279">
        <v>0</v>
      </c>
      <c r="F43" s="1279">
        <f>[4]č.p.65!$B$20</f>
        <v>0</v>
      </c>
      <c r="G43" s="1282">
        <f t="shared" si="0"/>
        <v>0</v>
      </c>
      <c r="H43" s="1256"/>
      <c r="I43" s="1095"/>
      <c r="J43" s="987"/>
    </row>
    <row r="44" spans="1:10" ht="20.25" customHeight="1" collapsed="1" thickBot="1" x14ac:dyDescent="0.3">
      <c r="A44" s="2731" t="s">
        <v>213</v>
      </c>
      <c r="B44" s="2732"/>
      <c r="C44" s="1924"/>
      <c r="D44" s="1925">
        <v>260000</v>
      </c>
      <c r="E44" s="1925">
        <v>195000</v>
      </c>
      <c r="F44" s="1925">
        <f>SUM(F42:F43)</f>
        <v>195000</v>
      </c>
      <c r="G44" s="1926">
        <f t="shared" si="0"/>
        <v>0</v>
      </c>
      <c r="H44" s="1879">
        <f>'Výdaje kapitol celkem'!BF24</f>
        <v>195000</v>
      </c>
      <c r="I44" s="1880">
        <f>+H44-F44</f>
        <v>0</v>
      </c>
      <c r="J44" s="987"/>
    </row>
    <row r="45" spans="1:10" ht="20.25" customHeight="1" outlineLevel="1" x14ac:dyDescent="0.25">
      <c r="A45" s="1262">
        <v>3631</v>
      </c>
      <c r="B45" s="1263">
        <v>5154</v>
      </c>
      <c r="C45" s="1264"/>
      <c r="D45" s="1265">
        <v>3000000</v>
      </c>
      <c r="E45" s="1265">
        <v>3000000</v>
      </c>
      <c r="F45" s="1265">
        <v>3000000</v>
      </c>
      <c r="G45" s="1266">
        <f t="shared" si="0"/>
        <v>0</v>
      </c>
      <c r="H45" s="1256"/>
      <c r="I45" s="1095"/>
      <c r="J45" s="987"/>
    </row>
    <row r="46" spans="1:10" ht="20.25" customHeight="1" outlineLevel="1" x14ac:dyDescent="0.25">
      <c r="A46" s="1277">
        <v>3631</v>
      </c>
      <c r="B46" s="1281">
        <v>5154</v>
      </c>
      <c r="C46" s="1278"/>
      <c r="D46" s="1279">
        <v>30000</v>
      </c>
      <c r="E46" s="1279">
        <v>30000</v>
      </c>
      <c r="F46" s="1279">
        <v>30000</v>
      </c>
      <c r="G46" s="1282">
        <f t="shared" si="0"/>
        <v>0</v>
      </c>
      <c r="H46" s="1256"/>
      <c r="I46" s="1095"/>
      <c r="J46" s="987"/>
    </row>
    <row r="47" spans="1:10" ht="20.25" hidden="1" customHeight="1" outlineLevel="1" x14ac:dyDescent="0.25">
      <c r="A47" s="1277">
        <v>3631</v>
      </c>
      <c r="B47" s="1281">
        <v>5154</v>
      </c>
      <c r="C47" s="1278"/>
      <c r="D47" s="1283"/>
      <c r="E47" s="1283"/>
      <c r="F47" s="1283"/>
      <c r="G47" s="1282">
        <f t="shared" si="0"/>
        <v>0</v>
      </c>
      <c r="H47" s="1256"/>
      <c r="I47" s="1095"/>
      <c r="J47" s="987"/>
    </row>
    <row r="48" spans="1:10" ht="20.25" customHeight="1" thickBot="1" x14ac:dyDescent="0.3">
      <c r="A48" s="2731" t="s">
        <v>1179</v>
      </c>
      <c r="B48" s="2732"/>
      <c r="C48" s="1924"/>
      <c r="D48" s="1925">
        <v>3030000</v>
      </c>
      <c r="E48" s="1925">
        <v>3030000</v>
      </c>
      <c r="F48" s="1925">
        <f>SUM(F45:F47)</f>
        <v>3030000</v>
      </c>
      <c r="G48" s="1926">
        <f t="shared" si="0"/>
        <v>0</v>
      </c>
      <c r="H48" s="954">
        <f>'Výdaje kapitol celkem'!BZ25</f>
        <v>3030000</v>
      </c>
      <c r="I48" s="1095">
        <f>+H48-F48</f>
        <v>0</v>
      </c>
      <c r="J48" s="987"/>
    </row>
    <row r="49" spans="1:10" ht="20.25" customHeight="1" outlineLevel="1" x14ac:dyDescent="0.25">
      <c r="A49" s="1262">
        <v>2212</v>
      </c>
      <c r="B49" s="1263">
        <v>5154</v>
      </c>
      <c r="C49" s="1264"/>
      <c r="D49" s="1265">
        <v>80000</v>
      </c>
      <c r="E49" s="1265">
        <v>80000</v>
      </c>
      <c r="F49" s="1265">
        <v>80000</v>
      </c>
      <c r="G49" s="1266">
        <f t="shared" si="0"/>
        <v>0</v>
      </c>
      <c r="H49" s="1256"/>
      <c r="I49" s="1095"/>
      <c r="J49" s="987"/>
    </row>
    <row r="50" spans="1:10" ht="20.25" customHeight="1" outlineLevel="1" x14ac:dyDescent="0.25">
      <c r="A50" s="1277">
        <v>2212</v>
      </c>
      <c r="B50" s="1281">
        <v>5154</v>
      </c>
      <c r="C50" s="1278"/>
      <c r="D50" s="1283">
        <v>100000</v>
      </c>
      <c r="E50" s="1283">
        <v>100000</v>
      </c>
      <c r="F50" s="1283">
        <v>100000</v>
      </c>
      <c r="G50" s="1282">
        <f t="shared" si="0"/>
        <v>0</v>
      </c>
      <c r="H50" s="1256"/>
      <c r="I50" s="1095"/>
      <c r="J50" s="987"/>
    </row>
    <row r="51" spans="1:10" ht="20.25" customHeight="1" outlineLevel="1" x14ac:dyDescent="0.25">
      <c r="A51" s="1277">
        <v>2212</v>
      </c>
      <c r="B51" s="1281">
        <v>5154</v>
      </c>
      <c r="C51" s="1278"/>
      <c r="D51" s="1283">
        <v>20000</v>
      </c>
      <c r="E51" s="1283">
        <v>20000</v>
      </c>
      <c r="F51" s="1283">
        <v>20000</v>
      </c>
      <c r="G51" s="1282">
        <f t="shared" si="0"/>
        <v>0</v>
      </c>
      <c r="H51" s="1256"/>
      <c r="I51" s="1095"/>
      <c r="J51" s="987"/>
    </row>
    <row r="52" spans="1:10" ht="20.25" customHeight="1" thickBot="1" x14ac:dyDescent="0.3">
      <c r="A52" s="2731" t="s">
        <v>1180</v>
      </c>
      <c r="B52" s="2732"/>
      <c r="C52" s="1924"/>
      <c r="D52" s="1925">
        <v>200000</v>
      </c>
      <c r="E52" s="1925">
        <v>200000</v>
      </c>
      <c r="F52" s="1925">
        <f>SUM(F49:F51)</f>
        <v>200000</v>
      </c>
      <c r="G52" s="1926">
        <f t="shared" si="0"/>
        <v>0</v>
      </c>
      <c r="H52" s="954">
        <f>'Výdaje kapitol celkem'!CC25</f>
        <v>200000</v>
      </c>
      <c r="I52" s="1095">
        <f>+H52-F52</f>
        <v>0</v>
      </c>
      <c r="J52" s="987"/>
    </row>
    <row r="53" spans="1:10" ht="20.25" customHeight="1" outlineLevel="1" x14ac:dyDescent="0.25">
      <c r="A53" s="1262">
        <v>2221</v>
      </c>
      <c r="B53" s="1263">
        <v>5154</v>
      </c>
      <c r="C53" s="1264"/>
      <c r="D53" s="1265">
        <v>50000</v>
      </c>
      <c r="E53" s="1265">
        <v>50000</v>
      </c>
      <c r="F53" s="1265">
        <v>50000</v>
      </c>
      <c r="G53" s="1266">
        <f t="shared" si="0"/>
        <v>0</v>
      </c>
      <c r="H53" s="1256"/>
      <c r="I53" s="1095"/>
      <c r="J53" s="987"/>
    </row>
    <row r="54" spans="1:10" ht="20.25" hidden="1" customHeight="1" outlineLevel="1" x14ac:dyDescent="0.25">
      <c r="A54" s="1277">
        <v>2221</v>
      </c>
      <c r="B54" s="1281">
        <v>5154</v>
      </c>
      <c r="C54" s="1278"/>
      <c r="D54" s="1283"/>
      <c r="E54" s="1283"/>
      <c r="F54" s="1283"/>
      <c r="G54" s="1282">
        <f t="shared" si="0"/>
        <v>0</v>
      </c>
      <c r="H54" s="1256"/>
      <c r="I54" s="1095"/>
      <c r="J54" s="987"/>
    </row>
    <row r="55" spans="1:10" ht="20.25" customHeight="1" thickBot="1" x14ac:dyDescent="0.3">
      <c r="A55" s="2731" t="s">
        <v>1596</v>
      </c>
      <c r="B55" s="2732"/>
      <c r="C55" s="1924"/>
      <c r="D55" s="1925">
        <v>50000</v>
      </c>
      <c r="E55" s="1925">
        <v>50000</v>
      </c>
      <c r="F55" s="1925">
        <f>SUM(F53:F54)</f>
        <v>50000</v>
      </c>
      <c r="G55" s="1926">
        <f t="shared" si="0"/>
        <v>0</v>
      </c>
      <c r="H55" s="954">
        <f>'Výdaje kapitol celkem'!CF25</f>
        <v>50000</v>
      </c>
      <c r="I55" s="1095">
        <f>+H55-F55</f>
        <v>0</v>
      </c>
      <c r="J55" s="987"/>
    </row>
    <row r="56" spans="1:10" ht="20.25" customHeight="1" outlineLevel="1" x14ac:dyDescent="0.25">
      <c r="A56" s="1262">
        <v>2310</v>
      </c>
      <c r="B56" s="1263">
        <v>5154</v>
      </c>
      <c r="C56" s="1264"/>
      <c r="D56" s="1265">
        <v>320000</v>
      </c>
      <c r="E56" s="1265">
        <v>320000</v>
      </c>
      <c r="F56" s="1265">
        <v>320000</v>
      </c>
      <c r="G56" s="1266">
        <f t="shared" si="0"/>
        <v>0</v>
      </c>
      <c r="H56" s="1256"/>
      <c r="I56" s="1095"/>
      <c r="J56" s="987"/>
    </row>
    <row r="57" spans="1:10" ht="20.25" hidden="1" customHeight="1" outlineLevel="1" x14ac:dyDescent="0.25">
      <c r="A57" s="1277">
        <v>2310</v>
      </c>
      <c r="B57" s="1281">
        <v>5154</v>
      </c>
      <c r="C57" s="1278"/>
      <c r="D57" s="1283"/>
      <c r="E57" s="1283"/>
      <c r="F57" s="1283"/>
      <c r="G57" s="1282">
        <f t="shared" si="0"/>
        <v>0</v>
      </c>
      <c r="H57" s="1256"/>
      <c r="I57" s="1095"/>
      <c r="J57" s="987"/>
    </row>
    <row r="58" spans="1:10" ht="20.25" customHeight="1" thickBot="1" x14ac:dyDescent="0.3">
      <c r="A58" s="2731" t="s">
        <v>212</v>
      </c>
      <c r="B58" s="2732"/>
      <c r="C58" s="1924"/>
      <c r="D58" s="1925">
        <v>320000</v>
      </c>
      <c r="E58" s="1925">
        <v>320000</v>
      </c>
      <c r="F58" s="1925">
        <f>SUM(F56:F57)</f>
        <v>320000</v>
      </c>
      <c r="G58" s="1926">
        <f t="shared" si="0"/>
        <v>0</v>
      </c>
      <c r="H58" s="954">
        <f>'Výdaje kapitol celkem'!CG25</f>
        <v>320000</v>
      </c>
      <c r="I58" s="1095">
        <f>+H58-F58</f>
        <v>0</v>
      </c>
      <c r="J58" s="987"/>
    </row>
    <row r="59" spans="1:10" ht="20.25" customHeight="1" outlineLevel="1" x14ac:dyDescent="0.25">
      <c r="A59" s="1262" t="s">
        <v>180</v>
      </c>
      <c r="B59" s="1263">
        <v>5154</v>
      </c>
      <c r="C59" s="1264"/>
      <c r="D59" s="1265">
        <v>80000</v>
      </c>
      <c r="E59" s="1265">
        <v>80000</v>
      </c>
      <c r="F59" s="1265">
        <v>80000</v>
      </c>
      <c r="G59" s="1266">
        <f t="shared" si="0"/>
        <v>0</v>
      </c>
      <c r="H59" s="1256"/>
      <c r="I59" s="1095"/>
      <c r="J59" s="987"/>
    </row>
    <row r="60" spans="1:10" ht="20.25" hidden="1" customHeight="1" outlineLevel="1" x14ac:dyDescent="0.25">
      <c r="A60" s="1277" t="s">
        <v>180</v>
      </c>
      <c r="B60" s="1281">
        <v>5154</v>
      </c>
      <c r="C60" s="1278"/>
      <c r="D60" s="1283"/>
      <c r="E60" s="1283"/>
      <c r="F60" s="1283"/>
      <c r="G60" s="1282">
        <f t="shared" si="0"/>
        <v>0</v>
      </c>
      <c r="H60" s="1256"/>
      <c r="I60" s="1095"/>
      <c r="J60" s="987"/>
    </row>
    <row r="61" spans="1:10" ht="20.25" hidden="1" customHeight="1" outlineLevel="1" x14ac:dyDescent="0.25">
      <c r="A61" s="1277" t="s">
        <v>180</v>
      </c>
      <c r="B61" s="1281">
        <v>5154</v>
      </c>
      <c r="C61" s="1278"/>
      <c r="D61" s="1283"/>
      <c r="E61" s="1283"/>
      <c r="F61" s="1283"/>
      <c r="G61" s="1282">
        <f t="shared" si="0"/>
        <v>0</v>
      </c>
      <c r="H61" s="1256"/>
      <c r="I61" s="1095"/>
      <c r="J61" s="987"/>
    </row>
    <row r="62" spans="1:10" ht="14.25" thickBot="1" x14ac:dyDescent="0.3">
      <c r="A62" s="2731" t="s">
        <v>1222</v>
      </c>
      <c r="B62" s="2732"/>
      <c r="C62" s="1924"/>
      <c r="D62" s="1925">
        <v>80000</v>
      </c>
      <c r="E62" s="1925">
        <v>80000</v>
      </c>
      <c r="F62" s="1925">
        <f>SUM(F59:F61)</f>
        <v>80000</v>
      </c>
      <c r="G62" s="1926">
        <f t="shared" si="0"/>
        <v>0</v>
      </c>
      <c r="H62" s="954">
        <f>'Výdaje kapitol celkem'!CM25</f>
        <v>80000</v>
      </c>
      <c r="I62" s="1095">
        <f>+H62-F62</f>
        <v>0</v>
      </c>
      <c r="J62" s="987"/>
    </row>
    <row r="63" spans="1:10" ht="20.25" hidden="1" customHeight="1" outlineLevel="1" x14ac:dyDescent="0.25">
      <c r="A63" s="1262" t="s">
        <v>183</v>
      </c>
      <c r="B63" s="1263">
        <v>5154</v>
      </c>
      <c r="C63" s="1264"/>
      <c r="D63" s="1265">
        <v>0</v>
      </c>
      <c r="E63" s="1265">
        <v>0</v>
      </c>
      <c r="F63" s="1265">
        <f>'[6]TSÚ-Sběrný dvůr 3722-36'!$B$6</f>
        <v>0</v>
      </c>
      <c r="G63" s="1266">
        <f t="shared" si="0"/>
        <v>0</v>
      </c>
      <c r="H63" s="1256"/>
      <c r="I63" s="1095"/>
      <c r="J63" s="987"/>
    </row>
    <row r="64" spans="1:10" ht="20.25" hidden="1" customHeight="1" outlineLevel="1" x14ac:dyDescent="0.25">
      <c r="A64" s="1277" t="s">
        <v>183</v>
      </c>
      <c r="B64" s="1281">
        <v>5154</v>
      </c>
      <c r="C64" s="1278"/>
      <c r="D64" s="1283"/>
      <c r="E64" s="1283"/>
      <c r="F64" s="1283"/>
      <c r="G64" s="1282">
        <f t="shared" si="0"/>
        <v>0</v>
      </c>
      <c r="H64" s="1256"/>
      <c r="I64" s="1095"/>
      <c r="J64" s="987"/>
    </row>
    <row r="65" spans="1:10" ht="20.25" hidden="1" customHeight="1" collapsed="1" thickBot="1" x14ac:dyDescent="0.3">
      <c r="A65" s="2731" t="s">
        <v>1181</v>
      </c>
      <c r="B65" s="2732"/>
      <c r="C65" s="1924"/>
      <c r="D65" s="1925">
        <v>0</v>
      </c>
      <c r="E65" s="1925">
        <v>0</v>
      </c>
      <c r="F65" s="1925">
        <f>SUM(F63:F64)</f>
        <v>0</v>
      </c>
      <c r="G65" s="1926">
        <f t="shared" si="0"/>
        <v>0</v>
      </c>
      <c r="H65" s="954">
        <f>'Výdaje kapitol celkem'!DR25</f>
        <v>0</v>
      </c>
      <c r="I65" s="1095">
        <f>+H65-F65</f>
        <v>0</v>
      </c>
      <c r="J65" s="987"/>
    </row>
    <row r="66" spans="1:10" s="1085" customFormat="1" ht="17.25" thickBot="1" x14ac:dyDescent="0.35">
      <c r="A66" s="2738" t="s">
        <v>1175</v>
      </c>
      <c r="B66" s="2739"/>
      <c r="C66" s="2740"/>
      <c r="D66" s="1927">
        <v>8314000</v>
      </c>
      <c r="E66" s="1927">
        <v>7444800</v>
      </c>
      <c r="F66" s="1927">
        <f>+F65+F62+F58+F55+F52+F48+F41+F38+F32+F29+F26+F23+F17+F14+F11+F8+F35+F20+F44</f>
        <v>7444800</v>
      </c>
      <c r="G66" s="1928">
        <f t="shared" si="0"/>
        <v>0</v>
      </c>
      <c r="H66" s="1286"/>
      <c r="I66" s="1287"/>
      <c r="J66" s="987"/>
    </row>
    <row r="67" spans="1:10" x14ac:dyDescent="0.25">
      <c r="A67" s="919"/>
      <c r="B67" s="919"/>
      <c r="C67" s="919"/>
      <c r="D67" s="918">
        <v>8314000</v>
      </c>
      <c r="E67" s="918">
        <v>7444800</v>
      </c>
      <c r="F67" s="918">
        <f>'Výdaje kapitol celkem'!F25</f>
        <v>7444800</v>
      </c>
      <c r="G67" s="947"/>
      <c r="H67" s="1256"/>
      <c r="I67" s="958"/>
    </row>
    <row r="68" spans="1:10" s="980" customFormat="1" x14ac:dyDescent="0.25">
      <c r="A68" s="944"/>
      <c r="B68" s="944"/>
      <c r="C68" s="944" t="s">
        <v>218</v>
      </c>
      <c r="D68" s="947">
        <v>0</v>
      </c>
      <c r="E68" s="947">
        <v>0</v>
      </c>
      <c r="F68" s="947">
        <v>0</v>
      </c>
      <c r="G68" s="947"/>
      <c r="H68" s="1256"/>
      <c r="I68" s="958"/>
    </row>
    <row r="69" spans="1:10" x14ac:dyDescent="0.25">
      <c r="A69" s="1238" t="s">
        <v>546</v>
      </c>
      <c r="B69" s="919"/>
      <c r="C69" s="919"/>
      <c r="D69" s="918"/>
      <c r="E69" s="918"/>
      <c r="F69" s="918"/>
      <c r="G69" s="947"/>
      <c r="H69" s="1256"/>
      <c r="I69" s="958"/>
    </row>
  </sheetData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3"/>
  <sheetViews>
    <sheetView zoomScale="84" zoomScaleNormal="84" workbookViewId="0">
      <selection activeCell="E17" sqref="E17"/>
    </sheetView>
  </sheetViews>
  <sheetFormatPr defaultColWidth="9.140625" defaultRowHeight="13.5" outlineLevelRow="1" x14ac:dyDescent="0.25"/>
  <cols>
    <col min="1" max="1" width="15.28515625" style="976" customWidth="1"/>
    <col min="2" max="2" width="9.7109375" style="976" customWidth="1"/>
    <col min="3" max="3" width="57.7109375" style="976" customWidth="1"/>
    <col min="4" max="4" width="10.42578125" style="977" bestFit="1" customWidth="1"/>
    <col min="5" max="5" width="10.42578125" style="977" customWidth="1"/>
    <col min="6" max="6" width="10.42578125" style="977" bestFit="1" customWidth="1"/>
    <col min="7" max="7" width="11.85546875" style="978" customWidth="1"/>
    <col min="8" max="8" width="9.42578125" style="1328" bestFit="1" customWidth="1"/>
    <col min="9" max="9" width="10.140625" style="1289" bestFit="1" customWidth="1"/>
    <col min="10" max="16384" width="9.140625" style="976"/>
  </cols>
  <sheetData>
    <row r="1" spans="1:10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8"/>
      <c r="H1" s="1301"/>
      <c r="I1" s="1250"/>
    </row>
    <row r="2" spans="1:10" s="1255" customFormat="1" ht="20.25" customHeight="1" x14ac:dyDescent="0.3">
      <c r="A2" s="2733" t="s">
        <v>716</v>
      </c>
      <c r="B2" s="2733"/>
      <c r="C2" s="2734"/>
      <c r="D2" s="1251"/>
      <c r="E2" s="1251"/>
      <c r="F2" s="1251"/>
      <c r="G2" s="1252"/>
      <c r="H2" s="1302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303"/>
      <c r="I3" s="958"/>
    </row>
    <row r="4" spans="1:10" ht="14.25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2048</v>
      </c>
      <c r="F4" s="1307" t="s">
        <v>2217</v>
      </c>
      <c r="G4" s="1308" t="s">
        <v>5</v>
      </c>
      <c r="H4" s="1303" t="s">
        <v>768</v>
      </c>
      <c r="I4" s="958" t="s">
        <v>711</v>
      </c>
    </row>
    <row r="5" spans="1:10" ht="15.75" customHeight="1" outlineLevel="1" x14ac:dyDescent="0.25">
      <c r="A5" s="1309">
        <v>6409</v>
      </c>
      <c r="B5" s="1310">
        <v>5164</v>
      </c>
      <c r="C5" s="1311" t="s">
        <v>1744</v>
      </c>
      <c r="D5" s="1312">
        <v>12</v>
      </c>
      <c r="E5" s="1312">
        <v>12</v>
      </c>
      <c r="F5" s="1312">
        <f>'[3]Všeob. pokladna'!$B$12</f>
        <v>12</v>
      </c>
      <c r="G5" s="1313">
        <f>+F5-E5</f>
        <v>0</v>
      </c>
      <c r="H5" s="1303"/>
      <c r="I5" s="958"/>
    </row>
    <row r="6" spans="1:10" ht="15.75" hidden="1" customHeight="1" outlineLevel="1" x14ac:dyDescent="0.25">
      <c r="A6" s="1314">
        <v>6409</v>
      </c>
      <c r="B6" s="1315">
        <f>+B5</f>
        <v>5164</v>
      </c>
      <c r="C6" s="1316"/>
      <c r="D6" s="1317"/>
      <c r="E6" s="1317"/>
      <c r="F6" s="1317"/>
      <c r="G6" s="1318" t="e">
        <f>+F6-#REF!</f>
        <v>#REF!</v>
      </c>
      <c r="H6" s="1303"/>
      <c r="I6" s="958"/>
    </row>
    <row r="7" spans="1:10" s="979" customFormat="1" ht="16.5" customHeight="1" thickBot="1" x14ac:dyDescent="0.3">
      <c r="A7" s="2744" t="s">
        <v>1223</v>
      </c>
      <c r="B7" s="2745"/>
      <c r="C7" s="1921"/>
      <c r="D7" s="1922">
        <v>12</v>
      </c>
      <c r="E7" s="1922">
        <v>12</v>
      </c>
      <c r="F7" s="1922">
        <f t="shared" ref="F7" si="0">SUM(F5:F6)</f>
        <v>12</v>
      </c>
      <c r="G7" s="1923">
        <f t="shared" ref="G7:G59" si="1">+F7-E7</f>
        <v>0</v>
      </c>
      <c r="H7" s="1319">
        <f>'Výdaje kapitol celkem'!K30</f>
        <v>12</v>
      </c>
      <c r="I7" s="1095">
        <f>+H7-F7</f>
        <v>0</v>
      </c>
      <c r="J7" s="987"/>
    </row>
    <row r="8" spans="1:10" ht="15.75" customHeight="1" outlineLevel="1" x14ac:dyDescent="0.25">
      <c r="A8" s="1309">
        <v>6112</v>
      </c>
      <c r="B8" s="1310">
        <f>+B31</f>
        <v>5164</v>
      </c>
      <c r="C8" s="1311"/>
      <c r="D8" s="1312">
        <v>17000</v>
      </c>
      <c r="E8" s="1312">
        <v>17000</v>
      </c>
      <c r="F8" s="1312">
        <f>[2]Zastupitelé!$B$38</f>
        <v>17000</v>
      </c>
      <c r="G8" s="1313">
        <f t="shared" si="1"/>
        <v>0</v>
      </c>
      <c r="H8" s="1303"/>
      <c r="I8" s="1095"/>
    </row>
    <row r="9" spans="1:10" ht="15.75" hidden="1" customHeight="1" outlineLevel="1" x14ac:dyDescent="0.25">
      <c r="A9" s="1314">
        <v>6112</v>
      </c>
      <c r="B9" s="1315">
        <f>+B8</f>
        <v>5164</v>
      </c>
      <c r="C9" s="1316"/>
      <c r="D9" s="1317"/>
      <c r="E9" s="1317"/>
      <c r="F9" s="1317"/>
      <c r="G9" s="1318">
        <f t="shared" si="1"/>
        <v>0</v>
      </c>
      <c r="H9" s="1303"/>
      <c r="I9" s="1095"/>
    </row>
    <row r="10" spans="1:10" s="979" customFormat="1" ht="16.5" customHeight="1" thickBot="1" x14ac:dyDescent="0.3">
      <c r="A10" s="2744" t="s">
        <v>1212</v>
      </c>
      <c r="B10" s="2745"/>
      <c r="C10" s="1921"/>
      <c r="D10" s="1922">
        <v>17000</v>
      </c>
      <c r="E10" s="1922">
        <v>17000</v>
      </c>
      <c r="F10" s="1922">
        <f t="shared" ref="F10" si="2">SUM(F8:F9)</f>
        <v>17000</v>
      </c>
      <c r="G10" s="1923">
        <f t="shared" si="1"/>
        <v>0</v>
      </c>
      <c r="H10" s="1319">
        <f>'Výdaje kapitol celkem'!M30</f>
        <v>17000</v>
      </c>
      <c r="I10" s="1095">
        <f>+H10-F10</f>
        <v>0</v>
      </c>
      <c r="J10" s="987"/>
    </row>
    <row r="11" spans="1:10" ht="15.75" customHeight="1" outlineLevel="1" x14ac:dyDescent="0.25">
      <c r="A11" s="1309">
        <v>3314</v>
      </c>
      <c r="B11" s="1310">
        <f>+B30</f>
        <v>5164</v>
      </c>
      <c r="C11" s="1311"/>
      <c r="D11" s="1312">
        <v>192000</v>
      </c>
      <c r="E11" s="1312">
        <v>192000</v>
      </c>
      <c r="F11" s="1312">
        <f>[2]Knihovna!$B$41</f>
        <v>192000</v>
      </c>
      <c r="G11" s="1313">
        <f t="shared" si="1"/>
        <v>0</v>
      </c>
      <c r="H11" s="1303"/>
      <c r="I11" s="1095"/>
    </row>
    <row r="12" spans="1:10" ht="15.75" hidden="1" customHeight="1" outlineLevel="1" x14ac:dyDescent="0.25">
      <c r="A12" s="1314">
        <v>3314</v>
      </c>
      <c r="B12" s="1315">
        <v>5164</v>
      </c>
      <c r="C12" s="1316"/>
      <c r="D12" s="1317"/>
      <c r="E12" s="1317"/>
      <c r="F12" s="1317"/>
      <c r="G12" s="1318">
        <f t="shared" si="1"/>
        <v>0</v>
      </c>
      <c r="H12" s="1303"/>
      <c r="I12" s="1095"/>
    </row>
    <row r="13" spans="1:10" s="979" customFormat="1" ht="16.5" customHeight="1" thickBot="1" x14ac:dyDescent="0.3">
      <c r="A13" s="2744" t="s">
        <v>1184</v>
      </c>
      <c r="B13" s="2745"/>
      <c r="C13" s="1921"/>
      <c r="D13" s="1922">
        <v>192000</v>
      </c>
      <c r="E13" s="1922">
        <v>192000</v>
      </c>
      <c r="F13" s="1922">
        <f t="shared" ref="F13" si="3">SUM(F11:F12)</f>
        <v>192000</v>
      </c>
      <c r="G13" s="1923">
        <f t="shared" si="1"/>
        <v>0</v>
      </c>
      <c r="H13" s="1319">
        <f>'Výdaje kapitol celkem'!Y30</f>
        <v>192000</v>
      </c>
      <c r="I13" s="1095">
        <f>+H13-F13</f>
        <v>0</v>
      </c>
      <c r="J13" s="987"/>
    </row>
    <row r="14" spans="1:10" ht="15.75" hidden="1" customHeight="1" outlineLevel="1" x14ac:dyDescent="0.25">
      <c r="A14" s="1309">
        <v>3399</v>
      </c>
      <c r="B14" s="1310">
        <f>+B9</f>
        <v>5164</v>
      </c>
      <c r="C14" s="1311"/>
      <c r="D14" s="1312">
        <v>0</v>
      </c>
      <c r="E14" s="1312">
        <v>0</v>
      </c>
      <c r="F14" s="1312">
        <f>[2]Kultura!$B$22</f>
        <v>0</v>
      </c>
      <c r="G14" s="1313">
        <f t="shared" si="1"/>
        <v>0</v>
      </c>
      <c r="H14" s="1303"/>
      <c r="I14" s="1095"/>
    </row>
    <row r="15" spans="1:10" ht="15.75" customHeight="1" outlineLevel="1" x14ac:dyDescent="0.25">
      <c r="A15" s="1314">
        <v>3399</v>
      </c>
      <c r="B15" s="1315">
        <f>+B14</f>
        <v>5164</v>
      </c>
      <c r="C15" s="1316"/>
      <c r="D15" s="1317">
        <v>80000</v>
      </c>
      <c r="E15" s="1317">
        <v>80000</v>
      </c>
      <c r="F15" s="1317">
        <f>[2]Kultura!$B$23</f>
        <v>80000</v>
      </c>
      <c r="G15" s="1318">
        <f t="shared" si="1"/>
        <v>0</v>
      </c>
      <c r="H15" s="1303"/>
      <c r="I15" s="1095"/>
    </row>
    <row r="16" spans="1:10" ht="15.75" hidden="1" customHeight="1" outlineLevel="1" x14ac:dyDescent="0.25">
      <c r="A16" s="1314">
        <v>3399</v>
      </c>
      <c r="B16" s="1315">
        <f>+B15</f>
        <v>5164</v>
      </c>
      <c r="C16" s="1316"/>
      <c r="D16" s="1317"/>
      <c r="E16" s="1317"/>
      <c r="F16" s="1317"/>
      <c r="G16" s="1318">
        <f t="shared" si="1"/>
        <v>0</v>
      </c>
      <c r="H16" s="1303"/>
      <c r="I16" s="1095"/>
    </row>
    <row r="17" spans="1:10" s="979" customFormat="1" ht="16.5" customHeight="1" thickBot="1" x14ac:dyDescent="0.3">
      <c r="A17" s="2744" t="s">
        <v>1209</v>
      </c>
      <c r="B17" s="2745"/>
      <c r="C17" s="1921"/>
      <c r="D17" s="1922">
        <v>80000</v>
      </c>
      <c r="E17" s="1922">
        <v>80000</v>
      </c>
      <c r="F17" s="1922">
        <f t="shared" ref="F17" si="4">SUM(F14:F16)</f>
        <v>80000</v>
      </c>
      <c r="G17" s="1923">
        <f t="shared" si="1"/>
        <v>0</v>
      </c>
      <c r="H17" s="1319">
        <f>'Výdaje kapitol celkem'!AA30</f>
        <v>80000</v>
      </c>
      <c r="I17" s="1095">
        <f>+H17-F17</f>
        <v>0</v>
      </c>
      <c r="J17" s="987"/>
    </row>
    <row r="18" spans="1:10" ht="15.75" customHeight="1" outlineLevel="1" x14ac:dyDescent="0.25">
      <c r="A18" s="1309">
        <v>3612</v>
      </c>
      <c r="B18" s="1310">
        <f>+B16</f>
        <v>5164</v>
      </c>
      <c r="C18" s="1311" t="s">
        <v>1745</v>
      </c>
      <c r="D18" s="1312">
        <v>35240</v>
      </c>
      <c r="E18" s="1312">
        <v>35240</v>
      </c>
      <c r="F18" s="1312">
        <f>[3]Byty!$B$19</f>
        <v>35240</v>
      </c>
      <c r="G18" s="1313">
        <f t="shared" si="1"/>
        <v>0</v>
      </c>
      <c r="H18" s="1303"/>
      <c r="I18" s="1095"/>
      <c r="J18" s="987"/>
    </row>
    <row r="19" spans="1:10" ht="15.75" hidden="1" customHeight="1" outlineLevel="1" x14ac:dyDescent="0.25">
      <c r="A19" s="1314">
        <v>3612</v>
      </c>
      <c r="B19" s="1315">
        <f>+B18</f>
        <v>5164</v>
      </c>
      <c r="C19" s="1316"/>
      <c r="D19" s="1317"/>
      <c r="E19" s="1317"/>
      <c r="F19" s="1317"/>
      <c r="G19" s="1318">
        <f t="shared" si="1"/>
        <v>0</v>
      </c>
      <c r="H19" s="1303"/>
      <c r="I19" s="1095"/>
      <c r="J19" s="987"/>
    </row>
    <row r="20" spans="1:10" s="979" customFormat="1" ht="16.5" customHeight="1" thickBot="1" x14ac:dyDescent="0.3">
      <c r="A20" s="2744" t="s">
        <v>1224</v>
      </c>
      <c r="B20" s="2745"/>
      <c r="C20" s="1921"/>
      <c r="D20" s="1922">
        <v>35240</v>
      </c>
      <c r="E20" s="1922">
        <v>35240</v>
      </c>
      <c r="F20" s="1922">
        <f t="shared" ref="F20" si="5">SUM(F18:F19)</f>
        <v>35240</v>
      </c>
      <c r="G20" s="1923">
        <f t="shared" si="1"/>
        <v>0</v>
      </c>
      <c r="H20" s="1319">
        <f>'Výdaje kapitol celkem'!AB30</f>
        <v>35240</v>
      </c>
      <c r="I20" s="1095">
        <f>+H20-F20</f>
        <v>0</v>
      </c>
      <c r="J20" s="987"/>
    </row>
    <row r="21" spans="1:10" ht="15.75" customHeight="1" outlineLevel="1" x14ac:dyDescent="0.25">
      <c r="A21" s="1309">
        <v>3412</v>
      </c>
      <c r="B21" s="1310">
        <f>+B11</f>
        <v>5164</v>
      </c>
      <c r="C21" s="1311" t="s">
        <v>1746</v>
      </c>
      <c r="D21" s="1312">
        <v>10000</v>
      </c>
      <c r="E21" s="1312">
        <v>10000</v>
      </c>
      <c r="F21" s="1312">
        <f>[3]koupaliště!$B$5</f>
        <v>10000</v>
      </c>
      <c r="G21" s="1313">
        <f t="shared" si="1"/>
        <v>0</v>
      </c>
      <c r="H21" s="1303"/>
      <c r="I21" s="1095"/>
      <c r="J21" s="987"/>
    </row>
    <row r="22" spans="1:10" ht="15.75" hidden="1" customHeight="1" outlineLevel="1" x14ac:dyDescent="0.25">
      <c r="A22" s="1314">
        <v>3412</v>
      </c>
      <c r="B22" s="1315">
        <f>+B21</f>
        <v>5164</v>
      </c>
      <c r="C22" s="1316"/>
      <c r="D22" s="1317"/>
      <c r="E22" s="1317"/>
      <c r="F22" s="1317"/>
      <c r="G22" s="1318">
        <f t="shared" si="1"/>
        <v>0</v>
      </c>
      <c r="H22" s="1303"/>
      <c r="I22" s="1095"/>
      <c r="J22" s="987"/>
    </row>
    <row r="23" spans="1:10" s="979" customFormat="1" ht="16.5" customHeight="1" thickBot="1" x14ac:dyDescent="0.3">
      <c r="A23" s="2744" t="s">
        <v>1187</v>
      </c>
      <c r="B23" s="2745"/>
      <c r="C23" s="1921"/>
      <c r="D23" s="1922">
        <v>10000</v>
      </c>
      <c r="E23" s="1922">
        <v>10000</v>
      </c>
      <c r="F23" s="1922">
        <f t="shared" ref="F23" si="6">SUM(F21:F22)</f>
        <v>10000</v>
      </c>
      <c r="G23" s="1923">
        <f t="shared" si="1"/>
        <v>0</v>
      </c>
      <c r="H23" s="1319">
        <f>'Výdaje kapitol celkem'!AQ30</f>
        <v>10000</v>
      </c>
      <c r="I23" s="1095">
        <f>+H23-F23</f>
        <v>0</v>
      </c>
      <c r="J23" s="987"/>
    </row>
    <row r="24" spans="1:10" ht="15.75" hidden="1" customHeight="1" outlineLevel="1" x14ac:dyDescent="0.25">
      <c r="A24" s="1309" t="s">
        <v>1188</v>
      </c>
      <c r="B24" s="1310">
        <f>+B14</f>
        <v>5164</v>
      </c>
      <c r="C24" s="1311"/>
      <c r="D24" s="1312"/>
      <c r="E24" s="1312"/>
      <c r="F24" s="1312"/>
      <c r="G24" s="1313">
        <f t="shared" si="1"/>
        <v>0</v>
      </c>
      <c r="H24" s="1303"/>
      <c r="I24" s="1095"/>
    </row>
    <row r="25" spans="1:10" ht="15.75" hidden="1" customHeight="1" outlineLevel="1" x14ac:dyDescent="0.25">
      <c r="A25" s="1314" t="s">
        <v>1188</v>
      </c>
      <c r="B25" s="1315">
        <f>+B24</f>
        <v>5164</v>
      </c>
      <c r="C25" s="1316"/>
      <c r="D25" s="1317"/>
      <c r="E25" s="1317"/>
      <c r="F25" s="1317"/>
      <c r="G25" s="1318">
        <f t="shared" si="1"/>
        <v>0</v>
      </c>
      <c r="H25" s="1303"/>
      <c r="I25" s="1095">
        <f>+H25-F25</f>
        <v>0</v>
      </c>
    </row>
    <row r="26" spans="1:10" s="979" customFormat="1" ht="16.5" hidden="1" customHeight="1" collapsed="1" thickBot="1" x14ac:dyDescent="0.3">
      <c r="A26" s="2744" t="s">
        <v>1189</v>
      </c>
      <c r="B26" s="2745"/>
      <c r="C26" s="1921"/>
      <c r="D26" s="1922">
        <v>0</v>
      </c>
      <c r="E26" s="1922">
        <v>0</v>
      </c>
      <c r="F26" s="1922">
        <f t="shared" ref="F26" si="7">SUM(F24:F25)</f>
        <v>0</v>
      </c>
      <c r="G26" s="1923">
        <f t="shared" si="1"/>
        <v>0</v>
      </c>
      <c r="H26" s="1319">
        <f>'Výdaje kapitol celkem'!AT30</f>
        <v>0</v>
      </c>
      <c r="I26" s="1095">
        <f>+H26-F26</f>
        <v>0</v>
      </c>
      <c r="J26" s="987"/>
    </row>
    <row r="27" spans="1:10" ht="15.75" customHeight="1" outlineLevel="1" x14ac:dyDescent="0.25">
      <c r="A27" s="1309" t="s">
        <v>1190</v>
      </c>
      <c r="B27" s="1310">
        <v>5164</v>
      </c>
      <c r="C27" s="1311" t="s">
        <v>1747</v>
      </c>
      <c r="D27" s="1312">
        <v>12156</v>
      </c>
      <c r="E27" s="1312">
        <v>12156</v>
      </c>
      <c r="F27" s="1312">
        <f>[3]Spolky!$B$5</f>
        <v>12156</v>
      </c>
      <c r="G27" s="1313">
        <f t="shared" si="1"/>
        <v>0</v>
      </c>
      <c r="H27" s="1303"/>
      <c r="I27" s="1095"/>
      <c r="J27" s="987"/>
    </row>
    <row r="28" spans="1:10" ht="15.75" hidden="1" customHeight="1" outlineLevel="1" x14ac:dyDescent="0.25">
      <c r="A28" s="1314" t="s">
        <v>1190</v>
      </c>
      <c r="B28" s="1315">
        <f>+B27</f>
        <v>5164</v>
      </c>
      <c r="C28" s="1316"/>
      <c r="D28" s="1317"/>
      <c r="E28" s="1317"/>
      <c r="F28" s="1317"/>
      <c r="G28" s="1318">
        <f t="shared" si="1"/>
        <v>0</v>
      </c>
      <c r="H28" s="1303"/>
      <c r="I28" s="1095"/>
      <c r="J28" s="987"/>
    </row>
    <row r="29" spans="1:10" s="979" customFormat="1" ht="16.5" customHeight="1" thickBot="1" x14ac:dyDescent="0.3">
      <c r="A29" s="2744" t="s">
        <v>1191</v>
      </c>
      <c r="B29" s="2745"/>
      <c r="C29" s="1921"/>
      <c r="D29" s="1922">
        <v>12156</v>
      </c>
      <c r="E29" s="1922">
        <v>12156</v>
      </c>
      <c r="F29" s="1922">
        <f t="shared" ref="F29" si="8">SUM(F27:F28)</f>
        <v>12156</v>
      </c>
      <c r="G29" s="1923">
        <f t="shared" si="1"/>
        <v>0</v>
      </c>
      <c r="H29" s="1319">
        <f>'Výdaje kapitol celkem'!AW30</f>
        <v>12156</v>
      </c>
      <c r="I29" s="1095">
        <f>+H29-F29</f>
        <v>0</v>
      </c>
      <c r="J29" s="987"/>
    </row>
    <row r="30" spans="1:10" ht="15.75" customHeight="1" outlineLevel="1" x14ac:dyDescent="0.25">
      <c r="A30" s="1309">
        <v>3113</v>
      </c>
      <c r="B30" s="1310">
        <v>5164</v>
      </c>
      <c r="C30" s="1311" t="s">
        <v>2037</v>
      </c>
      <c r="D30" s="1312">
        <v>816000</v>
      </c>
      <c r="E30" s="1312">
        <v>816000</v>
      </c>
      <c r="F30" s="1312">
        <f>[4]ZŠ!$B$26</f>
        <v>816000</v>
      </c>
      <c r="G30" s="1313">
        <f t="shared" si="1"/>
        <v>0</v>
      </c>
      <c r="H30" s="1303"/>
      <c r="I30" s="1095"/>
      <c r="J30" s="987"/>
    </row>
    <row r="31" spans="1:10" ht="15.75" hidden="1" customHeight="1" outlineLevel="1" x14ac:dyDescent="0.25">
      <c r="A31" s="1314">
        <v>3113</v>
      </c>
      <c r="B31" s="1315">
        <f>+B30</f>
        <v>5164</v>
      </c>
      <c r="C31" s="1316"/>
      <c r="D31" s="1317"/>
      <c r="E31" s="1317"/>
      <c r="F31" s="1317"/>
      <c r="G31" s="1318">
        <f t="shared" si="1"/>
        <v>0</v>
      </c>
      <c r="H31" s="1303"/>
      <c r="I31" s="1095"/>
      <c r="J31" s="987"/>
    </row>
    <row r="32" spans="1:10" s="979" customFormat="1" ht="16.5" customHeight="1" thickBot="1" x14ac:dyDescent="0.3">
      <c r="A32" s="2744" t="s">
        <v>206</v>
      </c>
      <c r="B32" s="2745"/>
      <c r="C32" s="1921"/>
      <c r="D32" s="1922">
        <v>816000</v>
      </c>
      <c r="E32" s="1922">
        <v>816000</v>
      </c>
      <c r="F32" s="1922">
        <f t="shared" ref="F32" si="9">SUM(F30:F31)</f>
        <v>816000</v>
      </c>
      <c r="G32" s="1923">
        <f t="shared" si="1"/>
        <v>0</v>
      </c>
      <c r="H32" s="1319">
        <f>'Výdaje kapitol celkem'!AZ30</f>
        <v>816000</v>
      </c>
      <c r="I32" s="1095">
        <f>+H32-F32</f>
        <v>0</v>
      </c>
      <c r="J32" s="987"/>
    </row>
    <row r="33" spans="1:10" s="979" customFormat="1" ht="16.5" hidden="1" customHeight="1" outlineLevel="1" x14ac:dyDescent="0.25">
      <c r="A33" s="1309" t="s">
        <v>1552</v>
      </c>
      <c r="B33" s="1310">
        <v>5164</v>
      </c>
      <c r="C33" s="1311"/>
      <c r="D33" s="1312">
        <v>0</v>
      </c>
      <c r="E33" s="1312">
        <v>0</v>
      </c>
      <c r="F33" s="1312">
        <f>[4]SŠ!$B$26</f>
        <v>0</v>
      </c>
      <c r="G33" s="1313">
        <f t="shared" si="1"/>
        <v>0</v>
      </c>
      <c r="H33" s="1303"/>
      <c r="I33" s="1095"/>
      <c r="J33" s="987"/>
    </row>
    <row r="34" spans="1:10" s="979" customFormat="1" ht="16.5" hidden="1" customHeight="1" outlineLevel="1" x14ac:dyDescent="0.25">
      <c r="A34" s="1314" t="s">
        <v>1552</v>
      </c>
      <c r="B34" s="1315">
        <f>+B33</f>
        <v>5164</v>
      </c>
      <c r="C34" s="1316"/>
      <c r="D34" s="1317">
        <v>0</v>
      </c>
      <c r="E34" s="1317">
        <v>0</v>
      </c>
      <c r="F34" s="1317">
        <f>[4]SŠ!$B$27</f>
        <v>0</v>
      </c>
      <c r="G34" s="1318">
        <f t="shared" si="1"/>
        <v>0</v>
      </c>
      <c r="H34" s="1303"/>
      <c r="I34" s="1095"/>
      <c r="J34" s="987"/>
    </row>
    <row r="35" spans="1:10" s="979" customFormat="1" ht="16.5" hidden="1" customHeight="1" collapsed="1" thickBot="1" x14ac:dyDescent="0.3">
      <c r="A35" s="2744" t="s">
        <v>1554</v>
      </c>
      <c r="B35" s="2745"/>
      <c r="C35" s="1921"/>
      <c r="D35" s="1922">
        <v>0</v>
      </c>
      <c r="E35" s="1922">
        <v>0</v>
      </c>
      <c r="F35" s="1922">
        <f t="shared" ref="F35" si="10">SUM(F33:F34)</f>
        <v>0</v>
      </c>
      <c r="G35" s="1923">
        <f t="shared" si="1"/>
        <v>0</v>
      </c>
      <c r="H35" s="1319">
        <f>'Výdaje kapitol celkem'!AZ33</f>
        <v>0</v>
      </c>
      <c r="I35" s="1095">
        <f>+H35-F35</f>
        <v>0</v>
      </c>
      <c r="J35" s="987"/>
    </row>
    <row r="36" spans="1:10" ht="15.75" hidden="1" customHeight="1" outlineLevel="1" x14ac:dyDescent="0.25">
      <c r="A36" s="1309">
        <v>3631</v>
      </c>
      <c r="B36" s="1310">
        <f>+B16</f>
        <v>5164</v>
      </c>
      <c r="C36" s="1311"/>
      <c r="D36" s="1312"/>
      <c r="E36" s="1312"/>
      <c r="F36" s="1312"/>
      <c r="G36" s="1313">
        <f t="shared" si="1"/>
        <v>0</v>
      </c>
      <c r="H36" s="1303"/>
      <c r="I36" s="1095"/>
      <c r="J36" s="987"/>
    </row>
    <row r="37" spans="1:10" ht="15.75" hidden="1" customHeight="1" outlineLevel="1" x14ac:dyDescent="0.25">
      <c r="A37" s="1314">
        <v>3631</v>
      </c>
      <c r="B37" s="1315">
        <f>+B36</f>
        <v>5164</v>
      </c>
      <c r="C37" s="1316"/>
      <c r="D37" s="1320"/>
      <c r="E37" s="1320"/>
      <c r="F37" s="1320"/>
      <c r="G37" s="1321">
        <f t="shared" si="1"/>
        <v>0</v>
      </c>
      <c r="H37" s="1303"/>
      <c r="I37" s="1095"/>
      <c r="J37" s="987"/>
    </row>
    <row r="38" spans="1:10" ht="15.75" hidden="1" customHeight="1" collapsed="1" thickBot="1" x14ac:dyDescent="0.3">
      <c r="A38" s="2744" t="s">
        <v>632</v>
      </c>
      <c r="B38" s="2745"/>
      <c r="C38" s="1921"/>
      <c r="D38" s="1922">
        <v>0</v>
      </c>
      <c r="E38" s="1922">
        <v>0</v>
      </c>
      <c r="F38" s="1922">
        <f>SUM(F36:F37)</f>
        <v>0</v>
      </c>
      <c r="G38" s="1923">
        <f t="shared" si="1"/>
        <v>0</v>
      </c>
      <c r="H38" s="1319">
        <f>'Výdaje kapitol celkem'!BZ30</f>
        <v>0</v>
      </c>
      <c r="I38" s="1095">
        <f>+H38-F38</f>
        <v>0</v>
      </c>
      <c r="J38" s="987"/>
    </row>
    <row r="39" spans="1:10" ht="15.75" hidden="1" customHeight="1" outlineLevel="1" x14ac:dyDescent="0.25">
      <c r="A39" s="1309" t="s">
        <v>718</v>
      </c>
      <c r="B39" s="1310">
        <f>+B19</f>
        <v>5164</v>
      </c>
      <c r="C39" s="1311"/>
      <c r="D39" s="1312"/>
      <c r="E39" s="1312"/>
      <c r="F39" s="1312"/>
      <c r="G39" s="1313">
        <f t="shared" si="1"/>
        <v>0</v>
      </c>
      <c r="H39" s="1303"/>
      <c r="I39" s="1095"/>
      <c r="J39" s="987"/>
    </row>
    <row r="40" spans="1:10" ht="15.75" hidden="1" customHeight="1" outlineLevel="1" x14ac:dyDescent="0.25">
      <c r="A40" s="1314" t="s">
        <v>718</v>
      </c>
      <c r="B40" s="1315">
        <f>+B39</f>
        <v>5164</v>
      </c>
      <c r="C40" s="1316"/>
      <c r="D40" s="1320"/>
      <c r="E40" s="1320"/>
      <c r="F40" s="1320"/>
      <c r="G40" s="1321">
        <f t="shared" si="1"/>
        <v>0</v>
      </c>
      <c r="H40" s="1303"/>
      <c r="I40" s="1095"/>
      <c r="J40" s="987"/>
    </row>
    <row r="41" spans="1:10" ht="15.75" hidden="1" customHeight="1" collapsed="1" thickBot="1" x14ac:dyDescent="0.3">
      <c r="A41" s="2744" t="s">
        <v>1225</v>
      </c>
      <c r="B41" s="2745"/>
      <c r="C41" s="1921"/>
      <c r="D41" s="1922">
        <v>0</v>
      </c>
      <c r="E41" s="1922">
        <v>0</v>
      </c>
      <c r="F41" s="1922">
        <f t="shared" ref="F41" si="11">SUM(F39:F40)</f>
        <v>0</v>
      </c>
      <c r="G41" s="1923">
        <f t="shared" si="1"/>
        <v>0</v>
      </c>
      <c r="H41" s="1319"/>
      <c r="I41" s="1095">
        <f>+H41-F41</f>
        <v>0</v>
      </c>
      <c r="J41" s="987"/>
    </row>
    <row r="42" spans="1:10" ht="15.75" customHeight="1" outlineLevel="1" x14ac:dyDescent="0.25">
      <c r="A42" s="1309">
        <v>2212</v>
      </c>
      <c r="B42" s="1310">
        <f>+B40</f>
        <v>5164</v>
      </c>
      <c r="C42" s="1903" t="s">
        <v>1750</v>
      </c>
      <c r="D42" s="1312">
        <v>1500</v>
      </c>
      <c r="E42" s="1312">
        <v>1500</v>
      </c>
      <c r="F42" s="1312">
        <f>+'[5]Silnice-nájem'!$B$5</f>
        <v>1500</v>
      </c>
      <c r="G42" s="1313">
        <f t="shared" si="1"/>
        <v>0</v>
      </c>
      <c r="H42" s="1303"/>
      <c r="I42" s="1095"/>
      <c r="J42" s="987"/>
    </row>
    <row r="43" spans="1:10" ht="15.75" customHeight="1" outlineLevel="1" x14ac:dyDescent="0.25">
      <c r="A43" s="1314">
        <v>2212</v>
      </c>
      <c r="B43" s="1315">
        <v>5164</v>
      </c>
      <c r="C43" s="1904" t="s">
        <v>1751</v>
      </c>
      <c r="D43" s="1353">
        <v>500</v>
      </c>
      <c r="E43" s="1353">
        <v>500</v>
      </c>
      <c r="F43" s="1353">
        <f>+'[5]Silnice-nájem'!$B$6</f>
        <v>500</v>
      </c>
      <c r="G43" s="1318">
        <f t="shared" si="1"/>
        <v>0</v>
      </c>
      <c r="H43" s="1303"/>
      <c r="I43" s="1095"/>
      <c r="J43" s="987"/>
    </row>
    <row r="44" spans="1:10" ht="15.75" customHeight="1" outlineLevel="1" x14ac:dyDescent="0.25">
      <c r="A44" s="1314">
        <v>2212</v>
      </c>
      <c r="B44" s="1315">
        <v>5164</v>
      </c>
      <c r="C44" s="1904" t="s">
        <v>1752</v>
      </c>
      <c r="D44" s="1317">
        <v>3500</v>
      </c>
      <c r="E44" s="1317">
        <v>3500</v>
      </c>
      <c r="F44" s="1317">
        <f>+'[5]Silnice-nájem'!$B$7</f>
        <v>3500</v>
      </c>
      <c r="G44" s="1318">
        <f t="shared" si="1"/>
        <v>0</v>
      </c>
      <c r="H44" s="1303"/>
      <c r="I44" s="1095"/>
      <c r="J44" s="987"/>
    </row>
    <row r="45" spans="1:10" ht="15.75" customHeight="1" outlineLevel="1" x14ac:dyDescent="0.25">
      <c r="A45" s="1314">
        <v>2212</v>
      </c>
      <c r="B45" s="1315">
        <v>5164</v>
      </c>
      <c r="C45" s="1904" t="s">
        <v>1753</v>
      </c>
      <c r="D45" s="1317">
        <v>1000</v>
      </c>
      <c r="E45" s="1317">
        <v>1000</v>
      </c>
      <c r="F45" s="1317">
        <f>+'[5]Silnice-nájem'!$B$8</f>
        <v>1000</v>
      </c>
      <c r="G45" s="1318">
        <f t="shared" si="1"/>
        <v>0</v>
      </c>
      <c r="H45" s="1303"/>
      <c r="I45" s="1095"/>
      <c r="J45" s="987"/>
    </row>
    <row r="46" spans="1:10" ht="15.75" customHeight="1" outlineLevel="1" x14ac:dyDescent="0.25">
      <c r="A46" s="1314">
        <v>2212</v>
      </c>
      <c r="B46" s="1315">
        <v>5164</v>
      </c>
      <c r="C46" s="1904" t="s">
        <v>1754</v>
      </c>
      <c r="D46" s="1317">
        <v>13104</v>
      </c>
      <c r="E46" s="1317">
        <v>13104</v>
      </c>
      <c r="F46" s="1317">
        <f>+'[5]Silnice-nájem'!$B$9</f>
        <v>13104</v>
      </c>
      <c r="G46" s="1318">
        <f t="shared" si="1"/>
        <v>0</v>
      </c>
      <c r="H46" s="1303"/>
      <c r="I46" s="1095"/>
      <c r="J46" s="987"/>
    </row>
    <row r="47" spans="1:10" ht="15.75" customHeight="1" outlineLevel="1" x14ac:dyDescent="0.25">
      <c r="A47" s="1314">
        <v>2212</v>
      </c>
      <c r="B47" s="1315">
        <v>5164</v>
      </c>
      <c r="C47" s="1904" t="s">
        <v>1755</v>
      </c>
      <c r="D47" s="1317">
        <v>225</v>
      </c>
      <c r="E47" s="1317">
        <v>225</v>
      </c>
      <c r="F47" s="1317">
        <f>+'[5]Silnice-nájem'!$B$10</f>
        <v>225</v>
      </c>
      <c r="G47" s="1318">
        <f t="shared" si="1"/>
        <v>0</v>
      </c>
      <c r="H47" s="1303"/>
      <c r="I47" s="1095"/>
      <c r="J47" s="987"/>
    </row>
    <row r="48" spans="1:10" s="979" customFormat="1" ht="16.5" customHeight="1" outlineLevel="1" x14ac:dyDescent="0.25">
      <c r="A48" s="1314">
        <v>2212</v>
      </c>
      <c r="B48" s="1315">
        <v>5164</v>
      </c>
      <c r="C48" s="1904" t="s">
        <v>1756</v>
      </c>
      <c r="D48" s="1317">
        <v>3900</v>
      </c>
      <c r="E48" s="1317">
        <v>3900</v>
      </c>
      <c r="F48" s="1317">
        <f>+'[5]Silnice-nájem'!$B$11</f>
        <v>3900</v>
      </c>
      <c r="G48" s="1318">
        <f t="shared" si="1"/>
        <v>0</v>
      </c>
      <c r="H48" s="1303"/>
      <c r="I48" s="1095"/>
      <c r="J48" s="987"/>
    </row>
    <row r="49" spans="1:10" hidden="1" outlineLevel="1" x14ac:dyDescent="0.25">
      <c r="A49" s="1314">
        <v>2212</v>
      </c>
      <c r="B49" s="1315">
        <v>5164</v>
      </c>
      <c r="C49" s="1904" t="s">
        <v>1757</v>
      </c>
      <c r="D49" s="1317">
        <v>0</v>
      </c>
      <c r="E49" s="1317">
        <v>0</v>
      </c>
      <c r="F49" s="1317">
        <f>+'[5]Silnice-nájem'!$B$12</f>
        <v>0</v>
      </c>
      <c r="G49" s="1318">
        <f t="shared" si="1"/>
        <v>0</v>
      </c>
      <c r="H49" s="1303"/>
      <c r="I49" s="1095"/>
      <c r="J49" s="987"/>
    </row>
    <row r="50" spans="1:10" ht="15.75" hidden="1" customHeight="1" outlineLevel="1" x14ac:dyDescent="0.25">
      <c r="A50" s="1314">
        <v>2212</v>
      </c>
      <c r="B50" s="1315">
        <v>5164</v>
      </c>
      <c r="C50" s="1904" t="s">
        <v>1758</v>
      </c>
      <c r="D50" s="1317">
        <v>0</v>
      </c>
      <c r="E50" s="1317">
        <v>0</v>
      </c>
      <c r="F50" s="1317">
        <f>+'[5]Silnice-nájem'!$B$13</f>
        <v>0</v>
      </c>
      <c r="G50" s="1318">
        <f t="shared" si="1"/>
        <v>0</v>
      </c>
      <c r="H50" s="1303"/>
      <c r="I50" s="1095"/>
      <c r="J50" s="987"/>
    </row>
    <row r="51" spans="1:10" s="979" customFormat="1" ht="16.5" customHeight="1" outlineLevel="1" x14ac:dyDescent="0.25">
      <c r="A51" s="1314">
        <v>2212</v>
      </c>
      <c r="B51" s="1315">
        <v>5164</v>
      </c>
      <c r="C51" s="1904" t="s">
        <v>1759</v>
      </c>
      <c r="D51" s="1317">
        <v>100</v>
      </c>
      <c r="E51" s="1317">
        <v>100</v>
      </c>
      <c r="F51" s="1317">
        <f>+'[5]Silnice-nájem'!$B$14</f>
        <v>100</v>
      </c>
      <c r="G51" s="1318">
        <f t="shared" si="1"/>
        <v>0</v>
      </c>
      <c r="H51" s="1303"/>
      <c r="I51" s="1095"/>
      <c r="J51" s="987"/>
    </row>
    <row r="52" spans="1:10" s="1085" customFormat="1" ht="16.5" customHeight="1" outlineLevel="1" x14ac:dyDescent="0.3">
      <c r="A52" s="1314">
        <v>2212</v>
      </c>
      <c r="B52" s="1315">
        <v>5164</v>
      </c>
      <c r="C52" s="1316" t="s">
        <v>1748</v>
      </c>
      <c r="D52" s="1317">
        <v>400</v>
      </c>
      <c r="E52" s="1317">
        <v>400</v>
      </c>
      <c r="F52" s="1317">
        <f>[3]Silnice!$B$20</f>
        <v>400</v>
      </c>
      <c r="G52" s="1318">
        <f t="shared" si="1"/>
        <v>0</v>
      </c>
      <c r="H52" s="1303"/>
      <c r="I52" s="1095"/>
      <c r="J52" s="987"/>
    </row>
    <row r="53" spans="1:10" hidden="1" outlineLevel="1" x14ac:dyDescent="0.25">
      <c r="A53" s="1314">
        <v>2212</v>
      </c>
      <c r="B53" s="1315">
        <v>5164</v>
      </c>
      <c r="C53" s="1316"/>
      <c r="D53" s="1317"/>
      <c r="E53" s="1317"/>
      <c r="F53" s="1317"/>
      <c r="G53" s="1318">
        <f t="shared" si="1"/>
        <v>0</v>
      </c>
      <c r="H53" s="1303"/>
      <c r="I53" s="1095"/>
    </row>
    <row r="54" spans="1:10" hidden="1" outlineLevel="1" x14ac:dyDescent="0.25">
      <c r="A54" s="1314"/>
      <c r="B54" s="1315"/>
      <c r="C54" s="1322"/>
      <c r="D54" s="1323"/>
      <c r="E54" s="1323"/>
      <c r="F54" s="1323"/>
      <c r="G54" s="1324">
        <f t="shared" si="1"/>
        <v>0</v>
      </c>
      <c r="H54" s="1303"/>
      <c r="I54" s="1095"/>
    </row>
    <row r="55" spans="1:10" s="980" customFormat="1" ht="14.25" thickBot="1" x14ac:dyDescent="0.3">
      <c r="A55" s="2744" t="s">
        <v>633</v>
      </c>
      <c r="B55" s="2745"/>
      <c r="C55" s="1921"/>
      <c r="D55" s="1922">
        <v>24229</v>
      </c>
      <c r="E55" s="1922">
        <v>24229</v>
      </c>
      <c r="F55" s="1922">
        <f t="shared" ref="F55" si="12">SUM(F42:F54)</f>
        <v>24229</v>
      </c>
      <c r="G55" s="1923">
        <f t="shared" si="1"/>
        <v>0</v>
      </c>
      <c r="H55" s="1319">
        <f>'Výdaje kapitol celkem'!CC30</f>
        <v>24229</v>
      </c>
      <c r="I55" s="1095">
        <f>+H55-F55</f>
        <v>0</v>
      </c>
    </row>
    <row r="56" spans="1:10" ht="25.5" outlineLevel="1" x14ac:dyDescent="0.25">
      <c r="A56" s="1309" t="s">
        <v>297</v>
      </c>
      <c r="B56" s="1310">
        <f>+B53</f>
        <v>5164</v>
      </c>
      <c r="C56" s="1311" t="s">
        <v>1749</v>
      </c>
      <c r="D56" s="1312">
        <v>1500</v>
      </c>
      <c r="E56" s="1312">
        <v>1500</v>
      </c>
      <c r="F56" s="1312">
        <f>[5]Rybníky!$B$5</f>
        <v>1500</v>
      </c>
      <c r="G56" s="1313">
        <f t="shared" si="1"/>
        <v>0</v>
      </c>
      <c r="H56" s="1303"/>
      <c r="I56" s="1095"/>
    </row>
    <row r="57" spans="1:10" outlineLevel="1" x14ac:dyDescent="0.25">
      <c r="A57" s="1314" t="s">
        <v>297</v>
      </c>
      <c r="B57" s="1315">
        <f>+B56</f>
        <v>5164</v>
      </c>
      <c r="C57" s="1316"/>
      <c r="D57" s="1317">
        <v>350000</v>
      </c>
      <c r="E57" s="1317">
        <v>350000</v>
      </c>
      <c r="F57" s="1317">
        <f>'[6]Rybníky 3749-2'!$B$16</f>
        <v>350000</v>
      </c>
      <c r="G57" s="1321">
        <f t="shared" si="1"/>
        <v>0</v>
      </c>
      <c r="H57" s="1303"/>
      <c r="I57" s="1095"/>
    </row>
    <row r="58" spans="1:10" ht="14.25" outlineLevel="1" thickBot="1" x14ac:dyDescent="0.3">
      <c r="A58" s="2744" t="s">
        <v>1202</v>
      </c>
      <c r="B58" s="2745"/>
      <c r="C58" s="1921"/>
      <c r="D58" s="1922">
        <v>351500</v>
      </c>
      <c r="E58" s="1922">
        <v>351500</v>
      </c>
      <c r="F58" s="1922">
        <f t="shared" ref="F58" si="13">SUM(F56:F57)</f>
        <v>351500</v>
      </c>
      <c r="G58" s="1923">
        <f t="shared" si="1"/>
        <v>0</v>
      </c>
      <c r="H58" s="1319">
        <f>'Výdaje kapitol celkem'!DK30</f>
        <v>351500</v>
      </c>
      <c r="I58" s="1095">
        <f>+H58-F58</f>
        <v>0</v>
      </c>
    </row>
    <row r="59" spans="1:10" ht="14.25" thickBot="1" x14ac:dyDescent="0.3">
      <c r="A59" s="2741" t="s">
        <v>737</v>
      </c>
      <c r="B59" s="2742"/>
      <c r="C59" s="2743"/>
      <c r="D59" s="1929">
        <v>1538137</v>
      </c>
      <c r="E59" s="1929">
        <v>1538137</v>
      </c>
      <c r="F59" s="1929">
        <f>+F58+F55+F41+F20+F17+F10+F32+F13+F7+F23+F38+F26+F29+F35</f>
        <v>1538137</v>
      </c>
      <c r="G59" s="1930">
        <f t="shared" si="1"/>
        <v>0</v>
      </c>
      <c r="H59" s="1303"/>
      <c r="I59" s="958"/>
    </row>
    <row r="60" spans="1:10" x14ac:dyDescent="0.25">
      <c r="A60" s="1325"/>
      <c r="B60" s="1325"/>
      <c r="C60" s="1325"/>
      <c r="D60" s="1326">
        <v>1538137</v>
      </c>
      <c r="E60" s="1326">
        <v>1538137</v>
      </c>
      <c r="F60" s="1326">
        <f>+'Výdaje kapitol celkem'!F30</f>
        <v>1538137</v>
      </c>
      <c r="G60" s="1327"/>
      <c r="H60" s="1303"/>
      <c r="I60" s="958"/>
    </row>
    <row r="61" spans="1:10" s="980" customFormat="1" x14ac:dyDescent="0.25">
      <c r="A61" s="944"/>
      <c r="B61" s="944"/>
      <c r="C61" s="944" t="s">
        <v>218</v>
      </c>
      <c r="D61" s="947">
        <v>0</v>
      </c>
      <c r="E61" s="947">
        <v>0</v>
      </c>
      <c r="F61" s="947">
        <v>0</v>
      </c>
      <c r="G61" s="947"/>
      <c r="H61" s="1256"/>
      <c r="I61" s="958"/>
    </row>
    <row r="62" spans="1:10" x14ac:dyDescent="0.25">
      <c r="A62" s="1238" t="s">
        <v>546</v>
      </c>
      <c r="B62" s="919"/>
      <c r="C62" s="919"/>
      <c r="D62" s="918"/>
      <c r="E62" s="918"/>
      <c r="F62" s="918"/>
      <c r="G62" s="947"/>
      <c r="H62" s="1256"/>
      <c r="I62" s="958"/>
    </row>
    <row r="63" spans="1:10" x14ac:dyDescent="0.25">
      <c r="H63" s="978"/>
    </row>
  </sheetData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196"/>
  <sheetViews>
    <sheetView topLeftCell="A7" zoomScale="80" zoomScaleNormal="80" workbookViewId="0">
      <selection activeCell="A2" sqref="A2:C2"/>
    </sheetView>
  </sheetViews>
  <sheetFormatPr defaultColWidth="9.140625" defaultRowHeight="12.75" outlineLevelRow="1" x14ac:dyDescent="0.25"/>
  <cols>
    <col min="1" max="1" width="14.42578125" style="1345" customWidth="1"/>
    <col min="2" max="2" width="9.42578125" style="1345" customWidth="1"/>
    <col min="3" max="3" width="85.85546875" style="1345" bestFit="1" customWidth="1"/>
    <col min="4" max="6" width="11.42578125" style="1373" bestFit="1" customWidth="1"/>
    <col min="7" max="7" width="13.42578125" style="1374" customWidth="1"/>
    <col min="8" max="8" width="11.5703125" style="1375" bestFit="1" customWidth="1"/>
    <col min="9" max="9" width="20.5703125" style="1376" bestFit="1" customWidth="1"/>
    <col min="10" max="16384" width="9.140625" style="1345"/>
  </cols>
  <sheetData>
    <row r="1" spans="1:10" s="1333" customFormat="1" ht="24" customHeight="1" x14ac:dyDescent="0.3">
      <c r="A1" s="1245" t="s">
        <v>1579</v>
      </c>
      <c r="B1" s="1245"/>
      <c r="C1" s="1246"/>
      <c r="D1" s="1329"/>
      <c r="E1" s="1329"/>
      <c r="F1" s="1329"/>
      <c r="G1" s="1330"/>
      <c r="H1" s="1331"/>
      <c r="I1" s="1332"/>
    </row>
    <row r="2" spans="1:10" s="1338" customFormat="1" ht="20.25" customHeight="1" x14ac:dyDescent="0.3">
      <c r="A2" s="2733" t="s">
        <v>714</v>
      </c>
      <c r="B2" s="2733"/>
      <c r="C2" s="2734"/>
      <c r="D2" s="1334"/>
      <c r="E2" s="1334"/>
      <c r="F2" s="1334"/>
      <c r="G2" s="1335"/>
      <c r="H2" s="1336"/>
      <c r="I2" s="1337"/>
    </row>
    <row r="3" spans="1:10" ht="13.5" thickBot="1" x14ac:dyDescent="0.3">
      <c r="A3" s="1339"/>
      <c r="B3" s="1339"/>
      <c r="C3" s="1339"/>
      <c r="D3" s="1341"/>
      <c r="E3" s="1341"/>
      <c r="F3" s="1341"/>
      <c r="G3" s="1342"/>
      <c r="H3" s="1343"/>
      <c r="I3" s="1344"/>
    </row>
    <row r="4" spans="1:10" ht="21.9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2048</v>
      </c>
      <c r="F4" s="1307" t="s">
        <v>2217</v>
      </c>
      <c r="G4" s="1308" t="s">
        <v>5</v>
      </c>
      <c r="H4" s="1303" t="s">
        <v>768</v>
      </c>
      <c r="I4" s="1344" t="s">
        <v>711</v>
      </c>
    </row>
    <row r="5" spans="1:10" ht="15.75" customHeight="1" outlineLevel="1" x14ac:dyDescent="0.25">
      <c r="A5" s="1309">
        <v>6409</v>
      </c>
      <c r="B5" s="1310">
        <v>5169</v>
      </c>
      <c r="C5" s="1311" t="s">
        <v>1854</v>
      </c>
      <c r="D5" s="1312">
        <v>50000</v>
      </c>
      <c r="E5" s="1312">
        <v>50000</v>
      </c>
      <c r="F5" s="1312">
        <f>+'[3]Všeob. pokladna'!$B$19</f>
        <v>50000</v>
      </c>
      <c r="G5" s="1313">
        <f>+F5-E5</f>
        <v>0</v>
      </c>
      <c r="H5" s="1343"/>
      <c r="I5" s="1344"/>
    </row>
    <row r="6" spans="1:10" ht="15.75" customHeight="1" outlineLevel="1" x14ac:dyDescent="0.25">
      <c r="A6" s="1314">
        <v>6409</v>
      </c>
      <c r="B6" s="1315">
        <v>5169</v>
      </c>
      <c r="C6" s="1316" t="s">
        <v>1855</v>
      </c>
      <c r="D6" s="1317">
        <v>200000</v>
      </c>
      <c r="E6" s="1317">
        <v>200000</v>
      </c>
      <c r="F6" s="1317">
        <f>+'[3]Všeob. pokladna'!$B$20</f>
        <v>200000</v>
      </c>
      <c r="G6" s="1318">
        <f t="shared" ref="G6:G69" si="0">+F6-E6</f>
        <v>0</v>
      </c>
      <c r="H6" s="1343"/>
      <c r="I6" s="1344"/>
    </row>
    <row r="7" spans="1:10" s="1349" customFormat="1" ht="16.5" customHeight="1" thickBot="1" x14ac:dyDescent="0.3">
      <c r="A7" s="2746" t="s">
        <v>1213</v>
      </c>
      <c r="B7" s="2747"/>
      <c r="C7" s="1918"/>
      <c r="D7" s="1919">
        <v>250000</v>
      </c>
      <c r="E7" s="1919">
        <v>250000</v>
      </c>
      <c r="F7" s="1919">
        <f t="shared" ref="F7" si="1">SUM(F5:F6)</f>
        <v>250000</v>
      </c>
      <c r="G7" s="1920">
        <f t="shared" si="0"/>
        <v>0</v>
      </c>
      <c r="H7" s="1346">
        <f>'Výdaje kapitol celkem'!K34</f>
        <v>250000</v>
      </c>
      <c r="I7" s="1347">
        <f>+H7-F7</f>
        <v>0</v>
      </c>
      <c r="J7" s="1348"/>
    </row>
    <row r="8" spans="1:10" ht="15.75" hidden="1" customHeight="1" outlineLevel="1" x14ac:dyDescent="0.25">
      <c r="A8" s="1309">
        <v>6112</v>
      </c>
      <c r="B8" s="1310">
        <v>5169</v>
      </c>
      <c r="C8" s="1311" t="s">
        <v>1875</v>
      </c>
      <c r="D8" s="1312">
        <v>0</v>
      </c>
      <c r="E8" s="1312">
        <v>0</v>
      </c>
      <c r="F8" s="1312">
        <f>[2]Zastupitelé!$B$52</f>
        <v>0</v>
      </c>
      <c r="G8" s="1313">
        <f t="shared" si="0"/>
        <v>0</v>
      </c>
      <c r="H8" s="1343"/>
      <c r="I8" s="1347"/>
    </row>
    <row r="9" spans="1:10" ht="15.75" customHeight="1" outlineLevel="1" x14ac:dyDescent="0.25">
      <c r="A9" s="1314">
        <v>6112</v>
      </c>
      <c r="B9" s="1315">
        <v>5169</v>
      </c>
      <c r="C9" s="1316" t="s">
        <v>1876</v>
      </c>
      <c r="D9" s="1317">
        <v>50000</v>
      </c>
      <c r="E9" s="1317">
        <v>50000</v>
      </c>
      <c r="F9" s="1317">
        <f>[2]Zastupitelé!$B$53</f>
        <v>50000</v>
      </c>
      <c r="G9" s="1318">
        <f t="shared" si="0"/>
        <v>0</v>
      </c>
      <c r="H9" s="1343"/>
      <c r="I9" s="1347"/>
    </row>
    <row r="10" spans="1:10" s="1349" customFormat="1" ht="16.5" customHeight="1" thickBot="1" x14ac:dyDescent="0.3">
      <c r="A10" s="2746" t="s">
        <v>1212</v>
      </c>
      <c r="B10" s="2747"/>
      <c r="C10" s="1918"/>
      <c r="D10" s="1919">
        <v>50000</v>
      </c>
      <c r="E10" s="1919">
        <v>50000</v>
      </c>
      <c r="F10" s="1919">
        <f t="shared" ref="F10" si="2">SUM(F8:F9)</f>
        <v>50000</v>
      </c>
      <c r="G10" s="1920">
        <f t="shared" si="0"/>
        <v>0</v>
      </c>
      <c r="H10" s="1346">
        <f>'Výdaje kapitol celkem'!M34</f>
        <v>50000</v>
      </c>
      <c r="I10" s="1347">
        <f>+H10-F10</f>
        <v>0</v>
      </c>
      <c r="J10" s="1348"/>
    </row>
    <row r="11" spans="1:10" ht="15.75" hidden="1" customHeight="1" outlineLevel="1" x14ac:dyDescent="0.25">
      <c r="A11" s="1309">
        <v>6117</v>
      </c>
      <c r="B11" s="1310">
        <v>5169</v>
      </c>
      <c r="C11" s="1311"/>
      <c r="D11" s="1312">
        <v>0</v>
      </c>
      <c r="E11" s="1312">
        <v>0</v>
      </c>
      <c r="F11" s="1312">
        <f>'[4]Volby '!$B$26</f>
        <v>0</v>
      </c>
      <c r="G11" s="1313">
        <f t="shared" si="0"/>
        <v>0</v>
      </c>
      <c r="H11" s="1343"/>
      <c r="I11" s="1347"/>
    </row>
    <row r="12" spans="1:10" ht="15.75" hidden="1" customHeight="1" outlineLevel="1" x14ac:dyDescent="0.25">
      <c r="A12" s="1314">
        <v>6117</v>
      </c>
      <c r="B12" s="1315">
        <v>5169</v>
      </c>
      <c r="C12" s="1316"/>
      <c r="D12" s="1317">
        <v>0</v>
      </c>
      <c r="E12" s="1317">
        <v>0</v>
      </c>
      <c r="F12" s="1317">
        <f>'[4]Volby '!$B$20</f>
        <v>0</v>
      </c>
      <c r="G12" s="1318">
        <f t="shared" si="0"/>
        <v>0</v>
      </c>
      <c r="H12" s="1343"/>
      <c r="I12" s="1347"/>
    </row>
    <row r="13" spans="1:10" ht="15.75" hidden="1" customHeight="1" outlineLevel="1" x14ac:dyDescent="0.25">
      <c r="A13" s="1314">
        <v>6117</v>
      </c>
      <c r="B13" s="1315">
        <v>5169</v>
      </c>
      <c r="C13" s="1316"/>
      <c r="D13" s="1317"/>
      <c r="E13" s="1317"/>
      <c r="F13" s="1317"/>
      <c r="G13" s="1318">
        <f t="shared" si="0"/>
        <v>0</v>
      </c>
      <c r="H13" s="1343"/>
      <c r="I13" s="1347"/>
    </row>
    <row r="14" spans="1:10" s="1349" customFormat="1" ht="16.5" hidden="1" customHeight="1" collapsed="1" thickBot="1" x14ac:dyDescent="0.3">
      <c r="A14" s="2746" t="s">
        <v>1211</v>
      </c>
      <c r="B14" s="2747"/>
      <c r="C14" s="1918"/>
      <c r="D14" s="1919">
        <v>0</v>
      </c>
      <c r="E14" s="1919">
        <v>0</v>
      </c>
      <c r="F14" s="1919">
        <f t="shared" ref="F14" si="3">SUM(F11:F13)</f>
        <v>0</v>
      </c>
      <c r="G14" s="1920">
        <f t="shared" si="0"/>
        <v>0</v>
      </c>
      <c r="H14" s="1346">
        <f>'Výdaje kapitol celkem'!N34</f>
        <v>0</v>
      </c>
      <c r="I14" s="1347">
        <f>+H14-F14</f>
        <v>0</v>
      </c>
      <c r="J14" s="1348"/>
    </row>
    <row r="15" spans="1:10" ht="16.5" customHeight="1" outlineLevel="1" x14ac:dyDescent="0.25">
      <c r="A15" s="1309">
        <v>6171</v>
      </c>
      <c r="B15" s="1310">
        <v>5169</v>
      </c>
      <c r="C15" s="1311" t="s">
        <v>1852</v>
      </c>
      <c r="D15" s="1312">
        <v>70000</v>
      </c>
      <c r="E15" s="1312">
        <v>70000</v>
      </c>
      <c r="F15" s="1312">
        <f>+[3]Správa!$B$5</f>
        <v>70000</v>
      </c>
      <c r="G15" s="1313">
        <f t="shared" si="0"/>
        <v>0</v>
      </c>
      <c r="H15" s="1343"/>
      <c r="I15" s="1347"/>
    </row>
    <row r="16" spans="1:10" ht="38.25" outlineLevel="1" x14ac:dyDescent="0.25">
      <c r="A16" s="2019">
        <v>6171</v>
      </c>
      <c r="B16" s="2020">
        <v>5169</v>
      </c>
      <c r="C16" s="2021" t="s">
        <v>1877</v>
      </c>
      <c r="D16" s="1317">
        <v>440000</v>
      </c>
      <c r="E16" s="1317">
        <v>440000</v>
      </c>
      <c r="F16" s="1317">
        <f>[2]Správa!$B$61</f>
        <v>440000</v>
      </c>
      <c r="G16" s="1318">
        <f t="shared" si="0"/>
        <v>0</v>
      </c>
      <c r="H16" s="1343"/>
      <c r="I16" s="1347"/>
    </row>
    <row r="17" spans="1:10" ht="16.5" customHeight="1" outlineLevel="1" x14ac:dyDescent="0.25">
      <c r="A17" s="1314">
        <v>6171</v>
      </c>
      <c r="B17" s="1315">
        <v>5169</v>
      </c>
      <c r="C17" s="1316" t="s">
        <v>1878</v>
      </c>
      <c r="D17" s="1317">
        <v>200000</v>
      </c>
      <c r="E17" s="1317">
        <v>200000</v>
      </c>
      <c r="F17" s="1317">
        <f>[2]Správa!$B$62</f>
        <v>200000</v>
      </c>
      <c r="G17" s="1318">
        <f t="shared" si="0"/>
        <v>0</v>
      </c>
      <c r="H17" s="1343"/>
      <c r="I17" s="1347"/>
    </row>
    <row r="18" spans="1:10" ht="15.75" customHeight="1" outlineLevel="1" x14ac:dyDescent="0.25">
      <c r="A18" s="1314">
        <v>6171</v>
      </c>
      <c r="B18" s="1315">
        <v>5169</v>
      </c>
      <c r="C18" s="1316" t="s">
        <v>1879</v>
      </c>
      <c r="D18" s="1317">
        <v>560000</v>
      </c>
      <c r="E18" s="1317">
        <v>560000</v>
      </c>
      <c r="F18" s="1317">
        <f>[2]Správa!$B$63</f>
        <v>560000</v>
      </c>
      <c r="G18" s="1318">
        <f t="shared" si="0"/>
        <v>0</v>
      </c>
      <c r="H18" s="1343"/>
      <c r="I18" s="1347"/>
    </row>
    <row r="19" spans="1:10" ht="15.75" hidden="1" customHeight="1" outlineLevel="1" x14ac:dyDescent="0.25">
      <c r="A19" s="1314">
        <v>6171</v>
      </c>
      <c r="B19" s="1315">
        <v>5169</v>
      </c>
      <c r="C19" s="1316"/>
      <c r="D19" s="1317"/>
      <c r="E19" s="1317"/>
      <c r="F19" s="1317"/>
      <c r="G19" s="1318">
        <f t="shared" si="0"/>
        <v>0</v>
      </c>
      <c r="H19" s="1343"/>
      <c r="I19" s="1347"/>
    </row>
    <row r="20" spans="1:10" s="1349" customFormat="1" ht="16.5" customHeight="1" thickBot="1" x14ac:dyDescent="0.3">
      <c r="A20" s="2746" t="s">
        <v>214</v>
      </c>
      <c r="B20" s="2747"/>
      <c r="C20" s="1918"/>
      <c r="D20" s="1919">
        <v>1270000</v>
      </c>
      <c r="E20" s="1919">
        <v>1270000</v>
      </c>
      <c r="F20" s="1919">
        <f t="shared" ref="F20" si="4">SUM(F15:F19)</f>
        <v>1270000</v>
      </c>
      <c r="G20" s="1920">
        <f t="shared" si="0"/>
        <v>0</v>
      </c>
      <c r="H20" s="1346">
        <f>'Výdaje kapitol celkem'!O34</f>
        <v>1270000</v>
      </c>
      <c r="I20" s="1347">
        <f>+H20-F20</f>
        <v>0</v>
      </c>
      <c r="J20" s="1348"/>
    </row>
    <row r="21" spans="1:10" ht="15.75" customHeight="1" outlineLevel="1" x14ac:dyDescent="0.25">
      <c r="A21" s="1309">
        <v>4351</v>
      </c>
      <c r="B21" s="1310">
        <v>5169</v>
      </c>
      <c r="C21" s="1311"/>
      <c r="D21" s="1312">
        <v>18000</v>
      </c>
      <c r="E21" s="1312">
        <v>18000</v>
      </c>
      <c r="F21" s="1312">
        <f>'[2]Pečovatelská služba'!$B$53</f>
        <v>18000</v>
      </c>
      <c r="G21" s="1313">
        <f t="shared" si="0"/>
        <v>0</v>
      </c>
      <c r="H21" s="1343"/>
      <c r="I21" s="1347"/>
      <c r="J21" s="1348"/>
    </row>
    <row r="22" spans="1:10" ht="15.75" hidden="1" customHeight="1" outlineLevel="1" x14ac:dyDescent="0.25">
      <c r="A22" s="1314">
        <v>4351</v>
      </c>
      <c r="B22" s="1315">
        <v>5169</v>
      </c>
      <c r="C22" s="1316"/>
      <c r="D22" s="1317"/>
      <c r="E22" s="1317"/>
      <c r="F22" s="1317"/>
      <c r="G22" s="1321">
        <f t="shared" si="0"/>
        <v>0</v>
      </c>
      <c r="H22" s="1343"/>
      <c r="I22" s="1347"/>
      <c r="J22" s="1348"/>
    </row>
    <row r="23" spans="1:10" s="1349" customFormat="1" ht="16.5" customHeight="1" thickBot="1" x14ac:dyDescent="0.3">
      <c r="A23" s="2746" t="s">
        <v>215</v>
      </c>
      <c r="B23" s="2747"/>
      <c r="C23" s="1918"/>
      <c r="D23" s="1919">
        <v>18000</v>
      </c>
      <c r="E23" s="1919">
        <v>18000</v>
      </c>
      <c r="F23" s="1919">
        <f t="shared" ref="F23" si="5">SUM(F21:F22)</f>
        <v>18000</v>
      </c>
      <c r="G23" s="1920">
        <f t="shared" si="0"/>
        <v>0</v>
      </c>
      <c r="H23" s="1346">
        <f>'Výdaje kapitol celkem'!T34</f>
        <v>18000</v>
      </c>
      <c r="I23" s="1347">
        <f>+H23-F23</f>
        <v>0</v>
      </c>
      <c r="J23" s="1348"/>
    </row>
    <row r="24" spans="1:10" ht="15.75" customHeight="1" outlineLevel="1" x14ac:dyDescent="0.25">
      <c r="A24" s="1309">
        <v>5311</v>
      </c>
      <c r="B24" s="1310">
        <v>5169</v>
      </c>
      <c r="C24" s="1311"/>
      <c r="D24" s="1312">
        <v>300000</v>
      </c>
      <c r="E24" s="1312">
        <v>300000</v>
      </c>
      <c r="F24" s="1312">
        <f>'[2]Agentura SCSA'!$B$5</f>
        <v>300000</v>
      </c>
      <c r="G24" s="1313">
        <f t="shared" si="0"/>
        <v>0</v>
      </c>
      <c r="H24" s="1343"/>
      <c r="I24" s="1347"/>
      <c r="J24" s="1348"/>
    </row>
    <row r="25" spans="1:10" ht="15.75" hidden="1" customHeight="1" outlineLevel="1" x14ac:dyDescent="0.25">
      <c r="A25" s="1314">
        <v>5311</v>
      </c>
      <c r="B25" s="1315">
        <v>5169</v>
      </c>
      <c r="C25" s="1316"/>
      <c r="D25" s="1317">
        <v>0</v>
      </c>
      <c r="E25" s="1317">
        <v>0</v>
      </c>
      <c r="F25" s="1317">
        <f>'[2]Agentura SCSA'!$B$6</f>
        <v>0</v>
      </c>
      <c r="G25" s="1321">
        <f t="shared" si="0"/>
        <v>0</v>
      </c>
      <c r="H25" s="1343"/>
      <c r="I25" s="1347"/>
      <c r="J25" s="1348"/>
    </row>
    <row r="26" spans="1:10" s="1349" customFormat="1" ht="21.6" customHeight="1" thickBot="1" x14ac:dyDescent="0.3">
      <c r="A26" s="2746" t="s">
        <v>1214</v>
      </c>
      <c r="B26" s="2747"/>
      <c r="C26" s="1918"/>
      <c r="D26" s="1919">
        <v>300000</v>
      </c>
      <c r="E26" s="1919">
        <v>300000</v>
      </c>
      <c r="F26" s="1919">
        <f t="shared" ref="F26" si="6">SUM(F24:F25)</f>
        <v>300000</v>
      </c>
      <c r="G26" s="1920">
        <f t="shared" si="0"/>
        <v>0</v>
      </c>
      <c r="H26" s="1346">
        <f>'Výdaje kapitol celkem'!U34</f>
        <v>300000</v>
      </c>
      <c r="I26" s="1347">
        <f>+H26-F26</f>
        <v>0</v>
      </c>
      <c r="J26" s="1348"/>
    </row>
    <row r="27" spans="1:10" ht="15.75" customHeight="1" outlineLevel="1" x14ac:dyDescent="0.25">
      <c r="A27" s="1309" t="s">
        <v>198</v>
      </c>
      <c r="B27" s="1310">
        <v>5169</v>
      </c>
      <c r="C27" s="1311" t="s">
        <v>1880</v>
      </c>
      <c r="D27" s="1312">
        <v>30000</v>
      </c>
      <c r="E27" s="1312">
        <v>30000</v>
      </c>
      <c r="F27" s="1312">
        <f>'[2]Městská policie'!$B$78</f>
        <v>30000</v>
      </c>
      <c r="G27" s="1313">
        <f t="shared" si="0"/>
        <v>0</v>
      </c>
      <c r="H27" s="1343"/>
      <c r="I27" s="1347"/>
      <c r="J27" s="1348"/>
    </row>
    <row r="28" spans="1:10" ht="15.75" customHeight="1" outlineLevel="1" x14ac:dyDescent="0.25">
      <c r="A28" s="1314" t="s">
        <v>198</v>
      </c>
      <c r="B28" s="1315">
        <v>5169</v>
      </c>
      <c r="C28" s="1316" t="s">
        <v>1881</v>
      </c>
      <c r="D28" s="1317">
        <v>70000</v>
      </c>
      <c r="E28" s="1317">
        <v>70000</v>
      </c>
      <c r="F28" s="1317">
        <f>'[2]Městská policie'!$B$79</f>
        <v>36300</v>
      </c>
      <c r="G28" s="1321">
        <f t="shared" si="0"/>
        <v>-33700</v>
      </c>
      <c r="H28" s="1343"/>
      <c r="I28" s="1347"/>
      <c r="J28" s="1348"/>
    </row>
    <row r="29" spans="1:10" s="1349" customFormat="1" ht="21.95" customHeight="1" thickBot="1" x14ac:dyDescent="0.3">
      <c r="A29" s="2746" t="s">
        <v>1183</v>
      </c>
      <c r="B29" s="2747"/>
      <c r="C29" s="1918"/>
      <c r="D29" s="1919">
        <v>100000</v>
      </c>
      <c r="E29" s="1919">
        <v>100000</v>
      </c>
      <c r="F29" s="1919">
        <f t="shared" ref="F29" si="7">SUM(F27:F28)</f>
        <v>66300</v>
      </c>
      <c r="G29" s="1920">
        <f t="shared" si="0"/>
        <v>-33700</v>
      </c>
      <c r="H29" s="1346">
        <f>'Výdaje kapitol celkem'!V34</f>
        <v>136300</v>
      </c>
      <c r="I29" s="1347">
        <f>+H29-F29</f>
        <v>70000</v>
      </c>
      <c r="J29" s="1348"/>
    </row>
    <row r="30" spans="1:10" ht="15.75" customHeight="1" outlineLevel="1" x14ac:dyDescent="0.25">
      <c r="A30" s="1309">
        <v>3319</v>
      </c>
      <c r="B30" s="1310">
        <v>5169</v>
      </c>
      <c r="C30" s="1311" t="s">
        <v>1882</v>
      </c>
      <c r="D30" s="1312">
        <v>50000</v>
      </c>
      <c r="E30" s="1312">
        <v>50000</v>
      </c>
      <c r="F30" s="1312">
        <f>[2]Kronika!$B$19</f>
        <v>50000</v>
      </c>
      <c r="G30" s="1313">
        <f t="shared" si="0"/>
        <v>0</v>
      </c>
      <c r="H30" s="1343"/>
      <c r="I30" s="1347"/>
      <c r="J30" s="1348"/>
    </row>
    <row r="31" spans="1:10" ht="15.75" customHeight="1" outlineLevel="1" x14ac:dyDescent="0.25">
      <c r="A31" s="1314">
        <v>3319</v>
      </c>
      <c r="B31" s="1315">
        <v>5169</v>
      </c>
      <c r="C31" s="1316" t="s">
        <v>1883</v>
      </c>
      <c r="D31" s="1317">
        <v>50000</v>
      </c>
      <c r="E31" s="1317">
        <v>50000</v>
      </c>
      <c r="F31" s="1317">
        <f>[2]Kronika!$B$20</f>
        <v>50000</v>
      </c>
      <c r="G31" s="1321">
        <f t="shared" si="0"/>
        <v>0</v>
      </c>
      <c r="H31" s="1343"/>
      <c r="I31" s="1347"/>
      <c r="J31" s="1348"/>
    </row>
    <row r="32" spans="1:10" s="1349" customFormat="1" ht="16.5" customHeight="1" thickBot="1" x14ac:dyDescent="0.3">
      <c r="A32" s="2746" t="s">
        <v>1182</v>
      </c>
      <c r="B32" s="2747"/>
      <c r="C32" s="1918"/>
      <c r="D32" s="1919">
        <v>100000</v>
      </c>
      <c r="E32" s="1919">
        <v>100000</v>
      </c>
      <c r="F32" s="1919">
        <f t="shared" ref="F32" si="8">SUM(F30:F31)</f>
        <v>100000</v>
      </c>
      <c r="G32" s="1920">
        <f t="shared" si="0"/>
        <v>0</v>
      </c>
      <c r="H32" s="1346">
        <f>'Výdaje kapitol celkem'!W34</f>
        <v>100000</v>
      </c>
      <c r="I32" s="1347">
        <f>+H32-F32</f>
        <v>0</v>
      </c>
      <c r="J32" s="1348"/>
    </row>
    <row r="33" spans="1:10" ht="15.75" customHeight="1" outlineLevel="1" x14ac:dyDescent="0.25">
      <c r="A33" s="1309">
        <v>3314</v>
      </c>
      <c r="B33" s="1310">
        <v>5169</v>
      </c>
      <c r="C33" s="1311"/>
      <c r="D33" s="1312">
        <v>15000</v>
      </c>
      <c r="E33" s="1312">
        <v>15000</v>
      </c>
      <c r="F33" s="1312">
        <f>[2]Knihovna!$B$55</f>
        <v>15000</v>
      </c>
      <c r="G33" s="1313">
        <f t="shared" si="0"/>
        <v>0</v>
      </c>
      <c r="H33" s="1343"/>
      <c r="I33" s="1347"/>
      <c r="J33" s="1348"/>
    </row>
    <row r="34" spans="1:10" ht="15.75" hidden="1" customHeight="1" outlineLevel="1" x14ac:dyDescent="0.25">
      <c r="A34" s="1314">
        <v>3314</v>
      </c>
      <c r="B34" s="1315">
        <v>5169</v>
      </c>
      <c r="C34" s="1316"/>
      <c r="D34" s="1317">
        <v>0</v>
      </c>
      <c r="E34" s="1317">
        <v>0</v>
      </c>
      <c r="F34" s="1317">
        <f>[2]Knihovna!$B$56</f>
        <v>0</v>
      </c>
      <c r="G34" s="1321">
        <f t="shared" si="0"/>
        <v>0</v>
      </c>
      <c r="H34" s="1343"/>
      <c r="I34" s="1347"/>
      <c r="J34" s="1348"/>
    </row>
    <row r="35" spans="1:10" s="1349" customFormat="1" ht="16.5" customHeight="1" thickBot="1" x14ac:dyDescent="0.3">
      <c r="A35" s="2746" t="s">
        <v>1184</v>
      </c>
      <c r="B35" s="2747"/>
      <c r="C35" s="1918"/>
      <c r="D35" s="1919">
        <v>15000</v>
      </c>
      <c r="E35" s="1919">
        <v>15000</v>
      </c>
      <c r="F35" s="1919">
        <f t="shared" ref="F35" si="9">SUM(F33:F34)</f>
        <v>15000</v>
      </c>
      <c r="G35" s="1920">
        <f t="shared" si="0"/>
        <v>0</v>
      </c>
      <c r="H35" s="1346">
        <f>'Výdaje kapitol celkem'!Y34</f>
        <v>15000</v>
      </c>
      <c r="I35" s="1347">
        <f>+H35-F35</f>
        <v>0</v>
      </c>
      <c r="J35" s="1348"/>
    </row>
    <row r="36" spans="1:10" ht="15.75" customHeight="1" outlineLevel="1" x14ac:dyDescent="0.25">
      <c r="A36" s="1309">
        <v>3349</v>
      </c>
      <c r="B36" s="1310">
        <v>5169</v>
      </c>
      <c r="C36" s="1311" t="s">
        <v>1884</v>
      </c>
      <c r="D36" s="1312">
        <v>450000</v>
      </c>
      <c r="E36" s="1312">
        <v>450000</v>
      </c>
      <c r="F36" s="1312">
        <f>'[2]Život Úval'!$B$12</f>
        <v>450000</v>
      </c>
      <c r="G36" s="1313">
        <f t="shared" si="0"/>
        <v>0</v>
      </c>
      <c r="H36" s="1343"/>
      <c r="I36" s="1347"/>
      <c r="J36" s="1348"/>
    </row>
    <row r="37" spans="1:10" ht="15.75" customHeight="1" outlineLevel="1" x14ac:dyDescent="0.25">
      <c r="A37" s="1907">
        <v>3349</v>
      </c>
      <c r="B37" s="1351">
        <v>5169</v>
      </c>
      <c r="C37" s="1322"/>
      <c r="D37" s="1323">
        <v>50000</v>
      </c>
      <c r="E37" s="1323">
        <v>50000</v>
      </c>
      <c r="F37" s="1323">
        <f>'[2]Život Úval'!$B$13</f>
        <v>50000</v>
      </c>
      <c r="G37" s="1324">
        <f t="shared" si="0"/>
        <v>0</v>
      </c>
      <c r="H37" s="1343"/>
      <c r="I37" s="1347"/>
      <c r="J37" s="1348"/>
    </row>
    <row r="38" spans="1:10" s="1349" customFormat="1" ht="16.5" customHeight="1" thickBot="1" x14ac:dyDescent="0.3">
      <c r="A38" s="2746" t="s">
        <v>1210</v>
      </c>
      <c r="B38" s="2747"/>
      <c r="C38" s="1918"/>
      <c r="D38" s="1919">
        <v>500000</v>
      </c>
      <c r="E38" s="1919">
        <v>500000</v>
      </c>
      <c r="F38" s="1919">
        <f>SUM(F36:F37)</f>
        <v>500000</v>
      </c>
      <c r="G38" s="1920">
        <f t="shared" si="0"/>
        <v>0</v>
      </c>
      <c r="H38" s="1346">
        <f>'Výdaje kapitol celkem'!Z34</f>
        <v>500000</v>
      </c>
      <c r="I38" s="1347">
        <f>+H38-F38</f>
        <v>0</v>
      </c>
      <c r="J38" s="1348"/>
    </row>
    <row r="39" spans="1:10" ht="15.75" customHeight="1" outlineLevel="1" x14ac:dyDescent="0.25">
      <c r="A39" s="1309">
        <v>3359</v>
      </c>
      <c r="B39" s="1310">
        <v>5169</v>
      </c>
      <c r="C39" s="1311" t="s">
        <v>1885</v>
      </c>
      <c r="D39" s="1312">
        <v>200000</v>
      </c>
      <c r="E39" s="1312">
        <v>200000</v>
      </c>
      <c r="F39" s="1312">
        <f>[2]Kultura!$B$29</f>
        <v>200000</v>
      </c>
      <c r="G39" s="1313">
        <f t="shared" si="0"/>
        <v>0</v>
      </c>
      <c r="H39" s="1343"/>
      <c r="I39" s="1347"/>
      <c r="J39" s="1348"/>
    </row>
    <row r="40" spans="1:10" ht="15.75" customHeight="1" outlineLevel="1" x14ac:dyDescent="0.25">
      <c r="A40" s="1314">
        <v>3359</v>
      </c>
      <c r="B40" s="1315">
        <v>5169</v>
      </c>
      <c r="C40" s="1316" t="s">
        <v>1886</v>
      </c>
      <c r="D40" s="1317">
        <v>100000</v>
      </c>
      <c r="E40" s="1317">
        <v>100000</v>
      </c>
      <c r="F40" s="1317">
        <f>[2]Kultura!$B$30</f>
        <v>100000</v>
      </c>
      <c r="G40" s="1318">
        <f t="shared" si="0"/>
        <v>0</v>
      </c>
      <c r="H40" s="1343"/>
      <c r="I40" s="1347"/>
      <c r="J40" s="1348"/>
    </row>
    <row r="41" spans="1:10" ht="15.75" customHeight="1" outlineLevel="1" x14ac:dyDescent="0.25">
      <c r="A41" s="1314">
        <v>3359</v>
      </c>
      <c r="B41" s="1315">
        <v>5169</v>
      </c>
      <c r="C41" s="1316" t="s">
        <v>1887</v>
      </c>
      <c r="D41" s="1317">
        <v>100000</v>
      </c>
      <c r="E41" s="1317">
        <v>150000</v>
      </c>
      <c r="F41" s="1317">
        <f>[2]Kultura!$B$31</f>
        <v>150000</v>
      </c>
      <c r="G41" s="1318">
        <f t="shared" si="0"/>
        <v>0</v>
      </c>
      <c r="H41" s="1343"/>
      <c r="I41" s="1347"/>
      <c r="J41" s="1348"/>
    </row>
    <row r="42" spans="1:10" ht="18" customHeight="1" outlineLevel="1" x14ac:dyDescent="0.25">
      <c r="A42" s="1350">
        <v>3359</v>
      </c>
      <c r="B42" s="1351">
        <v>5169</v>
      </c>
      <c r="C42" s="1352" t="s">
        <v>1888</v>
      </c>
      <c r="D42" s="1353">
        <v>150000</v>
      </c>
      <c r="E42" s="1353">
        <v>150000</v>
      </c>
      <c r="F42" s="1353">
        <f>[2]Kultura!$B$32</f>
        <v>150000</v>
      </c>
      <c r="G42" s="1354">
        <f t="shared" si="0"/>
        <v>0</v>
      </c>
      <c r="H42" s="1343"/>
      <c r="I42" s="1347"/>
      <c r="J42" s="1348"/>
    </row>
    <row r="43" spans="1:10" ht="18" customHeight="1" outlineLevel="1" x14ac:dyDescent="0.25">
      <c r="A43" s="1350">
        <v>3359</v>
      </c>
      <c r="B43" s="1351">
        <v>5169</v>
      </c>
      <c r="C43" s="1352" t="s">
        <v>1889</v>
      </c>
      <c r="D43" s="1353">
        <v>120000</v>
      </c>
      <c r="E43" s="1353">
        <v>120000</v>
      </c>
      <c r="F43" s="1353">
        <f>[2]Kultura!$B$33</f>
        <v>120000</v>
      </c>
      <c r="G43" s="1354">
        <f t="shared" si="0"/>
        <v>0</v>
      </c>
      <c r="H43" s="1343"/>
      <c r="I43" s="1347"/>
      <c r="J43" s="1348"/>
    </row>
    <row r="44" spans="1:10" ht="16.5" customHeight="1" outlineLevel="1" x14ac:dyDescent="0.25">
      <c r="A44" s="1350">
        <v>3359</v>
      </c>
      <c r="B44" s="1351">
        <v>5169</v>
      </c>
      <c r="C44" s="1352" t="s">
        <v>1890</v>
      </c>
      <c r="D44" s="1353">
        <v>250000</v>
      </c>
      <c r="E44" s="1353">
        <v>250000</v>
      </c>
      <c r="F44" s="1353">
        <f>[2]Kultura!$B$34</f>
        <v>250000</v>
      </c>
      <c r="G44" s="1354">
        <f t="shared" si="0"/>
        <v>0</v>
      </c>
      <c r="H44" s="1343"/>
      <c r="I44" s="1347"/>
      <c r="J44" s="1348"/>
    </row>
    <row r="45" spans="1:10" s="1349" customFormat="1" ht="16.5" customHeight="1" thickBot="1" x14ac:dyDescent="0.3">
      <c r="A45" s="2746" t="s">
        <v>1209</v>
      </c>
      <c r="B45" s="2747"/>
      <c r="C45" s="1918"/>
      <c r="D45" s="1919">
        <v>920000</v>
      </c>
      <c r="E45" s="1919">
        <v>970000</v>
      </c>
      <c r="F45" s="1919">
        <f t="shared" ref="F45" si="10">SUM(F39:F44)</f>
        <v>970000</v>
      </c>
      <c r="G45" s="1920">
        <f t="shared" si="0"/>
        <v>0</v>
      </c>
      <c r="H45" s="1346">
        <f>'Výdaje kapitol celkem'!AA34</f>
        <v>970000</v>
      </c>
      <c r="I45" s="1347">
        <f>+H45-F45</f>
        <v>0</v>
      </c>
      <c r="J45" s="1348"/>
    </row>
    <row r="46" spans="1:10" ht="28.5" customHeight="1" outlineLevel="1" x14ac:dyDescent="0.25">
      <c r="A46" s="1309">
        <v>3612</v>
      </c>
      <c r="B46" s="1310">
        <v>5169</v>
      </c>
      <c r="C46" s="1311" t="s">
        <v>1892</v>
      </c>
      <c r="D46" s="1312">
        <v>1170000</v>
      </c>
      <c r="E46" s="1312">
        <v>1170000</v>
      </c>
      <c r="F46" s="1312">
        <f>+[3]Byty!$B$26</f>
        <v>1170000</v>
      </c>
      <c r="G46" s="1313">
        <f t="shared" si="0"/>
        <v>0</v>
      </c>
      <c r="H46" s="1343"/>
      <c r="I46" s="1347"/>
      <c r="J46" s="1348"/>
    </row>
    <row r="47" spans="1:10" ht="18.75" customHeight="1" outlineLevel="1" x14ac:dyDescent="0.25">
      <c r="A47" s="1314">
        <v>3612</v>
      </c>
      <c r="B47" s="1315">
        <v>5169</v>
      </c>
      <c r="C47" s="1316" t="s">
        <v>1845</v>
      </c>
      <c r="D47" s="1317">
        <v>250000</v>
      </c>
      <c r="E47" s="1317">
        <v>250000</v>
      </c>
      <c r="F47" s="1317">
        <f>+[3]Byty!$B$27</f>
        <v>250000</v>
      </c>
      <c r="G47" s="1318">
        <f t="shared" si="0"/>
        <v>0</v>
      </c>
      <c r="H47" s="1343"/>
      <c r="I47" s="1347"/>
      <c r="J47" s="1348"/>
    </row>
    <row r="48" spans="1:10" s="1349" customFormat="1" ht="16.5" customHeight="1" thickBot="1" x14ac:dyDescent="0.3">
      <c r="A48" s="2746" t="s">
        <v>201</v>
      </c>
      <c r="B48" s="2747"/>
      <c r="C48" s="1918"/>
      <c r="D48" s="1919">
        <v>1420000</v>
      </c>
      <c r="E48" s="1919">
        <v>1420000</v>
      </c>
      <c r="F48" s="1919">
        <f t="shared" ref="F48" si="11">SUM(F46:F47)</f>
        <v>1420000</v>
      </c>
      <c r="G48" s="1920">
        <f t="shared" si="0"/>
        <v>0</v>
      </c>
      <c r="H48" s="1346">
        <f>'Výdaje kapitol celkem'!AB34</f>
        <v>1420000</v>
      </c>
      <c r="I48" s="1347">
        <f>+H48-F48</f>
        <v>0</v>
      </c>
      <c r="J48" s="1348"/>
    </row>
    <row r="49" spans="1:10" ht="16.5" customHeight="1" outlineLevel="1" x14ac:dyDescent="0.25">
      <c r="A49" s="1350" t="s">
        <v>200</v>
      </c>
      <c r="B49" s="1351">
        <v>5169</v>
      </c>
      <c r="C49" s="1352" t="s">
        <v>1830</v>
      </c>
      <c r="D49" s="1353">
        <v>120000</v>
      </c>
      <c r="E49" s="1353">
        <v>120000</v>
      </c>
      <c r="F49" s="1353">
        <f>+[3]DPS!$B$27</f>
        <v>120000</v>
      </c>
      <c r="G49" s="1354">
        <f t="shared" si="0"/>
        <v>0</v>
      </c>
      <c r="H49" s="1343"/>
      <c r="I49" s="1347"/>
      <c r="J49" s="1348"/>
    </row>
    <row r="50" spans="1:10" ht="16.5" customHeight="1" outlineLevel="1" x14ac:dyDescent="0.25">
      <c r="A50" s="1350" t="s">
        <v>200</v>
      </c>
      <c r="B50" s="1351">
        <v>5169</v>
      </c>
      <c r="C50" s="1352" t="s">
        <v>1831</v>
      </c>
      <c r="D50" s="1353">
        <v>50000</v>
      </c>
      <c r="E50" s="1353">
        <v>50000</v>
      </c>
      <c r="F50" s="1353">
        <f>+[3]DPS!$B$28</f>
        <v>50000</v>
      </c>
      <c r="G50" s="1354">
        <f t="shared" si="0"/>
        <v>0</v>
      </c>
      <c r="H50" s="1343"/>
      <c r="I50" s="1347"/>
      <c r="J50" s="1348"/>
    </row>
    <row r="51" spans="1:10" ht="13.5" thickBot="1" x14ac:dyDescent="0.3">
      <c r="A51" s="2746" t="s">
        <v>202</v>
      </c>
      <c r="B51" s="2747"/>
      <c r="C51" s="1918"/>
      <c r="D51" s="1919">
        <v>170000</v>
      </c>
      <c r="E51" s="1919">
        <v>170000</v>
      </c>
      <c r="F51" s="1919">
        <f t="shared" ref="F51" si="12">SUM(F49:F50)</f>
        <v>170000</v>
      </c>
      <c r="G51" s="1920">
        <f t="shared" si="0"/>
        <v>0</v>
      </c>
      <c r="H51" s="1346">
        <f>'Výdaje kapitol celkem'!AE34</f>
        <v>170000</v>
      </c>
      <c r="I51" s="1347">
        <f>+H51-F51</f>
        <v>0</v>
      </c>
      <c r="J51" s="1348"/>
    </row>
    <row r="52" spans="1:10" ht="15" hidden="1" customHeight="1" outlineLevel="1" x14ac:dyDescent="0.25">
      <c r="A52" s="1314" t="s">
        <v>1262</v>
      </c>
      <c r="B52" s="1315">
        <v>5169</v>
      </c>
      <c r="C52" s="1316"/>
      <c r="D52" s="1317">
        <v>0</v>
      </c>
      <c r="E52" s="1317">
        <v>0</v>
      </c>
      <c r="F52" s="1317">
        <f>+'[3]Hotel Budka'!$B$19</f>
        <v>0</v>
      </c>
      <c r="G52" s="1321">
        <f t="shared" si="0"/>
        <v>0</v>
      </c>
      <c r="H52" s="1343"/>
      <c r="I52" s="1347"/>
      <c r="J52" s="1348"/>
    </row>
    <row r="53" spans="1:10" ht="15" hidden="1" customHeight="1" outlineLevel="1" x14ac:dyDescent="0.25">
      <c r="A53" s="1350" t="s">
        <v>1262</v>
      </c>
      <c r="B53" s="1351">
        <v>5169</v>
      </c>
      <c r="C53" s="1352"/>
      <c r="D53" s="1353">
        <v>0</v>
      </c>
      <c r="E53" s="1353">
        <v>0</v>
      </c>
      <c r="F53" s="1353">
        <f>+'[3]Hotel Budka'!$B$20</f>
        <v>0</v>
      </c>
      <c r="G53" s="1355">
        <f t="shared" si="0"/>
        <v>0</v>
      </c>
      <c r="H53" s="1343"/>
      <c r="I53" s="1347"/>
      <c r="J53" s="1348"/>
    </row>
    <row r="54" spans="1:10" ht="15" hidden="1" customHeight="1" outlineLevel="1" x14ac:dyDescent="0.25">
      <c r="A54" s="1905" t="s">
        <v>1262</v>
      </c>
      <c r="B54" s="1351">
        <v>5169</v>
      </c>
      <c r="C54" s="1362"/>
      <c r="D54" s="1363">
        <v>0</v>
      </c>
      <c r="E54" s="1363">
        <v>0</v>
      </c>
      <c r="F54" s="1363">
        <v>0</v>
      </c>
      <c r="G54" s="1906">
        <f t="shared" si="0"/>
        <v>0</v>
      </c>
      <c r="H54" s="1343"/>
      <c r="I54" s="1347"/>
      <c r="J54" s="1348"/>
    </row>
    <row r="55" spans="1:10" ht="16.5" hidden="1" customHeight="1" collapsed="1" thickBot="1" x14ac:dyDescent="0.3">
      <c r="A55" s="2746" t="s">
        <v>1451</v>
      </c>
      <c r="B55" s="2747"/>
      <c r="C55" s="1918"/>
      <c r="D55" s="1919">
        <v>0</v>
      </c>
      <c r="E55" s="1919">
        <v>0</v>
      </c>
      <c r="F55" s="1919">
        <f t="shared" ref="F55" si="13">SUM(F52:F53)</f>
        <v>0</v>
      </c>
      <c r="G55" s="1920">
        <f t="shared" si="0"/>
        <v>0</v>
      </c>
      <c r="H55" s="1346">
        <f>'Výdaje kapitol celkem'!X34</f>
        <v>0</v>
      </c>
      <c r="I55" s="1347">
        <f>+H55-F55</f>
        <v>0</v>
      </c>
      <c r="J55" s="1348"/>
    </row>
    <row r="56" spans="1:10" ht="15" customHeight="1" outlineLevel="1" x14ac:dyDescent="0.25">
      <c r="A56" s="1314">
        <v>3613</v>
      </c>
      <c r="B56" s="1315">
        <v>5169</v>
      </c>
      <c r="C56" s="1316" t="s">
        <v>1836</v>
      </c>
      <c r="D56" s="1317">
        <v>270000</v>
      </c>
      <c r="E56" s="1317">
        <v>270000</v>
      </c>
      <c r="F56" s="1317">
        <f>+[3]Nebyty!$B$5</f>
        <v>270000</v>
      </c>
      <c r="G56" s="1321">
        <f t="shared" si="0"/>
        <v>0</v>
      </c>
      <c r="H56" s="1343"/>
      <c r="I56" s="1347"/>
      <c r="J56" s="1348"/>
    </row>
    <row r="57" spans="1:10" ht="15" customHeight="1" outlineLevel="1" x14ac:dyDescent="0.25">
      <c r="A57" s="1350">
        <v>3613</v>
      </c>
      <c r="B57" s="1351">
        <v>5169</v>
      </c>
      <c r="C57" s="1352" t="s">
        <v>1837</v>
      </c>
      <c r="D57" s="1353">
        <v>300000</v>
      </c>
      <c r="E57" s="1353">
        <v>300000</v>
      </c>
      <c r="F57" s="1353">
        <f>+[3]Nebyty!$B$6</f>
        <v>300000</v>
      </c>
      <c r="G57" s="1355">
        <f t="shared" si="0"/>
        <v>0</v>
      </c>
      <c r="H57" s="1343"/>
      <c r="I57" s="1347"/>
      <c r="J57" s="1348"/>
    </row>
    <row r="58" spans="1:10" ht="16.5" customHeight="1" thickBot="1" x14ac:dyDescent="0.3">
      <c r="A58" s="2746" t="s">
        <v>203</v>
      </c>
      <c r="B58" s="2747"/>
      <c r="C58" s="1918"/>
      <c r="D58" s="1919">
        <v>570000</v>
      </c>
      <c r="E58" s="1919">
        <v>570000</v>
      </c>
      <c r="F58" s="1919">
        <f t="shared" ref="F58" si="14">SUM(F56:F57)</f>
        <v>570000</v>
      </c>
      <c r="G58" s="1920">
        <f t="shared" si="0"/>
        <v>0</v>
      </c>
      <c r="H58" s="1346">
        <f>'Výdaje kapitol celkem'!AH34</f>
        <v>570000</v>
      </c>
      <c r="I58" s="1347">
        <f>+H58-F58</f>
        <v>0</v>
      </c>
      <c r="J58" s="1348"/>
    </row>
    <row r="59" spans="1:10" ht="20.25" customHeight="1" outlineLevel="1" x14ac:dyDescent="0.25">
      <c r="A59" s="1314">
        <v>5512</v>
      </c>
      <c r="B59" s="1315">
        <v>5169</v>
      </c>
      <c r="C59" s="1316" t="s">
        <v>1813</v>
      </c>
      <c r="D59" s="1317">
        <v>20000</v>
      </c>
      <c r="E59" s="1317">
        <v>20000</v>
      </c>
      <c r="F59" s="1317">
        <f>+[3]Hasiči!$B$19</f>
        <v>20000</v>
      </c>
      <c r="G59" s="1321">
        <f t="shared" si="0"/>
        <v>0</v>
      </c>
      <c r="H59" s="1343"/>
      <c r="I59" s="1347"/>
      <c r="J59" s="1348"/>
    </row>
    <row r="60" spans="1:10" ht="28.5" customHeight="1" outlineLevel="1" x14ac:dyDescent="0.25">
      <c r="A60" s="1350">
        <v>5512</v>
      </c>
      <c r="B60" s="1351">
        <v>5169</v>
      </c>
      <c r="C60" s="1316" t="s">
        <v>1891</v>
      </c>
      <c r="D60" s="1353">
        <v>30000</v>
      </c>
      <c r="E60" s="1353">
        <v>30000</v>
      </c>
      <c r="F60" s="1353">
        <f>[2]Hasiči!$B$55</f>
        <v>30000</v>
      </c>
      <c r="G60" s="1355">
        <f t="shared" si="0"/>
        <v>0</v>
      </c>
      <c r="H60" s="1343"/>
      <c r="I60" s="1347"/>
      <c r="J60" s="1348"/>
    </row>
    <row r="61" spans="1:10" ht="20.25" hidden="1" customHeight="1" outlineLevel="1" x14ac:dyDescent="0.25">
      <c r="A61" s="1350">
        <v>5512</v>
      </c>
      <c r="B61" s="1351">
        <v>5169</v>
      </c>
      <c r="C61" s="1316"/>
      <c r="D61" s="1353"/>
      <c r="E61" s="1353"/>
      <c r="F61" s="1353"/>
      <c r="G61" s="1355">
        <f t="shared" si="0"/>
        <v>0</v>
      </c>
      <c r="H61" s="1343"/>
      <c r="I61" s="1347"/>
      <c r="J61" s="1348"/>
    </row>
    <row r="62" spans="1:10" ht="20.25" hidden="1" customHeight="1" outlineLevel="1" x14ac:dyDescent="0.25">
      <c r="A62" s="1350">
        <v>5512</v>
      </c>
      <c r="B62" s="1351">
        <v>5169</v>
      </c>
      <c r="C62" s="1316"/>
      <c r="D62" s="1353">
        <v>0</v>
      </c>
      <c r="E62" s="1353">
        <v>0</v>
      </c>
      <c r="F62" s="1353">
        <v>0</v>
      </c>
      <c r="G62" s="1355">
        <f t="shared" si="0"/>
        <v>0</v>
      </c>
      <c r="H62" s="1343"/>
      <c r="I62" s="1347"/>
      <c r="J62" s="1348"/>
    </row>
    <row r="63" spans="1:10" ht="20.25" customHeight="1" thickBot="1" x14ac:dyDescent="0.3">
      <c r="A63" s="2746" t="s">
        <v>204</v>
      </c>
      <c r="B63" s="2747"/>
      <c r="C63" s="1918"/>
      <c r="D63" s="1919">
        <v>50000</v>
      </c>
      <c r="E63" s="1919">
        <v>50000</v>
      </c>
      <c r="F63" s="1919">
        <f t="shared" ref="F63" si="15">SUM(F59:F62)</f>
        <v>50000</v>
      </c>
      <c r="G63" s="1920">
        <f t="shared" si="0"/>
        <v>0</v>
      </c>
      <c r="H63" s="1346">
        <f>'Výdaje kapitol celkem'!AK34</f>
        <v>50000</v>
      </c>
      <c r="I63" s="1347">
        <f>+H63-F63</f>
        <v>0</v>
      </c>
      <c r="J63" s="1348"/>
    </row>
    <row r="64" spans="1:10" ht="20.25" customHeight="1" outlineLevel="1" x14ac:dyDescent="0.25">
      <c r="A64" s="1314">
        <v>3519</v>
      </c>
      <c r="B64" s="1315">
        <v>5169</v>
      </c>
      <c r="C64" s="1316"/>
      <c r="D64" s="1317">
        <v>80000</v>
      </c>
      <c r="E64" s="1317">
        <v>80000</v>
      </c>
      <c r="F64" s="1317">
        <f>+'[3]Zdrav. středisko'!$B$5</f>
        <v>80000</v>
      </c>
      <c r="G64" s="1321">
        <f t="shared" si="0"/>
        <v>0</v>
      </c>
      <c r="H64" s="1343"/>
      <c r="I64" s="1347"/>
      <c r="J64" s="1348"/>
    </row>
    <row r="65" spans="1:10" ht="20.25" hidden="1" customHeight="1" outlineLevel="1" x14ac:dyDescent="0.25">
      <c r="A65" s="1350">
        <v>3519</v>
      </c>
      <c r="B65" s="1351">
        <v>5169</v>
      </c>
      <c r="C65" s="1352"/>
      <c r="D65" s="1353">
        <v>0</v>
      </c>
      <c r="E65" s="1353">
        <v>0</v>
      </c>
      <c r="F65" s="1353">
        <f>+'[3]Zdrav. středisko'!$B$6</f>
        <v>0</v>
      </c>
      <c r="G65" s="1355">
        <f t="shared" si="0"/>
        <v>0</v>
      </c>
      <c r="H65" s="1343"/>
      <c r="I65" s="1347"/>
      <c r="J65" s="1348"/>
    </row>
    <row r="66" spans="1:10" ht="26.25" customHeight="1" thickBot="1" x14ac:dyDescent="0.3">
      <c r="A66" s="2746" t="s">
        <v>205</v>
      </c>
      <c r="B66" s="2747"/>
      <c r="C66" s="1918"/>
      <c r="D66" s="1919">
        <v>80000</v>
      </c>
      <c r="E66" s="1919">
        <v>80000</v>
      </c>
      <c r="F66" s="1919">
        <f t="shared" ref="F66" si="16">SUM(F64:F65)</f>
        <v>80000</v>
      </c>
      <c r="G66" s="1920">
        <f t="shared" si="0"/>
        <v>0</v>
      </c>
      <c r="H66" s="1346">
        <f>'Výdaje kapitol celkem'!AL34</f>
        <v>80000</v>
      </c>
      <c r="I66" s="1347">
        <f>+H66-F66</f>
        <v>0</v>
      </c>
      <c r="J66" s="1348"/>
    </row>
    <row r="67" spans="1:10" ht="18" hidden="1" customHeight="1" outlineLevel="1" x14ac:dyDescent="0.25">
      <c r="A67" s="1314">
        <v>3429</v>
      </c>
      <c r="B67" s="1315">
        <v>5169</v>
      </c>
      <c r="C67" s="1316" t="s">
        <v>1813</v>
      </c>
      <c r="D67" s="1317">
        <v>0</v>
      </c>
      <c r="E67" s="1317">
        <v>0</v>
      </c>
      <c r="F67" s="1317">
        <f>+[3]Tesko!$B$5</f>
        <v>0</v>
      </c>
      <c r="G67" s="1321">
        <f t="shared" si="0"/>
        <v>0</v>
      </c>
      <c r="H67" s="1343"/>
      <c r="I67" s="1347"/>
      <c r="J67" s="1348"/>
    </row>
    <row r="68" spans="1:10" ht="18" hidden="1" customHeight="1" outlineLevel="1" x14ac:dyDescent="0.25">
      <c r="A68" s="1350">
        <v>3429</v>
      </c>
      <c r="B68" s="1351">
        <v>5169</v>
      </c>
      <c r="C68" s="1316"/>
      <c r="D68" s="1317">
        <v>0</v>
      </c>
      <c r="E68" s="1317">
        <v>0</v>
      </c>
      <c r="F68" s="1317">
        <f>+[3]Tesko!$B$6</f>
        <v>0</v>
      </c>
      <c r="G68" s="1321">
        <f t="shared" si="0"/>
        <v>0</v>
      </c>
      <c r="H68" s="1343"/>
      <c r="I68" s="1347"/>
      <c r="J68" s="1348"/>
    </row>
    <row r="69" spans="1:10" ht="20.25" hidden="1" customHeight="1" outlineLevel="1" x14ac:dyDescent="0.25">
      <c r="A69" s="1350">
        <v>3429</v>
      </c>
      <c r="B69" s="1351">
        <v>5169</v>
      </c>
      <c r="C69" s="1352"/>
      <c r="D69" s="1356"/>
      <c r="E69" s="1356"/>
      <c r="F69" s="1356"/>
      <c r="G69" s="1355">
        <f t="shared" si="0"/>
        <v>0</v>
      </c>
      <c r="H69" s="1343"/>
      <c r="I69" s="1347"/>
      <c r="J69" s="1348"/>
    </row>
    <row r="70" spans="1:10" ht="20.25" hidden="1" customHeight="1" collapsed="1" thickBot="1" x14ac:dyDescent="0.3">
      <c r="A70" s="2746" t="s">
        <v>1215</v>
      </c>
      <c r="B70" s="2747"/>
      <c r="C70" s="1918"/>
      <c r="D70" s="1919">
        <v>0</v>
      </c>
      <c r="E70" s="1919">
        <v>0</v>
      </c>
      <c r="F70" s="1919">
        <f t="shared" ref="F70" si="17">SUM(F67:F69)</f>
        <v>0</v>
      </c>
      <c r="G70" s="1920">
        <f t="shared" ref="G70:G133" si="18">+F70-E70</f>
        <v>0</v>
      </c>
      <c r="H70" s="1346">
        <f>'Výdaje kapitol celkem'!AM34</f>
        <v>0</v>
      </c>
      <c r="I70" s="1347">
        <f>+H70-F70</f>
        <v>0</v>
      </c>
      <c r="J70" s="1348"/>
    </row>
    <row r="71" spans="1:10" ht="18" customHeight="1" outlineLevel="1" x14ac:dyDescent="0.25">
      <c r="A71" s="1314">
        <v>3632</v>
      </c>
      <c r="B71" s="1315">
        <v>5169</v>
      </c>
      <c r="C71" s="1316"/>
      <c r="D71" s="1317">
        <v>50000</v>
      </c>
      <c r="E71" s="1317">
        <v>50000</v>
      </c>
      <c r="F71" s="1317">
        <f>+[3]Hřbitov!$B$19</f>
        <v>50000</v>
      </c>
      <c r="G71" s="1321">
        <f t="shared" si="18"/>
        <v>0</v>
      </c>
      <c r="H71" s="1343"/>
      <c r="I71" s="1347"/>
      <c r="J71" s="1348"/>
    </row>
    <row r="72" spans="1:10" ht="18" hidden="1" customHeight="1" outlineLevel="1" x14ac:dyDescent="0.25">
      <c r="A72" s="1350">
        <v>3632</v>
      </c>
      <c r="B72" s="1351">
        <v>5169</v>
      </c>
      <c r="C72" s="1316"/>
      <c r="D72" s="1317">
        <v>0</v>
      </c>
      <c r="E72" s="1317">
        <v>0</v>
      </c>
      <c r="F72" s="1317">
        <f>+[3]Hřbitov!$B$20</f>
        <v>0</v>
      </c>
      <c r="G72" s="1321">
        <f t="shared" si="18"/>
        <v>0</v>
      </c>
      <c r="H72" s="1343"/>
      <c r="I72" s="1347"/>
      <c r="J72" s="1348"/>
    </row>
    <row r="73" spans="1:10" ht="20.25" hidden="1" customHeight="1" outlineLevel="1" x14ac:dyDescent="0.25">
      <c r="A73" s="1350">
        <v>3632</v>
      </c>
      <c r="B73" s="1351">
        <v>5169</v>
      </c>
      <c r="C73" s="1352"/>
      <c r="D73" s="1353"/>
      <c r="E73" s="1353"/>
      <c r="F73" s="1353"/>
      <c r="G73" s="1355">
        <f t="shared" si="18"/>
        <v>0</v>
      </c>
      <c r="H73" s="1343"/>
      <c r="I73" s="1347"/>
      <c r="J73" s="1348"/>
    </row>
    <row r="74" spans="1:10" ht="20.25" customHeight="1" thickBot="1" x14ac:dyDescent="0.3">
      <c r="A74" s="2746" t="s">
        <v>254</v>
      </c>
      <c r="B74" s="2747"/>
      <c r="C74" s="1918"/>
      <c r="D74" s="1919">
        <v>50000</v>
      </c>
      <c r="E74" s="1919">
        <v>50000</v>
      </c>
      <c r="F74" s="1919">
        <f t="shared" ref="F74" si="19">SUM(F71:F73)</f>
        <v>50000</v>
      </c>
      <c r="G74" s="1920">
        <f t="shared" si="18"/>
        <v>0</v>
      </c>
      <c r="H74" s="1346">
        <f>'Výdaje kapitol celkem'!AN34</f>
        <v>50000</v>
      </c>
      <c r="I74" s="1347">
        <f>+H74-F74</f>
        <v>0</v>
      </c>
      <c r="J74" s="1348"/>
    </row>
    <row r="75" spans="1:10" ht="20.25" customHeight="1" outlineLevel="1" x14ac:dyDescent="0.25">
      <c r="A75" s="1314">
        <v>3412</v>
      </c>
      <c r="B75" s="1315">
        <v>5169</v>
      </c>
      <c r="C75" s="1316" t="s">
        <v>1824</v>
      </c>
      <c r="D75" s="1317">
        <v>30000</v>
      </c>
      <c r="E75" s="1317">
        <v>30000</v>
      </c>
      <c r="F75" s="1317">
        <f>+[3]koupaliště!$B$15</f>
        <v>30000</v>
      </c>
      <c r="G75" s="1321">
        <f t="shared" si="18"/>
        <v>0</v>
      </c>
      <c r="H75" s="1343"/>
      <c r="I75" s="1347"/>
      <c r="J75" s="1348"/>
    </row>
    <row r="76" spans="1:10" ht="18" hidden="1" customHeight="1" outlineLevel="1" x14ac:dyDescent="0.25">
      <c r="A76" s="1350">
        <v>3412</v>
      </c>
      <c r="B76" s="1351">
        <v>5169</v>
      </c>
      <c r="C76" s="1316"/>
      <c r="D76" s="1317">
        <v>0</v>
      </c>
      <c r="E76" s="1317">
        <v>0</v>
      </c>
      <c r="F76" s="1317">
        <f>+[3]koupaliště!$B$16</f>
        <v>0</v>
      </c>
      <c r="G76" s="1321">
        <f t="shared" si="18"/>
        <v>0</v>
      </c>
      <c r="H76" s="1343"/>
      <c r="I76" s="1347"/>
      <c r="J76" s="1348"/>
    </row>
    <row r="77" spans="1:10" ht="18" hidden="1" customHeight="1" outlineLevel="1" x14ac:dyDescent="0.25">
      <c r="A77" s="1357">
        <v>3412</v>
      </c>
      <c r="B77" s="1358">
        <v>5169</v>
      </c>
      <c r="C77" s="1322"/>
      <c r="D77" s="1323"/>
      <c r="E77" s="1323"/>
      <c r="F77" s="1323"/>
      <c r="G77" s="1359">
        <f t="shared" si="18"/>
        <v>0</v>
      </c>
      <c r="H77" s="1343"/>
      <c r="I77" s="1347"/>
      <c r="J77" s="1348"/>
    </row>
    <row r="78" spans="1:10" ht="18" hidden="1" customHeight="1" outlineLevel="1" x14ac:dyDescent="0.25">
      <c r="A78" s="1357">
        <v>3412</v>
      </c>
      <c r="B78" s="1351">
        <v>5169</v>
      </c>
      <c r="C78" s="1352"/>
      <c r="D78" s="1353"/>
      <c r="E78" s="1353"/>
      <c r="F78" s="1353"/>
      <c r="G78" s="1355">
        <f t="shared" si="18"/>
        <v>0</v>
      </c>
      <c r="H78" s="1343"/>
      <c r="I78" s="1347"/>
      <c r="J78" s="1348"/>
    </row>
    <row r="79" spans="1:10" ht="18" hidden="1" customHeight="1" outlineLevel="1" x14ac:dyDescent="0.25">
      <c r="A79" s="1357">
        <v>3412</v>
      </c>
      <c r="B79" s="1360">
        <v>5169</v>
      </c>
      <c r="C79" s="1322"/>
      <c r="D79" s="1323"/>
      <c r="E79" s="1323"/>
      <c r="F79" s="1323"/>
      <c r="G79" s="1359">
        <f t="shared" si="18"/>
        <v>0</v>
      </c>
      <c r="H79" s="1343"/>
      <c r="I79" s="1347"/>
      <c r="J79" s="1348"/>
    </row>
    <row r="80" spans="1:10" ht="20.25" customHeight="1" thickBot="1" x14ac:dyDescent="0.3">
      <c r="A80" s="2746" t="s">
        <v>627</v>
      </c>
      <c r="B80" s="2747"/>
      <c r="C80" s="1918"/>
      <c r="D80" s="1919">
        <v>30000</v>
      </c>
      <c r="E80" s="1919">
        <v>30000</v>
      </c>
      <c r="F80" s="1919">
        <f t="shared" ref="F80" si="20">SUM(F75:F79)</f>
        <v>30000</v>
      </c>
      <c r="G80" s="1920">
        <f t="shared" si="18"/>
        <v>0</v>
      </c>
      <c r="H80" s="1346">
        <f>'Výdaje kapitol celkem'!AQ34</f>
        <v>30000</v>
      </c>
      <c r="I80" s="1347">
        <f>+H80-F80</f>
        <v>0</v>
      </c>
      <c r="J80" s="1348"/>
    </row>
    <row r="81" spans="1:10" outlineLevel="1" x14ac:dyDescent="0.25">
      <c r="A81" s="1314" t="s">
        <v>1188</v>
      </c>
      <c r="B81" s="1315">
        <v>5169</v>
      </c>
      <c r="C81" s="1316" t="s">
        <v>1820</v>
      </c>
      <c r="D81" s="1317">
        <v>250000</v>
      </c>
      <c r="E81" s="1317">
        <v>250000</v>
      </c>
      <c r="F81" s="1317">
        <f>+[3]Hřiště!$B$15</f>
        <v>250000</v>
      </c>
      <c r="G81" s="1321">
        <f t="shared" si="18"/>
        <v>0</v>
      </c>
      <c r="H81" s="1343"/>
      <c r="I81" s="1347"/>
      <c r="J81" s="1348"/>
    </row>
    <row r="82" spans="1:10" ht="18" customHeight="1" outlineLevel="1" x14ac:dyDescent="0.25">
      <c r="A82" s="1357" t="s">
        <v>1188</v>
      </c>
      <c r="B82" s="1351">
        <v>5169</v>
      </c>
      <c r="C82" s="1352" t="s">
        <v>1821</v>
      </c>
      <c r="D82" s="1353">
        <v>70000</v>
      </c>
      <c r="E82" s="1353">
        <v>70000</v>
      </c>
      <c r="F82" s="1353">
        <f>+[3]Hřiště!$B$16</f>
        <v>70000</v>
      </c>
      <c r="G82" s="1355">
        <f t="shared" si="18"/>
        <v>0</v>
      </c>
      <c r="H82" s="1343"/>
      <c r="I82" s="1347"/>
      <c r="J82" s="1348"/>
    </row>
    <row r="83" spans="1:10" ht="18" hidden="1" customHeight="1" outlineLevel="1" x14ac:dyDescent="0.25">
      <c r="A83" s="1357" t="s">
        <v>1188</v>
      </c>
      <c r="B83" s="1360">
        <v>5169</v>
      </c>
      <c r="C83" s="1322"/>
      <c r="D83" s="1323"/>
      <c r="E83" s="1323"/>
      <c r="F83" s="1323"/>
      <c r="G83" s="1359">
        <f t="shared" si="18"/>
        <v>0</v>
      </c>
      <c r="H83" s="1343"/>
      <c r="I83" s="1347">
        <f>+H83-F83</f>
        <v>0</v>
      </c>
      <c r="J83" s="1348"/>
    </row>
    <row r="84" spans="1:10" ht="20.25" customHeight="1" thickBot="1" x14ac:dyDescent="0.3">
      <c r="A84" s="2746" t="s">
        <v>1192</v>
      </c>
      <c r="B84" s="2747"/>
      <c r="C84" s="1918"/>
      <c r="D84" s="1919">
        <v>320000</v>
      </c>
      <c r="E84" s="1919">
        <v>320000</v>
      </c>
      <c r="F84" s="1919">
        <f t="shared" ref="F84" si="21">SUM(F81:F83)</f>
        <v>320000</v>
      </c>
      <c r="G84" s="1920">
        <f t="shared" si="18"/>
        <v>0</v>
      </c>
      <c r="H84" s="1346">
        <f>'Výdaje kapitol celkem'!AT34</f>
        <v>320000</v>
      </c>
      <c r="I84" s="1347">
        <f>+H84-F84</f>
        <v>0</v>
      </c>
      <c r="J84" s="1348"/>
    </row>
    <row r="85" spans="1:10" ht="18" customHeight="1" outlineLevel="1" x14ac:dyDescent="0.25">
      <c r="A85" s="1350" t="s">
        <v>1190</v>
      </c>
      <c r="B85" s="1351">
        <v>5169</v>
      </c>
      <c r="C85" s="1316" t="s">
        <v>1816</v>
      </c>
      <c r="D85" s="1317">
        <v>300000</v>
      </c>
      <c r="E85" s="1317">
        <v>300000</v>
      </c>
      <c r="F85" s="1317">
        <f>+[3]Spolky!$B$15</f>
        <v>300000</v>
      </c>
      <c r="G85" s="1321">
        <f t="shared" si="18"/>
        <v>0</v>
      </c>
      <c r="H85" s="1343"/>
      <c r="I85" s="1347"/>
      <c r="J85" s="1348"/>
    </row>
    <row r="86" spans="1:10" ht="18" customHeight="1" outlineLevel="1" x14ac:dyDescent="0.25">
      <c r="A86" s="1357" t="s">
        <v>1190</v>
      </c>
      <c r="B86" s="1358">
        <v>5169</v>
      </c>
      <c r="C86" s="1322" t="s">
        <v>1817</v>
      </c>
      <c r="D86" s="1323">
        <v>150000</v>
      </c>
      <c r="E86" s="1323">
        <v>150000</v>
      </c>
      <c r="F86" s="1323">
        <f>+[3]Spolky!$B$16</f>
        <v>150000</v>
      </c>
      <c r="G86" s="1359">
        <f t="shared" si="18"/>
        <v>0</v>
      </c>
      <c r="H86" s="1343"/>
      <c r="I86" s="1347"/>
      <c r="J86" s="1348"/>
    </row>
    <row r="87" spans="1:10" ht="18" customHeight="1" outlineLevel="1" x14ac:dyDescent="0.25">
      <c r="A87" s="1357" t="s">
        <v>1190</v>
      </c>
      <c r="B87" s="1351">
        <v>5169</v>
      </c>
      <c r="C87" s="1352" t="s">
        <v>1818</v>
      </c>
      <c r="D87" s="1353">
        <v>100000</v>
      </c>
      <c r="E87" s="1353">
        <v>100000</v>
      </c>
      <c r="F87" s="1353">
        <f>+[3]Spolky!$B$17</f>
        <v>100000</v>
      </c>
      <c r="G87" s="1355">
        <f t="shared" si="18"/>
        <v>0</v>
      </c>
      <c r="H87" s="1343"/>
      <c r="I87" s="1347"/>
      <c r="J87" s="1348"/>
    </row>
    <row r="88" spans="1:10" ht="18" hidden="1" customHeight="1" outlineLevel="1" x14ac:dyDescent="0.25">
      <c r="A88" s="1357" t="s">
        <v>1190</v>
      </c>
      <c r="B88" s="1360">
        <v>5169</v>
      </c>
      <c r="C88" s="1322" t="s">
        <v>1819</v>
      </c>
      <c r="D88" s="1323">
        <v>0</v>
      </c>
      <c r="E88" s="1323">
        <v>0</v>
      </c>
      <c r="F88" s="1323">
        <f>+[3]Spolky!$B$18</f>
        <v>0</v>
      </c>
      <c r="G88" s="1359">
        <f t="shared" si="18"/>
        <v>0</v>
      </c>
      <c r="H88" s="1343"/>
      <c r="I88" s="1347"/>
      <c r="J88" s="1348"/>
    </row>
    <row r="89" spans="1:10" ht="20.25" customHeight="1" thickBot="1" x14ac:dyDescent="0.3">
      <c r="A89" s="2746" t="s">
        <v>1191</v>
      </c>
      <c r="B89" s="2747"/>
      <c r="C89" s="1918"/>
      <c r="D89" s="1919">
        <v>550000</v>
      </c>
      <c r="E89" s="1919">
        <v>550000</v>
      </c>
      <c r="F89" s="1919">
        <f t="shared" ref="F89" si="22">SUM(F85:F88)</f>
        <v>550000</v>
      </c>
      <c r="G89" s="1920">
        <f t="shared" si="18"/>
        <v>0</v>
      </c>
      <c r="H89" s="1346">
        <f>'Výdaje kapitol celkem'!AW34</f>
        <v>550000</v>
      </c>
      <c r="I89" s="1347">
        <f>+H89-F89</f>
        <v>0</v>
      </c>
      <c r="J89" s="1348"/>
    </row>
    <row r="90" spans="1:10" ht="20.25" hidden="1" customHeight="1" outlineLevel="1" x14ac:dyDescent="0.25">
      <c r="A90" s="1361">
        <v>3113</v>
      </c>
      <c r="B90" s="1360">
        <v>5169</v>
      </c>
      <c r="C90" s="1322"/>
      <c r="D90" s="1323">
        <v>0</v>
      </c>
      <c r="E90" s="1323">
        <v>0</v>
      </c>
      <c r="F90" s="1323">
        <v>0</v>
      </c>
      <c r="G90" s="1359">
        <f t="shared" si="18"/>
        <v>0</v>
      </c>
      <c r="H90" s="1343"/>
      <c r="I90" s="1347"/>
      <c r="J90" s="1348"/>
    </row>
    <row r="91" spans="1:10" ht="20.25" hidden="1" customHeight="1" outlineLevel="1" x14ac:dyDescent="0.25">
      <c r="A91" s="1357">
        <v>3113</v>
      </c>
      <c r="B91" s="1358">
        <v>5169</v>
      </c>
      <c r="C91" s="1352"/>
      <c r="D91" s="1353"/>
      <c r="E91" s="1353"/>
      <c r="F91" s="1353"/>
      <c r="G91" s="1355">
        <f t="shared" si="18"/>
        <v>0</v>
      </c>
      <c r="H91" s="1343"/>
      <c r="I91" s="1347"/>
      <c r="J91" s="1348"/>
    </row>
    <row r="92" spans="1:10" ht="20.25" hidden="1" customHeight="1" outlineLevel="1" x14ac:dyDescent="0.25">
      <c r="A92" s="1357">
        <v>3113</v>
      </c>
      <c r="B92" s="1358">
        <v>5169</v>
      </c>
      <c r="C92" s="1352"/>
      <c r="D92" s="1353"/>
      <c r="E92" s="1353"/>
      <c r="F92" s="1353"/>
      <c r="G92" s="1355">
        <f t="shared" si="18"/>
        <v>0</v>
      </c>
      <c r="H92" s="1343"/>
      <c r="I92" s="1347"/>
      <c r="J92" s="1348"/>
    </row>
    <row r="93" spans="1:10" ht="20.25" hidden="1" customHeight="1" outlineLevel="1" x14ac:dyDescent="0.25">
      <c r="A93" s="1357">
        <v>3113</v>
      </c>
      <c r="B93" s="1358">
        <v>5169</v>
      </c>
      <c r="C93" s="1322"/>
      <c r="D93" s="1323"/>
      <c r="E93" s="1323"/>
      <c r="F93" s="1323"/>
      <c r="G93" s="1321">
        <f t="shared" si="18"/>
        <v>0</v>
      </c>
      <c r="H93" s="1343"/>
      <c r="I93" s="1347"/>
      <c r="J93" s="1348"/>
    </row>
    <row r="94" spans="1:10" ht="20.25" hidden="1" customHeight="1" collapsed="1" thickBot="1" x14ac:dyDescent="0.3">
      <c r="A94" s="2746" t="s">
        <v>206</v>
      </c>
      <c r="B94" s="2747"/>
      <c r="C94" s="1918"/>
      <c r="D94" s="1919">
        <v>0</v>
      </c>
      <c r="E94" s="1919">
        <v>0</v>
      </c>
      <c r="F94" s="1919">
        <f t="shared" ref="F94" si="23">SUM(F90:F93)</f>
        <v>0</v>
      </c>
      <c r="G94" s="1920">
        <f t="shared" si="18"/>
        <v>0</v>
      </c>
      <c r="H94" s="1346">
        <f>'Výdaje kapitol celkem'!AZ34</f>
        <v>0</v>
      </c>
      <c r="I94" s="1347">
        <f>+H94-F94</f>
        <v>0</v>
      </c>
      <c r="J94" s="1348"/>
    </row>
    <row r="95" spans="1:10" ht="26.25" customHeight="1" outlineLevel="1" x14ac:dyDescent="0.25">
      <c r="A95" s="1361">
        <v>3114</v>
      </c>
      <c r="B95" s="1360">
        <v>5169</v>
      </c>
      <c r="C95" s="1322" t="s">
        <v>1810</v>
      </c>
      <c r="D95" s="1323">
        <v>30000</v>
      </c>
      <c r="E95" s="1323">
        <v>30000</v>
      </c>
      <c r="F95" s="1323">
        <f>+[3]MDDM!$B$5</f>
        <v>30000</v>
      </c>
      <c r="G95" s="1321">
        <f t="shared" si="18"/>
        <v>0</v>
      </c>
      <c r="H95" s="1343"/>
      <c r="I95" s="1347"/>
      <c r="J95" s="1348"/>
    </row>
    <row r="96" spans="1:10" ht="20.25" hidden="1" customHeight="1" outlineLevel="1" x14ac:dyDescent="0.25">
      <c r="A96" s="1357">
        <v>3114</v>
      </c>
      <c r="B96" s="1358">
        <v>5169</v>
      </c>
      <c r="C96" s="1362"/>
      <c r="D96" s="1363"/>
      <c r="E96" s="1363"/>
      <c r="F96" s="1363"/>
      <c r="G96" s="1321">
        <f t="shared" si="18"/>
        <v>0</v>
      </c>
      <c r="H96" s="1343"/>
      <c r="I96" s="1347"/>
      <c r="J96" s="1348"/>
    </row>
    <row r="97" spans="1:10" ht="20.25" customHeight="1" thickBot="1" x14ac:dyDescent="0.3">
      <c r="A97" s="2746" t="s">
        <v>207</v>
      </c>
      <c r="B97" s="2747"/>
      <c r="C97" s="1918"/>
      <c r="D97" s="1919">
        <v>30000</v>
      </c>
      <c r="E97" s="1919">
        <v>30000</v>
      </c>
      <c r="F97" s="1919">
        <f t="shared" ref="F97" si="24">SUM(F95:F96)</f>
        <v>30000</v>
      </c>
      <c r="G97" s="1920">
        <f t="shared" si="18"/>
        <v>0</v>
      </c>
      <c r="H97" s="1346">
        <f>'Výdaje kapitol celkem'!BI34</f>
        <v>30000</v>
      </c>
      <c r="I97" s="1347">
        <f>+H97-F97</f>
        <v>0</v>
      </c>
      <c r="J97" s="1348"/>
    </row>
    <row r="98" spans="1:10" ht="18" customHeight="1" outlineLevel="1" x14ac:dyDescent="0.25">
      <c r="A98" s="1361" t="s">
        <v>193</v>
      </c>
      <c r="B98" s="1360">
        <v>5169</v>
      </c>
      <c r="C98" s="1322" t="s">
        <v>1805</v>
      </c>
      <c r="D98" s="1323">
        <v>90000</v>
      </c>
      <c r="E98" s="1323">
        <v>90000</v>
      </c>
      <c r="F98" s="1323">
        <f>+'[3]MŠ Kollárova'!$B$5</f>
        <v>90000</v>
      </c>
      <c r="G98" s="1321">
        <f t="shared" si="18"/>
        <v>0</v>
      </c>
      <c r="H98" s="1343"/>
      <c r="I98" s="1347"/>
      <c r="J98" s="1348"/>
    </row>
    <row r="99" spans="1:10" ht="17.45" hidden="1" customHeight="1" outlineLevel="1" x14ac:dyDescent="0.25">
      <c r="A99" s="1357" t="s">
        <v>193</v>
      </c>
      <c r="B99" s="1358">
        <v>5169</v>
      </c>
      <c r="C99" s="1362"/>
      <c r="D99" s="1363">
        <v>0</v>
      </c>
      <c r="E99" s="1363">
        <v>0</v>
      </c>
      <c r="F99" s="1363">
        <v>0</v>
      </c>
      <c r="G99" s="1355">
        <f t="shared" si="18"/>
        <v>0</v>
      </c>
      <c r="H99" s="1343"/>
      <c r="I99" s="1347">
        <f>+H99-F99</f>
        <v>0</v>
      </c>
      <c r="J99" s="1348"/>
    </row>
    <row r="100" spans="1:10" ht="20.25" customHeight="1" thickBot="1" x14ac:dyDescent="0.3">
      <c r="A100" s="2746" t="s">
        <v>208</v>
      </c>
      <c r="B100" s="2747"/>
      <c r="C100" s="1918"/>
      <c r="D100" s="1919">
        <v>90000</v>
      </c>
      <c r="E100" s="1919">
        <v>90000</v>
      </c>
      <c r="F100" s="1919">
        <f t="shared" ref="F100" si="25">SUM(F98:F99)</f>
        <v>90000</v>
      </c>
      <c r="G100" s="1920">
        <f t="shared" si="18"/>
        <v>0</v>
      </c>
      <c r="H100" s="1346">
        <f>'Výdaje kapitol celkem'!BO34</f>
        <v>90000</v>
      </c>
      <c r="I100" s="1347">
        <f>+H100-F100</f>
        <v>0</v>
      </c>
      <c r="J100" s="1348"/>
    </row>
    <row r="101" spans="1:10" ht="20.25" customHeight="1" outlineLevel="1" x14ac:dyDescent="0.25">
      <c r="A101" s="1361" t="s">
        <v>194</v>
      </c>
      <c r="B101" s="1360">
        <v>5169</v>
      </c>
      <c r="C101" s="1322" t="s">
        <v>1803</v>
      </c>
      <c r="D101" s="1323">
        <v>50000</v>
      </c>
      <c r="E101" s="1323">
        <v>50000</v>
      </c>
      <c r="F101" s="1323">
        <f>+'[3]MŠ Pražská'!$B$5</f>
        <v>50000</v>
      </c>
      <c r="G101" s="1321">
        <f t="shared" si="18"/>
        <v>0</v>
      </c>
      <c r="H101" s="1343"/>
      <c r="I101" s="1347"/>
      <c r="J101" s="1348"/>
    </row>
    <row r="102" spans="1:10" ht="20.25" hidden="1" customHeight="1" outlineLevel="1" x14ac:dyDescent="0.25">
      <c r="A102" s="1357" t="s">
        <v>194</v>
      </c>
      <c r="B102" s="1358">
        <v>5169</v>
      </c>
      <c r="C102" s="1362"/>
      <c r="D102" s="1363">
        <v>0</v>
      </c>
      <c r="E102" s="1363">
        <v>0</v>
      </c>
      <c r="F102" s="1363">
        <v>0</v>
      </c>
      <c r="G102" s="1355">
        <f t="shared" si="18"/>
        <v>0</v>
      </c>
      <c r="H102" s="1343"/>
      <c r="I102" s="1347">
        <f>+H102-F102</f>
        <v>0</v>
      </c>
      <c r="J102" s="1348"/>
    </row>
    <row r="103" spans="1:10" ht="20.25" customHeight="1" thickBot="1" x14ac:dyDescent="0.3">
      <c r="A103" s="2746" t="s">
        <v>1593</v>
      </c>
      <c r="B103" s="2747"/>
      <c r="C103" s="1918"/>
      <c r="D103" s="1919">
        <v>50000</v>
      </c>
      <c r="E103" s="1919">
        <v>50000</v>
      </c>
      <c r="F103" s="1919">
        <f t="shared" ref="F103" si="26">SUM(F101:F102)</f>
        <v>50000</v>
      </c>
      <c r="G103" s="1920">
        <f t="shared" si="18"/>
        <v>0</v>
      </c>
      <c r="H103" s="1346">
        <f>'Výdaje kapitol celkem'!BL34</f>
        <v>50000</v>
      </c>
      <c r="I103" s="1347">
        <f>+H103-F103</f>
        <v>0</v>
      </c>
      <c r="J103" s="1348"/>
    </row>
    <row r="104" spans="1:10" ht="20.25" customHeight="1" outlineLevel="1" x14ac:dyDescent="0.25">
      <c r="A104" s="1361" t="s">
        <v>219</v>
      </c>
      <c r="B104" s="1360">
        <v>5169</v>
      </c>
      <c r="C104" s="1322" t="s">
        <v>1796</v>
      </c>
      <c r="D104" s="1312">
        <v>40000</v>
      </c>
      <c r="E104" s="1312">
        <v>40000</v>
      </c>
      <c r="F104" s="1312">
        <f>+'[3]MŠ Cukrovar'!$B$5</f>
        <v>40000</v>
      </c>
      <c r="G104" s="1321">
        <f t="shared" si="18"/>
        <v>0</v>
      </c>
      <c r="H104" s="1343"/>
      <c r="I104" s="1347"/>
      <c r="J104" s="1348"/>
    </row>
    <row r="105" spans="1:10" ht="20.25" customHeight="1" outlineLevel="1" x14ac:dyDescent="0.25">
      <c r="A105" s="1357" t="s">
        <v>219</v>
      </c>
      <c r="B105" s="1358">
        <v>5169</v>
      </c>
      <c r="C105" s="1362" t="s">
        <v>1797</v>
      </c>
      <c r="D105" s="1353">
        <v>4000</v>
      </c>
      <c r="E105" s="1353">
        <v>4000</v>
      </c>
      <c r="F105" s="1353">
        <f>+'[3]MŠ Cukrovar'!$B$6</f>
        <v>4000</v>
      </c>
      <c r="G105" s="1355">
        <f t="shared" si="18"/>
        <v>0</v>
      </c>
      <c r="H105" s="1343"/>
      <c r="I105" s="1347"/>
      <c r="J105" s="1348"/>
    </row>
    <row r="106" spans="1:10" ht="20.25" customHeight="1" outlineLevel="1" x14ac:dyDescent="0.25">
      <c r="A106" s="1357" t="s">
        <v>219</v>
      </c>
      <c r="B106" s="1358">
        <v>5169</v>
      </c>
      <c r="C106" s="1362" t="s">
        <v>1798</v>
      </c>
      <c r="D106" s="1323">
        <v>36000</v>
      </c>
      <c r="E106" s="1323">
        <v>36000</v>
      </c>
      <c r="F106" s="1323">
        <f>+'[3]MŠ Cukrovar'!$B$7</f>
        <v>36000</v>
      </c>
      <c r="G106" s="1355">
        <f t="shared" si="18"/>
        <v>0</v>
      </c>
      <c r="H106" s="1343"/>
      <c r="I106" s="1347"/>
      <c r="J106" s="1348"/>
    </row>
    <row r="107" spans="1:10" ht="20.25" customHeight="1" thickBot="1" x14ac:dyDescent="0.3">
      <c r="A107" s="2746" t="s">
        <v>250</v>
      </c>
      <c r="B107" s="2747"/>
      <c r="C107" s="1918"/>
      <c r="D107" s="1919">
        <v>80000</v>
      </c>
      <c r="E107" s="1919">
        <v>80000</v>
      </c>
      <c r="F107" s="1919">
        <f t="shared" ref="F107" si="27">SUM(F104:F106)</f>
        <v>80000</v>
      </c>
      <c r="G107" s="1920">
        <f t="shared" si="18"/>
        <v>0</v>
      </c>
      <c r="H107" s="1346">
        <f>'Výdaje kapitol celkem'!BV34</f>
        <v>80000</v>
      </c>
      <c r="I107" s="1347">
        <f>+H107-F107</f>
        <v>0</v>
      </c>
      <c r="J107" s="1348"/>
    </row>
    <row r="108" spans="1:10" ht="20.25" customHeight="1" outlineLevel="1" x14ac:dyDescent="0.25">
      <c r="A108" s="1361">
        <v>3635</v>
      </c>
      <c r="B108" s="1360">
        <v>5169</v>
      </c>
      <c r="C108" s="1322" t="s">
        <v>1859</v>
      </c>
      <c r="D108" s="1323">
        <v>50000</v>
      </c>
      <c r="E108" s="1323">
        <v>50000</v>
      </c>
      <c r="F108" s="1323">
        <f>'[6]Územní plán 3635'!$B$22</f>
        <v>50000</v>
      </c>
      <c r="G108" s="1318">
        <f t="shared" si="18"/>
        <v>0</v>
      </c>
      <c r="H108" s="1343"/>
      <c r="I108" s="1347"/>
      <c r="J108" s="1348"/>
    </row>
    <row r="109" spans="1:10" ht="20.25" hidden="1" customHeight="1" outlineLevel="1" x14ac:dyDescent="0.25">
      <c r="A109" s="1357">
        <v>3635</v>
      </c>
      <c r="B109" s="1358">
        <v>5169</v>
      </c>
      <c r="C109" s="1362"/>
      <c r="D109" s="1363">
        <v>0</v>
      </c>
      <c r="E109" s="1363">
        <v>0</v>
      </c>
      <c r="F109" s="1363">
        <f>'[6]Územní plán 3635'!$B$23</f>
        <v>0</v>
      </c>
      <c r="G109" s="1354">
        <f t="shared" si="18"/>
        <v>0</v>
      </c>
      <c r="H109" s="1343"/>
      <c r="I109" s="1347"/>
      <c r="J109" s="1348"/>
    </row>
    <row r="110" spans="1:10" ht="20.25" customHeight="1" thickBot="1" x14ac:dyDescent="0.3">
      <c r="A110" s="2746" t="s">
        <v>1196</v>
      </c>
      <c r="B110" s="2747"/>
      <c r="C110" s="1918"/>
      <c r="D110" s="1919">
        <v>50000</v>
      </c>
      <c r="E110" s="1919">
        <v>50000</v>
      </c>
      <c r="F110" s="1919">
        <f t="shared" ref="F110" si="28">SUM(F108:F109)</f>
        <v>50000</v>
      </c>
      <c r="G110" s="1920">
        <f t="shared" si="18"/>
        <v>0</v>
      </c>
      <c r="H110" s="1346">
        <f>'Výdaje kapitol celkem'!BY34</f>
        <v>50000</v>
      </c>
      <c r="I110" s="1347">
        <f>+H110-F110</f>
        <v>0</v>
      </c>
      <c r="J110" s="1348"/>
    </row>
    <row r="111" spans="1:10" ht="20.25" hidden="1" customHeight="1" outlineLevel="1" x14ac:dyDescent="0.25">
      <c r="A111" s="1361" t="s">
        <v>195</v>
      </c>
      <c r="B111" s="1360">
        <v>5169</v>
      </c>
      <c r="C111" s="1322"/>
      <c r="D111" s="1323">
        <v>0</v>
      </c>
      <c r="E111" s="1323">
        <v>0</v>
      </c>
      <c r="F111" s="1323">
        <f>'[3]Jídelna ZŠ'!$B$5</f>
        <v>0</v>
      </c>
      <c r="G111" s="1318">
        <f t="shared" si="18"/>
        <v>0</v>
      </c>
      <c r="H111" s="1343"/>
      <c r="I111" s="1347"/>
      <c r="J111" s="1348"/>
    </row>
    <row r="112" spans="1:10" ht="20.25" hidden="1" customHeight="1" outlineLevel="1" x14ac:dyDescent="0.25">
      <c r="A112" s="1357" t="s">
        <v>195</v>
      </c>
      <c r="B112" s="1358">
        <v>5169</v>
      </c>
      <c r="C112" s="1362"/>
      <c r="D112" s="1363">
        <v>0</v>
      </c>
      <c r="E112" s="1363">
        <v>0</v>
      </c>
      <c r="F112" s="1363">
        <f>'[3]Jídelna ZŠ'!$B$6</f>
        <v>0</v>
      </c>
      <c r="G112" s="1354">
        <f t="shared" si="18"/>
        <v>0</v>
      </c>
      <c r="H112" s="1343"/>
      <c r="I112" s="1347"/>
      <c r="J112" s="1348"/>
    </row>
    <row r="113" spans="1:10" ht="20.25" hidden="1" customHeight="1" collapsed="1" thickBot="1" x14ac:dyDescent="0.3">
      <c r="A113" s="2746" t="s">
        <v>210</v>
      </c>
      <c r="B113" s="2747"/>
      <c r="C113" s="1918"/>
      <c r="D113" s="1919">
        <v>0</v>
      </c>
      <c r="E113" s="1919">
        <v>0</v>
      </c>
      <c r="F113" s="1919">
        <f t="shared" ref="F113" si="29">SUM(F111:F112)</f>
        <v>0</v>
      </c>
      <c r="G113" s="1920">
        <f t="shared" si="18"/>
        <v>0</v>
      </c>
      <c r="H113" s="1346">
        <f>'Výdaje kapitol celkem'!BR34</f>
        <v>0</v>
      </c>
      <c r="I113" s="1347">
        <f>+H113-F113</f>
        <v>0</v>
      </c>
      <c r="J113" s="1348"/>
    </row>
    <row r="114" spans="1:10" ht="20.25" customHeight="1" outlineLevel="1" x14ac:dyDescent="0.25">
      <c r="A114" s="1361" t="s">
        <v>196</v>
      </c>
      <c r="B114" s="1360">
        <v>5169</v>
      </c>
      <c r="C114" s="1322" t="s">
        <v>1803</v>
      </c>
      <c r="D114" s="1323">
        <v>20000</v>
      </c>
      <c r="E114" s="1323">
        <v>20000</v>
      </c>
      <c r="F114" s="1323">
        <f>+'[3]Jídelna MŠ'!$B$5</f>
        <v>20000</v>
      </c>
      <c r="G114" s="1318">
        <f t="shared" si="18"/>
        <v>0</v>
      </c>
      <c r="H114" s="1343"/>
      <c r="I114" s="1347"/>
      <c r="J114" s="1348"/>
    </row>
    <row r="115" spans="1:10" ht="20.25" hidden="1" customHeight="1" outlineLevel="1" x14ac:dyDescent="0.25">
      <c r="A115" s="1357" t="s">
        <v>196</v>
      </c>
      <c r="B115" s="1358">
        <v>5169</v>
      </c>
      <c r="C115" s="1362"/>
      <c r="D115" s="1363"/>
      <c r="E115" s="1363"/>
      <c r="F115" s="1363"/>
      <c r="G115" s="1355">
        <f t="shared" si="18"/>
        <v>0</v>
      </c>
      <c r="H115" s="1343"/>
      <c r="I115" s="1347"/>
      <c r="J115" s="1348"/>
    </row>
    <row r="116" spans="1:10" ht="20.25" customHeight="1" thickBot="1" x14ac:dyDescent="0.3">
      <c r="A116" s="2746" t="s">
        <v>211</v>
      </c>
      <c r="B116" s="2747"/>
      <c r="C116" s="1918"/>
      <c r="D116" s="1919">
        <v>20000</v>
      </c>
      <c r="E116" s="1919">
        <v>20000</v>
      </c>
      <c r="F116" s="1919">
        <f t="shared" ref="F116" si="30">SUM(F114:F115)</f>
        <v>20000</v>
      </c>
      <c r="G116" s="1920">
        <f t="shared" si="18"/>
        <v>0</v>
      </c>
      <c r="H116" s="1346">
        <f>'Výdaje kapitol celkem'!BU34</f>
        <v>20000</v>
      </c>
      <c r="I116" s="1347">
        <f>+H116-F116</f>
        <v>0</v>
      </c>
      <c r="J116" s="1348"/>
    </row>
    <row r="117" spans="1:10" ht="20.25" customHeight="1" outlineLevel="1" x14ac:dyDescent="0.25">
      <c r="A117" s="1309">
        <v>3631</v>
      </c>
      <c r="B117" s="1310">
        <v>5169</v>
      </c>
      <c r="C117" s="1311" t="s">
        <v>1790</v>
      </c>
      <c r="D117" s="1312">
        <v>100000</v>
      </c>
      <c r="E117" s="1312">
        <v>100000</v>
      </c>
      <c r="F117" s="1312">
        <f>+[3]VO!$B$21</f>
        <v>100000</v>
      </c>
      <c r="G117" s="1313">
        <f t="shared" si="18"/>
        <v>0</v>
      </c>
      <c r="H117" s="1346"/>
      <c r="I117" s="1347"/>
      <c r="J117" s="1348"/>
    </row>
    <row r="118" spans="1:10" ht="20.25" customHeight="1" outlineLevel="1" x14ac:dyDescent="0.25">
      <c r="A118" s="1314">
        <v>3631</v>
      </c>
      <c r="B118" s="1315">
        <v>5169</v>
      </c>
      <c r="C118" s="1316" t="s">
        <v>1791</v>
      </c>
      <c r="D118" s="1317">
        <v>80000</v>
      </c>
      <c r="E118" s="1317">
        <v>80000</v>
      </c>
      <c r="F118" s="1317">
        <f>+[3]VO!$B$22</f>
        <v>80000</v>
      </c>
      <c r="G118" s="1318">
        <f t="shared" si="18"/>
        <v>0</v>
      </c>
      <c r="H118" s="1346"/>
      <c r="I118" s="1347"/>
      <c r="J118" s="1348"/>
    </row>
    <row r="119" spans="1:10" ht="20.25" customHeight="1" outlineLevel="1" x14ac:dyDescent="0.25">
      <c r="A119" s="1350">
        <v>3631</v>
      </c>
      <c r="B119" s="1351">
        <v>5169</v>
      </c>
      <c r="C119" s="1352" t="s">
        <v>1792</v>
      </c>
      <c r="D119" s="1353">
        <v>70000</v>
      </c>
      <c r="E119" s="1353">
        <v>70000</v>
      </c>
      <c r="F119" s="1353">
        <f>+[3]VO!$B$23</f>
        <v>70000</v>
      </c>
      <c r="G119" s="1354">
        <f t="shared" si="18"/>
        <v>0</v>
      </c>
      <c r="H119" s="1346"/>
      <c r="I119" s="1347"/>
      <c r="J119" s="1348"/>
    </row>
    <row r="120" spans="1:10" ht="20.25" customHeight="1" outlineLevel="1" x14ac:dyDescent="0.25">
      <c r="A120" s="1314">
        <v>3631</v>
      </c>
      <c r="B120" s="1351">
        <v>5169</v>
      </c>
      <c r="C120" s="1322" t="s">
        <v>1793</v>
      </c>
      <c r="D120" s="1323">
        <v>12100</v>
      </c>
      <c r="E120" s="1323">
        <v>12100</v>
      </c>
      <c r="F120" s="1323">
        <f>+[3]VO!$B$24</f>
        <v>12100</v>
      </c>
      <c r="G120" s="1354">
        <f t="shared" si="18"/>
        <v>0</v>
      </c>
      <c r="H120" s="1346"/>
      <c r="I120" s="1347"/>
      <c r="J120" s="1348"/>
    </row>
    <row r="121" spans="1:10" ht="20.25" hidden="1" customHeight="1" outlineLevel="1" x14ac:dyDescent="0.25">
      <c r="A121" s="1361">
        <v>3631</v>
      </c>
      <c r="B121" s="1358">
        <v>5169</v>
      </c>
      <c r="C121" s="1362"/>
      <c r="D121" s="1363"/>
      <c r="E121" s="1363"/>
      <c r="F121" s="1363"/>
      <c r="G121" s="1354">
        <f t="shared" si="18"/>
        <v>0</v>
      </c>
      <c r="H121" s="1346"/>
      <c r="I121" s="1347"/>
      <c r="J121" s="1348"/>
    </row>
    <row r="122" spans="1:10" ht="20.25" customHeight="1" thickBot="1" x14ac:dyDescent="0.3">
      <c r="A122" s="2746" t="s">
        <v>632</v>
      </c>
      <c r="B122" s="2747"/>
      <c r="C122" s="1918"/>
      <c r="D122" s="1919">
        <v>262100</v>
      </c>
      <c r="E122" s="1919">
        <v>262100</v>
      </c>
      <c r="F122" s="1919">
        <f t="shared" ref="F122" si="31">SUM(F117:F121)</f>
        <v>262100</v>
      </c>
      <c r="G122" s="1920">
        <f t="shared" si="18"/>
        <v>0</v>
      </c>
      <c r="H122" s="1346">
        <f>'Výdaje kapitol celkem'!BZ34</f>
        <v>262100</v>
      </c>
      <c r="I122" s="1347">
        <f>+H122-F122</f>
        <v>0</v>
      </c>
      <c r="J122" s="1348"/>
    </row>
    <row r="123" spans="1:10" ht="20.25" customHeight="1" outlineLevel="1" x14ac:dyDescent="0.25">
      <c r="A123" s="1309">
        <v>2212</v>
      </c>
      <c r="B123" s="1310">
        <v>5169</v>
      </c>
      <c r="C123" s="1311" t="s">
        <v>1763</v>
      </c>
      <c r="D123" s="1312">
        <v>100000</v>
      </c>
      <c r="E123" s="1312">
        <v>100000</v>
      </c>
      <c r="F123" s="1312">
        <f>+'[3]Inženýrské sítě'!$B$5</f>
        <v>100000</v>
      </c>
      <c r="G123" s="1313">
        <f t="shared" si="18"/>
        <v>0</v>
      </c>
      <c r="H123" s="1343"/>
      <c r="I123" s="1347"/>
      <c r="J123" s="1348"/>
    </row>
    <row r="124" spans="1:10" ht="20.25" customHeight="1" outlineLevel="1" x14ac:dyDescent="0.25">
      <c r="A124" s="1350">
        <v>2212</v>
      </c>
      <c r="B124" s="1351">
        <v>5169</v>
      </c>
      <c r="C124" s="1352"/>
      <c r="D124" s="1353">
        <v>0</v>
      </c>
      <c r="E124" s="1353">
        <v>0</v>
      </c>
      <c r="F124" s="1353">
        <v>0</v>
      </c>
      <c r="G124" s="1354">
        <f t="shared" si="18"/>
        <v>0</v>
      </c>
      <c r="H124" s="1343"/>
      <c r="I124" s="1347"/>
      <c r="J124" s="1348"/>
    </row>
    <row r="125" spans="1:10" ht="20.25" customHeight="1" outlineLevel="1" x14ac:dyDescent="0.25">
      <c r="A125" s="1350">
        <v>2212</v>
      </c>
      <c r="B125" s="1351">
        <v>5169</v>
      </c>
      <c r="C125" s="1352" t="s">
        <v>1760</v>
      </c>
      <c r="D125" s="1353">
        <v>210000</v>
      </c>
      <c r="E125" s="1353">
        <v>210000</v>
      </c>
      <c r="F125" s="1353">
        <f>+'[5]Silnice světelná křižovatka'!$B$4</f>
        <v>210000</v>
      </c>
      <c r="G125" s="1354">
        <f t="shared" si="18"/>
        <v>0</v>
      </c>
      <c r="H125" s="1343"/>
      <c r="I125" s="1347"/>
      <c r="J125" s="1348"/>
    </row>
    <row r="126" spans="1:10" ht="20.25" customHeight="1" outlineLevel="1" x14ac:dyDescent="0.25">
      <c r="A126" s="1350">
        <v>2212</v>
      </c>
      <c r="B126" s="1351">
        <v>5169</v>
      </c>
      <c r="C126" s="1352" t="s">
        <v>1761</v>
      </c>
      <c r="D126" s="1353">
        <v>50000</v>
      </c>
      <c r="E126" s="1353">
        <v>50000</v>
      </c>
      <c r="F126" s="1353">
        <f>+'[5]Silnice světelná křižovatka'!$B$5</f>
        <v>50000</v>
      </c>
      <c r="G126" s="1354">
        <f t="shared" si="18"/>
        <v>0</v>
      </c>
      <c r="H126" s="1343"/>
      <c r="I126" s="1347"/>
      <c r="J126" s="1348"/>
    </row>
    <row r="127" spans="1:10" ht="20.25" customHeight="1" outlineLevel="1" x14ac:dyDescent="0.25">
      <c r="A127" s="1361">
        <v>2212</v>
      </c>
      <c r="B127" s="1360">
        <v>5169</v>
      </c>
      <c r="C127" s="1322" t="s">
        <v>2047</v>
      </c>
      <c r="D127" s="1323">
        <v>302500</v>
      </c>
      <c r="E127" s="1323">
        <v>302500</v>
      </c>
      <c r="F127" s="1323">
        <f>[3]Silnice!$B$33</f>
        <v>0</v>
      </c>
      <c r="G127" s="1318">
        <f t="shared" si="18"/>
        <v>-302500</v>
      </c>
      <c r="H127" s="1343"/>
      <c r="I127" s="1347" t="s">
        <v>2237</v>
      </c>
      <c r="J127" s="1348"/>
    </row>
    <row r="128" spans="1:10" ht="20.25" customHeight="1" thickBot="1" x14ac:dyDescent="0.3">
      <c r="A128" s="2746" t="s">
        <v>255</v>
      </c>
      <c r="B128" s="2747"/>
      <c r="C128" s="1918"/>
      <c r="D128" s="1919">
        <v>662500</v>
      </c>
      <c r="E128" s="1919">
        <v>662500</v>
      </c>
      <c r="F128" s="1919">
        <f t="shared" ref="F128" si="32">SUM(F123:F127)</f>
        <v>360000</v>
      </c>
      <c r="G128" s="1920">
        <f t="shared" si="18"/>
        <v>-302500</v>
      </c>
      <c r="H128" s="1346">
        <f>'Výdaje kapitol celkem'!CC34</f>
        <v>360000</v>
      </c>
      <c r="I128" s="1347">
        <f>+H128-F128</f>
        <v>0</v>
      </c>
      <c r="J128" s="1348"/>
    </row>
    <row r="129" spans="1:10" outlineLevel="1" x14ac:dyDescent="0.25">
      <c r="A129" s="1309">
        <v>2310</v>
      </c>
      <c r="B129" s="1310">
        <v>5169</v>
      </c>
      <c r="C129" s="1311" t="s">
        <v>1771</v>
      </c>
      <c r="D129" s="1312">
        <v>100000</v>
      </c>
      <c r="E129" s="1312">
        <v>100000</v>
      </c>
      <c r="F129" s="1312">
        <f>+[3]Vodovod!$B$12</f>
        <v>100000</v>
      </c>
      <c r="G129" s="1313">
        <f t="shared" si="18"/>
        <v>0</v>
      </c>
      <c r="H129" s="1343"/>
      <c r="I129" s="1347"/>
      <c r="J129" s="1348"/>
    </row>
    <row r="130" spans="1:10" outlineLevel="1" x14ac:dyDescent="0.25">
      <c r="A130" s="1361">
        <v>2310</v>
      </c>
      <c r="B130" s="1360">
        <v>5169</v>
      </c>
      <c r="C130" s="1322" t="s">
        <v>1772</v>
      </c>
      <c r="D130" s="1323">
        <v>150000</v>
      </c>
      <c r="E130" s="1323">
        <v>150000</v>
      </c>
      <c r="F130" s="1323">
        <f>+[3]Vodovod!$B$13</f>
        <v>150000</v>
      </c>
      <c r="G130" s="1318">
        <f t="shared" si="18"/>
        <v>0</v>
      </c>
      <c r="H130" s="1343"/>
      <c r="I130" s="1347"/>
      <c r="J130" s="1348"/>
    </row>
    <row r="131" spans="1:10" outlineLevel="1" x14ac:dyDescent="0.25">
      <c r="A131" s="1357">
        <v>2310</v>
      </c>
      <c r="B131" s="1358">
        <v>5169</v>
      </c>
      <c r="C131" s="1362" t="s">
        <v>1773</v>
      </c>
      <c r="D131" s="1363">
        <v>300000</v>
      </c>
      <c r="E131" s="1363">
        <v>300000</v>
      </c>
      <c r="F131" s="1363">
        <f>+[3]Vodovod!$B$14</f>
        <v>300000</v>
      </c>
      <c r="G131" s="1354">
        <f t="shared" si="18"/>
        <v>0</v>
      </c>
      <c r="H131" s="1343"/>
      <c r="I131" s="1347"/>
      <c r="J131" s="1348"/>
    </row>
    <row r="132" spans="1:10" ht="20.25" customHeight="1" thickBot="1" x14ac:dyDescent="0.3">
      <c r="A132" s="2746" t="s">
        <v>212</v>
      </c>
      <c r="B132" s="2747"/>
      <c r="C132" s="1918"/>
      <c r="D132" s="1919">
        <v>550000</v>
      </c>
      <c r="E132" s="1919">
        <v>550000</v>
      </c>
      <c r="F132" s="1919">
        <f t="shared" ref="F132" si="33">SUM(F129:F131)</f>
        <v>550000</v>
      </c>
      <c r="G132" s="1920">
        <f t="shared" si="18"/>
        <v>0</v>
      </c>
      <c r="H132" s="1346">
        <f>'Výdaje kapitol celkem'!CG34</f>
        <v>550000</v>
      </c>
      <c r="I132" s="1347">
        <f>+H132-F132</f>
        <v>0</v>
      </c>
      <c r="J132" s="1348"/>
    </row>
    <row r="133" spans="1:10" ht="20.25" customHeight="1" outlineLevel="1" x14ac:dyDescent="0.25">
      <c r="A133" s="1361">
        <v>3633</v>
      </c>
      <c r="B133" s="1360">
        <v>5169</v>
      </c>
      <c r="C133" s="1322" t="s">
        <v>1763</v>
      </c>
      <c r="D133" s="1312">
        <v>100000</v>
      </c>
      <c r="E133" s="1312">
        <v>100000</v>
      </c>
      <c r="F133" s="1312">
        <f>+'[3]Inženýrské sítě'!$B$5</f>
        <v>100000</v>
      </c>
      <c r="G133" s="1321">
        <f t="shared" si="18"/>
        <v>0</v>
      </c>
      <c r="H133" s="1343"/>
      <c r="I133" s="1347"/>
      <c r="J133" s="1348"/>
    </row>
    <row r="134" spans="1:10" ht="20.25" hidden="1" customHeight="1" outlineLevel="1" x14ac:dyDescent="0.25">
      <c r="A134" s="1357">
        <v>3633</v>
      </c>
      <c r="B134" s="1358">
        <v>5169</v>
      </c>
      <c r="C134" s="1362"/>
      <c r="D134" s="1353"/>
      <c r="E134" s="1353"/>
      <c r="F134" s="1353"/>
      <c r="G134" s="1321">
        <f t="shared" ref="G134:G193" si="34">+F134-E134</f>
        <v>0</v>
      </c>
      <c r="H134" s="1343"/>
      <c r="I134" s="1347"/>
      <c r="J134" s="1348"/>
    </row>
    <row r="135" spans="1:10" ht="20.25" customHeight="1" thickBot="1" x14ac:dyDescent="0.3">
      <c r="A135" s="2746" t="s">
        <v>252</v>
      </c>
      <c r="B135" s="2747"/>
      <c r="C135" s="1918"/>
      <c r="D135" s="1919">
        <v>100000</v>
      </c>
      <c r="E135" s="1919">
        <v>100000</v>
      </c>
      <c r="F135" s="1919">
        <f t="shared" ref="F135" si="35">SUM(F133:F134)</f>
        <v>100000</v>
      </c>
      <c r="G135" s="1920">
        <f t="shared" si="34"/>
        <v>0</v>
      </c>
      <c r="H135" s="1346">
        <f>'Výdaje kapitol celkem'!CS34</f>
        <v>100000</v>
      </c>
      <c r="I135" s="1347">
        <f>+H135-F135</f>
        <v>0</v>
      </c>
      <c r="J135" s="1348"/>
    </row>
    <row r="136" spans="1:10" ht="41.25" customHeight="1" outlineLevel="1" x14ac:dyDescent="0.25">
      <c r="A136" s="1361">
        <v>3749</v>
      </c>
      <c r="B136" s="1360">
        <v>5169</v>
      </c>
      <c r="C136" s="1322" t="s">
        <v>1867</v>
      </c>
      <c r="D136" s="1323">
        <v>800000</v>
      </c>
      <c r="E136" s="1323">
        <v>800000</v>
      </c>
      <c r="F136" s="1323">
        <f>'[6]Příroda 3749'!$B$14</f>
        <v>800000</v>
      </c>
      <c r="G136" s="1318">
        <f t="shared" si="34"/>
        <v>0</v>
      </c>
      <c r="H136" s="1343"/>
      <c r="I136" s="1347"/>
      <c r="J136" s="1348"/>
    </row>
    <row r="137" spans="1:10" outlineLevel="1" x14ac:dyDescent="0.25">
      <c r="A137" s="1357">
        <v>3749</v>
      </c>
      <c r="B137" s="1358">
        <v>5169</v>
      </c>
      <c r="C137" s="1362" t="s">
        <v>1868</v>
      </c>
      <c r="D137" s="1363">
        <v>0</v>
      </c>
      <c r="E137" s="1363">
        <v>0</v>
      </c>
      <c r="F137" s="1363">
        <f>'[6]Příroda 3749'!$B$15</f>
        <v>0</v>
      </c>
      <c r="G137" s="1354">
        <f t="shared" si="34"/>
        <v>0</v>
      </c>
      <c r="H137" s="1343"/>
      <c r="I137" s="1347"/>
      <c r="J137" s="1348"/>
    </row>
    <row r="138" spans="1:10" outlineLevel="1" x14ac:dyDescent="0.25">
      <c r="A138" s="1357">
        <v>3749</v>
      </c>
      <c r="B138" s="1358">
        <v>5169</v>
      </c>
      <c r="C138" s="1362" t="s">
        <v>1869</v>
      </c>
      <c r="D138" s="1363">
        <v>900000</v>
      </c>
      <c r="E138" s="1363">
        <v>900000</v>
      </c>
      <c r="F138" s="1363">
        <f>'[6]Příroda 3749'!$B$16</f>
        <v>900000</v>
      </c>
      <c r="G138" s="1354">
        <f t="shared" si="34"/>
        <v>0</v>
      </c>
      <c r="H138" s="1343"/>
      <c r="I138" s="1347"/>
      <c r="J138" s="1348"/>
    </row>
    <row r="139" spans="1:10" outlineLevel="1" x14ac:dyDescent="0.25">
      <c r="A139" s="1357">
        <v>3749</v>
      </c>
      <c r="B139" s="1358">
        <v>5169</v>
      </c>
      <c r="C139" s="1362" t="s">
        <v>1870</v>
      </c>
      <c r="D139" s="1363">
        <v>350000</v>
      </c>
      <c r="E139" s="1363">
        <v>350000</v>
      </c>
      <c r="F139" s="1363">
        <f>'[6]Příroda 3749'!$B$17</f>
        <v>350000</v>
      </c>
      <c r="G139" s="1354">
        <f t="shared" si="34"/>
        <v>0</v>
      </c>
      <c r="H139" s="1343"/>
      <c r="I139" s="1347"/>
      <c r="J139" s="1348"/>
    </row>
    <row r="140" spans="1:10" ht="20.25" customHeight="1" outlineLevel="1" x14ac:dyDescent="0.25">
      <c r="A140" s="1357">
        <v>3749</v>
      </c>
      <c r="B140" s="1358">
        <v>5169</v>
      </c>
      <c r="C140" s="1362" t="s">
        <v>1871</v>
      </c>
      <c r="D140" s="1363">
        <v>700000</v>
      </c>
      <c r="E140" s="1363">
        <v>700000</v>
      </c>
      <c r="F140" s="1363">
        <f>'[6]Příroda 3749'!$B$18</f>
        <v>700000</v>
      </c>
      <c r="G140" s="1354">
        <f t="shared" si="34"/>
        <v>0</v>
      </c>
      <c r="H140" s="1343"/>
      <c r="I140" s="1347"/>
      <c r="J140" s="1348"/>
    </row>
    <row r="141" spans="1:10" ht="20.25" customHeight="1" thickBot="1" x14ac:dyDescent="0.3">
      <c r="A141" s="2746" t="s">
        <v>626</v>
      </c>
      <c r="B141" s="2747"/>
      <c r="C141" s="1918"/>
      <c r="D141" s="1919">
        <v>2750000</v>
      </c>
      <c r="E141" s="1919">
        <v>2750000</v>
      </c>
      <c r="F141" s="1919">
        <f>SUM(F136:F140)</f>
        <v>2750000</v>
      </c>
      <c r="G141" s="1920">
        <f t="shared" si="34"/>
        <v>0</v>
      </c>
      <c r="H141" s="1346">
        <f>'Výdaje kapitol celkem'!DG34</f>
        <v>2750000</v>
      </c>
      <c r="I141" s="1347">
        <f>+H141-F141</f>
        <v>0</v>
      </c>
      <c r="J141" s="1348"/>
    </row>
    <row r="142" spans="1:10" ht="20.25" customHeight="1" outlineLevel="1" x14ac:dyDescent="0.25">
      <c r="A142" s="1361">
        <v>1036</v>
      </c>
      <c r="B142" s="1360">
        <v>5169</v>
      </c>
      <c r="C142" s="1322" t="s">
        <v>1860</v>
      </c>
      <c r="D142" s="1323">
        <v>100000</v>
      </c>
      <c r="E142" s="1323">
        <v>100000</v>
      </c>
      <c r="F142" s="1323">
        <f>'[6]Lesy 1036'!$B$6</f>
        <v>100000</v>
      </c>
      <c r="G142" s="1318">
        <f t="shared" si="34"/>
        <v>0</v>
      </c>
      <c r="H142" s="1343"/>
      <c r="I142" s="1347"/>
      <c r="J142" s="1348"/>
    </row>
    <row r="143" spans="1:10" ht="20.25" hidden="1" customHeight="1" outlineLevel="1" x14ac:dyDescent="0.25">
      <c r="A143" s="1357">
        <v>1036</v>
      </c>
      <c r="B143" s="1358">
        <v>5169</v>
      </c>
      <c r="C143" s="1362"/>
      <c r="D143" s="1363">
        <v>0</v>
      </c>
      <c r="E143" s="1363">
        <v>0</v>
      </c>
      <c r="F143" s="1363">
        <f>'[6]Lesy 1036'!$B$7</f>
        <v>0</v>
      </c>
      <c r="G143" s="1354">
        <f t="shared" si="34"/>
        <v>0</v>
      </c>
      <c r="H143" s="1343"/>
      <c r="I143" s="1347"/>
      <c r="J143" s="1348"/>
    </row>
    <row r="144" spans="1:10" ht="20.25" hidden="1" customHeight="1" outlineLevel="1" x14ac:dyDescent="0.25">
      <c r="A144" s="1357">
        <v>1036</v>
      </c>
      <c r="B144" s="1358">
        <v>5169</v>
      </c>
      <c r="C144" s="1352"/>
      <c r="D144" s="1363"/>
      <c r="E144" s="1363"/>
      <c r="F144" s="1363"/>
      <c r="G144" s="1355">
        <f t="shared" si="34"/>
        <v>0</v>
      </c>
      <c r="H144" s="1343"/>
      <c r="I144" s="1347"/>
      <c r="J144" s="1348"/>
    </row>
    <row r="145" spans="1:10" ht="20.25" customHeight="1" thickBot="1" x14ac:dyDescent="0.3">
      <c r="A145" s="2746" t="s">
        <v>1216</v>
      </c>
      <c r="B145" s="2747"/>
      <c r="C145" s="1918"/>
      <c r="D145" s="1919">
        <v>100000</v>
      </c>
      <c r="E145" s="1919">
        <v>100000</v>
      </c>
      <c r="F145" s="1919">
        <f t="shared" ref="F145" si="36">SUM(F142:F144)</f>
        <v>100000</v>
      </c>
      <c r="G145" s="1920">
        <f t="shared" si="34"/>
        <v>0</v>
      </c>
      <c r="H145" s="1346">
        <f>'Výdaje kapitol celkem'!CV34</f>
        <v>100000</v>
      </c>
      <c r="I145" s="1347">
        <f>+H145-F145</f>
        <v>0</v>
      </c>
      <c r="J145" s="1348"/>
    </row>
    <row r="146" spans="1:10" ht="20.25" hidden="1" customHeight="1" outlineLevel="1" x14ac:dyDescent="0.25">
      <c r="A146" s="1361" t="s">
        <v>220</v>
      </c>
      <c r="B146" s="1360">
        <v>5169</v>
      </c>
      <c r="C146" s="1322"/>
      <c r="D146" s="1323"/>
      <c r="E146" s="1323"/>
      <c r="F146" s="1323"/>
      <c r="G146" s="1318">
        <f t="shared" si="34"/>
        <v>0</v>
      </c>
      <c r="H146" s="1343"/>
      <c r="I146" s="1347"/>
      <c r="J146" s="1348"/>
    </row>
    <row r="147" spans="1:10" ht="20.25" hidden="1" customHeight="1" outlineLevel="1" x14ac:dyDescent="0.25">
      <c r="A147" s="1357" t="s">
        <v>220</v>
      </c>
      <c r="B147" s="1358">
        <v>5169</v>
      </c>
      <c r="C147" s="1362"/>
      <c r="D147" s="1363"/>
      <c r="E147" s="1363"/>
      <c r="F147" s="1363"/>
      <c r="G147" s="1354">
        <f t="shared" si="34"/>
        <v>0</v>
      </c>
      <c r="H147" s="1343"/>
      <c r="I147" s="1347"/>
      <c r="J147" s="1348"/>
    </row>
    <row r="148" spans="1:10" ht="20.25" hidden="1" customHeight="1" outlineLevel="1" x14ac:dyDescent="0.25">
      <c r="A148" s="1357" t="s">
        <v>220</v>
      </c>
      <c r="B148" s="1358">
        <v>5169</v>
      </c>
      <c r="C148" s="1352"/>
      <c r="D148" s="1363"/>
      <c r="E148" s="1363"/>
      <c r="F148" s="1363"/>
      <c r="G148" s="1355">
        <f t="shared" si="34"/>
        <v>0</v>
      </c>
      <c r="H148" s="1343"/>
      <c r="I148" s="1347"/>
      <c r="J148" s="1348"/>
    </row>
    <row r="149" spans="1:10" ht="20.25" hidden="1" customHeight="1" collapsed="1" thickBot="1" x14ac:dyDescent="0.3">
      <c r="A149" s="2746" t="s">
        <v>251</v>
      </c>
      <c r="B149" s="2747"/>
      <c r="C149" s="1918"/>
      <c r="D149" s="1919">
        <v>0</v>
      </c>
      <c r="E149" s="1919">
        <v>0</v>
      </c>
      <c r="F149" s="1919">
        <f t="shared" ref="F149" si="37">SUM(F146:F148)</f>
        <v>0</v>
      </c>
      <c r="G149" s="1920">
        <f t="shared" si="34"/>
        <v>0</v>
      </c>
      <c r="H149" s="1346">
        <f>'Výdaje kapitol celkem'!CP34</f>
        <v>0</v>
      </c>
      <c r="I149" s="1347">
        <f>+H149-F149</f>
        <v>0</v>
      </c>
      <c r="J149" s="1348"/>
    </row>
    <row r="150" spans="1:10" ht="18.600000000000001" customHeight="1" outlineLevel="1" x14ac:dyDescent="0.25">
      <c r="A150" s="1361" t="s">
        <v>197</v>
      </c>
      <c r="B150" s="1360">
        <v>5169</v>
      </c>
      <c r="C150" s="1322" t="s">
        <v>1769</v>
      </c>
      <c r="D150" s="1323">
        <v>50000</v>
      </c>
      <c r="E150" s="1323">
        <v>50000</v>
      </c>
      <c r="F150" s="1323">
        <f>+[3]Kanalizace!$B$12</f>
        <v>50000</v>
      </c>
      <c r="G150" s="1318">
        <f t="shared" si="34"/>
        <v>0</v>
      </c>
      <c r="H150" s="1343"/>
      <c r="I150" s="1347"/>
      <c r="J150" s="1348"/>
    </row>
    <row r="151" spans="1:10" ht="20.25" customHeight="1" outlineLevel="1" x14ac:dyDescent="0.25">
      <c r="A151" s="1357" t="s">
        <v>197</v>
      </c>
      <c r="B151" s="1358">
        <v>5169</v>
      </c>
      <c r="C151" s="1352" t="s">
        <v>1770</v>
      </c>
      <c r="D151" s="1363">
        <v>100000</v>
      </c>
      <c r="E151" s="1363">
        <v>100000</v>
      </c>
      <c r="F151" s="1363">
        <f>+[3]Kanalizace!$B$13</f>
        <v>100000</v>
      </c>
      <c r="G151" s="1355">
        <f t="shared" si="34"/>
        <v>0</v>
      </c>
      <c r="H151" s="1343"/>
      <c r="I151" s="1347"/>
      <c r="J151" s="1348"/>
    </row>
    <row r="152" spans="1:10" ht="20.25" customHeight="1" thickBot="1" x14ac:dyDescent="0.3">
      <c r="A152" s="2746" t="s">
        <v>689</v>
      </c>
      <c r="B152" s="2747"/>
      <c r="C152" s="1918"/>
      <c r="D152" s="1919">
        <v>150000</v>
      </c>
      <c r="E152" s="1919">
        <v>150000</v>
      </c>
      <c r="F152" s="1919">
        <f t="shared" ref="F152" si="38">SUM(F150:F151)</f>
        <v>150000</v>
      </c>
      <c r="G152" s="1920">
        <f t="shared" si="34"/>
        <v>0</v>
      </c>
      <c r="H152" s="1346">
        <f>'Výdaje kapitol celkem'!CM34</f>
        <v>150000</v>
      </c>
      <c r="I152" s="1347">
        <f>+H152-F152</f>
        <v>0</v>
      </c>
      <c r="J152" s="1348"/>
    </row>
    <row r="153" spans="1:10" ht="24" customHeight="1" outlineLevel="1" x14ac:dyDescent="0.25">
      <c r="A153" s="1309" t="s">
        <v>501</v>
      </c>
      <c r="B153" s="1310">
        <v>5169</v>
      </c>
      <c r="C153" s="1311" t="s">
        <v>1861</v>
      </c>
      <c r="D153" s="1312">
        <v>5500000</v>
      </c>
      <c r="E153" s="1312">
        <v>5500000</v>
      </c>
      <c r="F153" s="1312">
        <f>'[6]Popelnice 3722-1'!$B$22</f>
        <v>5500000</v>
      </c>
      <c r="G153" s="1313">
        <f t="shared" si="34"/>
        <v>0</v>
      </c>
      <c r="H153" s="1343"/>
      <c r="I153" s="1347"/>
      <c r="J153" s="1348"/>
    </row>
    <row r="154" spans="1:10" ht="20.25" hidden="1" customHeight="1" outlineLevel="1" x14ac:dyDescent="0.25">
      <c r="A154" s="1361" t="s">
        <v>501</v>
      </c>
      <c r="B154" s="1360">
        <v>5169</v>
      </c>
      <c r="C154" s="1322"/>
      <c r="D154" s="1364"/>
      <c r="E154" s="1364"/>
      <c r="F154" s="1364"/>
      <c r="G154" s="1321">
        <f t="shared" si="34"/>
        <v>0</v>
      </c>
      <c r="H154" s="1343"/>
      <c r="I154" s="1347"/>
      <c r="J154" s="1348"/>
    </row>
    <row r="155" spans="1:10" ht="20.25" customHeight="1" thickBot="1" x14ac:dyDescent="0.3">
      <c r="A155" s="2746" t="s">
        <v>1226</v>
      </c>
      <c r="B155" s="2747"/>
      <c r="C155" s="1918"/>
      <c r="D155" s="1919">
        <v>5500000</v>
      </c>
      <c r="E155" s="1919">
        <v>5500000</v>
      </c>
      <c r="F155" s="1919">
        <f t="shared" ref="F155" si="39">SUM(F153:F154)</f>
        <v>5500000</v>
      </c>
      <c r="G155" s="1920">
        <f t="shared" si="34"/>
        <v>0</v>
      </c>
      <c r="H155" s="1346">
        <f>'Výdaje kapitol celkem'!CW34</f>
        <v>5500000</v>
      </c>
      <c r="I155" s="1347">
        <f>+H155-F155</f>
        <v>0</v>
      </c>
      <c r="J155" s="1348"/>
    </row>
    <row r="156" spans="1:10" ht="20.25" customHeight="1" outlineLevel="1" x14ac:dyDescent="0.25">
      <c r="A156" s="1309" t="s">
        <v>182</v>
      </c>
      <c r="B156" s="1310">
        <v>5169</v>
      </c>
      <c r="C156" s="1311" t="s">
        <v>1862</v>
      </c>
      <c r="D156" s="1312">
        <v>800000</v>
      </c>
      <c r="E156" s="1312">
        <v>800000</v>
      </c>
      <c r="F156" s="1312">
        <f>'[6]Odpady 3722-34'!$B$6</f>
        <v>800000</v>
      </c>
      <c r="G156" s="1313">
        <f t="shared" si="34"/>
        <v>0</v>
      </c>
      <c r="H156" s="1343"/>
      <c r="I156" s="1347"/>
      <c r="J156" s="1348"/>
    </row>
    <row r="157" spans="1:10" ht="18.600000000000001" hidden="1" customHeight="1" outlineLevel="1" x14ac:dyDescent="0.25">
      <c r="A157" s="1350" t="s">
        <v>182</v>
      </c>
      <c r="B157" s="1351">
        <v>5169</v>
      </c>
      <c r="C157" s="1352"/>
      <c r="D157" s="1353">
        <v>0</v>
      </c>
      <c r="E157" s="1353">
        <v>0</v>
      </c>
      <c r="F157" s="1353">
        <f>'[6]Odpady 3722-34'!$B$7</f>
        <v>0</v>
      </c>
      <c r="G157" s="1355">
        <f t="shared" si="34"/>
        <v>0</v>
      </c>
      <c r="H157" s="1343"/>
      <c r="I157" s="1347"/>
      <c r="J157" s="1348"/>
    </row>
    <row r="158" spans="1:10" ht="20.25" hidden="1" customHeight="1" outlineLevel="1" x14ac:dyDescent="0.25">
      <c r="A158" s="1361" t="s">
        <v>182</v>
      </c>
      <c r="B158" s="1360">
        <v>5169</v>
      </c>
      <c r="C158" s="1322"/>
      <c r="D158" s="1323">
        <v>0</v>
      </c>
      <c r="E158" s="1323">
        <v>0</v>
      </c>
      <c r="F158" s="1323">
        <f>'[6]Odpady 3722-34'!$B$8</f>
        <v>0</v>
      </c>
      <c r="G158" s="1321">
        <f t="shared" si="34"/>
        <v>0</v>
      </c>
      <c r="H158" s="1343"/>
      <c r="I158" s="1347"/>
      <c r="J158" s="1348"/>
    </row>
    <row r="159" spans="1:10" ht="20.25" customHeight="1" thickBot="1" x14ac:dyDescent="0.3">
      <c r="A159" s="2746" t="s">
        <v>1218</v>
      </c>
      <c r="B159" s="2747"/>
      <c r="C159" s="1918"/>
      <c r="D159" s="1919">
        <v>800000</v>
      </c>
      <c r="E159" s="1919">
        <v>800000</v>
      </c>
      <c r="F159" s="1919">
        <f t="shared" ref="F159" si="40">SUM(F156:F158)</f>
        <v>800000</v>
      </c>
      <c r="G159" s="1920">
        <f t="shared" si="34"/>
        <v>0</v>
      </c>
      <c r="H159" s="1346">
        <f>'Výdaje kapitol celkem'!CZ34</f>
        <v>800000</v>
      </c>
      <c r="I159" s="1347">
        <f>+H159-F159</f>
        <v>0</v>
      </c>
      <c r="J159" s="1348"/>
    </row>
    <row r="160" spans="1:10" ht="20.25" customHeight="1" outlineLevel="1" x14ac:dyDescent="0.25">
      <c r="A160" s="1309">
        <v>3729</v>
      </c>
      <c r="B160" s="1310">
        <v>5169</v>
      </c>
      <c r="C160" s="1311" t="s">
        <v>1863</v>
      </c>
      <c r="D160" s="1312">
        <v>70000</v>
      </c>
      <c r="E160" s="1312">
        <v>70000</v>
      </c>
      <c r="F160" s="1312">
        <f>'[6]Černé skládky 3729'!$B$6</f>
        <v>70000</v>
      </c>
      <c r="G160" s="1313">
        <f t="shared" si="34"/>
        <v>0</v>
      </c>
      <c r="H160" s="1343"/>
      <c r="I160" s="1347"/>
      <c r="J160" s="1348"/>
    </row>
    <row r="161" spans="1:10" ht="20.25" hidden="1" customHeight="1" x14ac:dyDescent="0.25">
      <c r="A161" s="1361">
        <v>3729</v>
      </c>
      <c r="B161" s="1360">
        <v>5169</v>
      </c>
      <c r="C161" s="1322"/>
      <c r="D161" s="1364">
        <v>0</v>
      </c>
      <c r="E161" s="1364">
        <v>0</v>
      </c>
      <c r="F161" s="1364">
        <f>'[6]Černé skládky 3729'!$B$7</f>
        <v>0</v>
      </c>
      <c r="G161" s="1321">
        <f t="shared" si="34"/>
        <v>0</v>
      </c>
      <c r="H161" s="1343"/>
      <c r="I161" s="1347"/>
      <c r="J161" s="1348"/>
    </row>
    <row r="162" spans="1:10" ht="20.25" customHeight="1" thickBot="1" x14ac:dyDescent="0.3">
      <c r="A162" s="2746" t="s">
        <v>1219</v>
      </c>
      <c r="B162" s="2747"/>
      <c r="C162" s="1918"/>
      <c r="D162" s="1919">
        <v>70000</v>
      </c>
      <c r="E162" s="1919">
        <v>70000</v>
      </c>
      <c r="F162" s="1919">
        <f t="shared" ref="F162" si="41">SUM(F160:F161)</f>
        <v>70000</v>
      </c>
      <c r="G162" s="1920">
        <f t="shared" si="34"/>
        <v>0</v>
      </c>
      <c r="H162" s="1346">
        <f>'Výdaje kapitol celkem'!DC34</f>
        <v>70000</v>
      </c>
      <c r="I162" s="1347">
        <f>+H162-F162</f>
        <v>0</v>
      </c>
      <c r="J162" s="1348"/>
    </row>
    <row r="163" spans="1:10" ht="20.25" customHeight="1" outlineLevel="1" x14ac:dyDescent="0.25">
      <c r="A163" s="1309">
        <v>3744</v>
      </c>
      <c r="B163" s="1310">
        <v>5169</v>
      </c>
      <c r="C163" s="1311" t="s">
        <v>1864</v>
      </c>
      <c r="D163" s="1312">
        <v>60000</v>
      </c>
      <c r="E163" s="1312">
        <v>60000</v>
      </c>
      <c r="F163" s="1312">
        <f>'[6]Povodeň 3744'!$B$14</f>
        <v>60000</v>
      </c>
      <c r="G163" s="1313">
        <f t="shared" si="34"/>
        <v>0</v>
      </c>
      <c r="H163" s="1343"/>
      <c r="I163" s="1347"/>
      <c r="J163" s="1348"/>
    </row>
    <row r="164" spans="1:10" ht="20.25" customHeight="1" outlineLevel="1" x14ac:dyDescent="0.25">
      <c r="A164" s="1350">
        <v>3744</v>
      </c>
      <c r="B164" s="1351">
        <v>5169</v>
      </c>
      <c r="C164" s="1352" t="s">
        <v>1865</v>
      </c>
      <c r="D164" s="1353">
        <v>6500</v>
      </c>
      <c r="E164" s="1353">
        <v>6500</v>
      </c>
      <c r="F164" s="1353">
        <f>'[6]Povodeň 3744'!$B$15</f>
        <v>6500</v>
      </c>
      <c r="G164" s="1354">
        <f t="shared" si="34"/>
        <v>0</v>
      </c>
      <c r="H164" s="1343"/>
      <c r="I164" s="1347"/>
      <c r="J164" s="1348"/>
    </row>
    <row r="165" spans="1:10" ht="20.25" hidden="1" customHeight="1" x14ac:dyDescent="0.25">
      <c r="A165" s="1361">
        <v>3744</v>
      </c>
      <c r="B165" s="1360">
        <v>5169</v>
      </c>
      <c r="C165" s="1322" t="s">
        <v>1866</v>
      </c>
      <c r="D165" s="1323">
        <v>0</v>
      </c>
      <c r="E165" s="1323">
        <v>0</v>
      </c>
      <c r="F165" s="1323">
        <f>'[6]Povodeň 3744'!$B$16</f>
        <v>0</v>
      </c>
      <c r="G165" s="1318">
        <f t="shared" si="34"/>
        <v>0</v>
      </c>
      <c r="H165" s="1343"/>
      <c r="I165" s="1347"/>
      <c r="J165" s="1348"/>
    </row>
    <row r="166" spans="1:10" ht="20.25" customHeight="1" thickBot="1" x14ac:dyDescent="0.3">
      <c r="A166" s="2746" t="s">
        <v>1201</v>
      </c>
      <c r="B166" s="2747"/>
      <c r="C166" s="1918"/>
      <c r="D166" s="1919">
        <v>66500</v>
      </c>
      <c r="E166" s="1919">
        <v>66500</v>
      </c>
      <c r="F166" s="1919">
        <f t="shared" ref="F166" si="42">SUM(F163:F165)</f>
        <v>66500</v>
      </c>
      <c r="G166" s="1920">
        <f t="shared" si="34"/>
        <v>0</v>
      </c>
      <c r="H166" s="1346">
        <f>'Výdaje kapitol celkem'!DF34</f>
        <v>66500</v>
      </c>
      <c r="I166" s="1347">
        <f>+H166-F166</f>
        <v>0</v>
      </c>
      <c r="J166" s="1348"/>
    </row>
    <row r="167" spans="1:10" ht="20.25" customHeight="1" outlineLevel="1" x14ac:dyDescent="0.25">
      <c r="A167" s="1309" t="s">
        <v>297</v>
      </c>
      <c r="B167" s="1310">
        <v>5169</v>
      </c>
      <c r="C167" s="1311" t="s">
        <v>1766</v>
      </c>
      <c r="D167" s="1312">
        <v>5000</v>
      </c>
      <c r="E167" s="1312">
        <v>5000</v>
      </c>
      <c r="F167" s="1312">
        <f>+[3]Rybníky!$B$5</f>
        <v>5000</v>
      </c>
      <c r="G167" s="1313">
        <f t="shared" si="34"/>
        <v>0</v>
      </c>
      <c r="H167" s="1343"/>
      <c r="I167" s="1347"/>
      <c r="J167" s="1348"/>
    </row>
    <row r="168" spans="1:10" ht="12.95" hidden="1" customHeight="1" outlineLevel="1" x14ac:dyDescent="0.25">
      <c r="A168" s="1350" t="s">
        <v>297</v>
      </c>
      <c r="B168" s="1351">
        <v>5169</v>
      </c>
      <c r="C168" s="1352"/>
      <c r="D168" s="1353"/>
      <c r="E168" s="1353"/>
      <c r="F168" s="1353"/>
      <c r="G168" s="1355">
        <f t="shared" si="34"/>
        <v>0</v>
      </c>
      <c r="H168" s="1343"/>
      <c r="I168" s="1347"/>
      <c r="J168" s="1348"/>
    </row>
    <row r="169" spans="1:10" ht="15.6" hidden="1" customHeight="1" outlineLevel="1" x14ac:dyDescent="0.25">
      <c r="A169" s="1350" t="s">
        <v>297</v>
      </c>
      <c r="B169" s="1351">
        <v>5169</v>
      </c>
      <c r="C169" s="1352"/>
      <c r="D169" s="1353"/>
      <c r="E169" s="1353"/>
      <c r="F169" s="1353"/>
      <c r="G169" s="1354">
        <f t="shared" si="34"/>
        <v>0</v>
      </c>
      <c r="H169" s="1343"/>
      <c r="I169" s="1347"/>
      <c r="J169" s="1348"/>
    </row>
    <row r="170" spans="1:10" ht="20.25" customHeight="1" thickBot="1" x14ac:dyDescent="0.3">
      <c r="A170" s="2746" t="s">
        <v>1202</v>
      </c>
      <c r="B170" s="2747"/>
      <c r="C170" s="1918"/>
      <c r="D170" s="1919">
        <v>5000</v>
      </c>
      <c r="E170" s="1919">
        <v>5000</v>
      </c>
      <c r="F170" s="1919">
        <f t="shared" ref="F170" si="43">SUM(F167:F169)</f>
        <v>5000</v>
      </c>
      <c r="G170" s="1920">
        <f t="shared" si="34"/>
        <v>0</v>
      </c>
      <c r="H170" s="1346">
        <f>'Výdaje kapitol celkem'!DK34</f>
        <v>5000</v>
      </c>
      <c r="I170" s="1347">
        <f>+H170-F170</f>
        <v>0</v>
      </c>
      <c r="J170" s="1348"/>
    </row>
    <row r="171" spans="1:10" ht="20.25" hidden="1" customHeight="1" outlineLevel="1" x14ac:dyDescent="0.25">
      <c r="A171" s="1309" t="s">
        <v>264</v>
      </c>
      <c r="B171" s="1310">
        <v>5169</v>
      </c>
      <c r="C171" s="1365"/>
      <c r="D171" s="1312"/>
      <c r="E171" s="1312"/>
      <c r="F171" s="1312"/>
      <c r="G171" s="1366">
        <f t="shared" si="34"/>
        <v>0</v>
      </c>
      <c r="H171" s="1346"/>
      <c r="I171" s="1347"/>
      <c r="J171" s="1348"/>
    </row>
    <row r="172" spans="1:10" ht="20.25" hidden="1" customHeight="1" outlineLevel="1" x14ac:dyDescent="0.25">
      <c r="A172" s="1350" t="s">
        <v>264</v>
      </c>
      <c r="B172" s="1351">
        <v>5169</v>
      </c>
      <c r="C172" s="1367"/>
      <c r="D172" s="1356"/>
      <c r="E172" s="1356"/>
      <c r="F172" s="1356"/>
      <c r="G172" s="1355">
        <f t="shared" si="34"/>
        <v>0</v>
      </c>
      <c r="H172" s="1346"/>
      <c r="I172" s="1347"/>
      <c r="J172" s="1348"/>
    </row>
    <row r="173" spans="1:10" ht="26.25" hidden="1" customHeight="1" collapsed="1" thickBot="1" x14ac:dyDescent="0.3">
      <c r="A173" s="2746" t="s">
        <v>1227</v>
      </c>
      <c r="B173" s="2747"/>
      <c r="C173" s="1918"/>
      <c r="D173" s="1919">
        <v>0</v>
      </c>
      <c r="E173" s="1919">
        <v>0</v>
      </c>
      <c r="F173" s="1919">
        <f t="shared" ref="F173" si="44">SUM(F171:F172)</f>
        <v>0</v>
      </c>
      <c r="G173" s="1920">
        <f t="shared" si="34"/>
        <v>0</v>
      </c>
      <c r="H173" s="1346">
        <f>'Výdaje kapitol celkem'!DO34</f>
        <v>0</v>
      </c>
      <c r="I173" s="1347">
        <f>+H173-F173</f>
        <v>0</v>
      </c>
      <c r="J173" s="1348"/>
    </row>
    <row r="174" spans="1:10" ht="20.25" hidden="1" customHeight="1" outlineLevel="1" x14ac:dyDescent="0.25">
      <c r="A174" s="1309" t="s">
        <v>728</v>
      </c>
      <c r="B174" s="1310">
        <v>5169</v>
      </c>
      <c r="C174" s="1311"/>
      <c r="D174" s="1312">
        <v>0</v>
      </c>
      <c r="E174" s="1312">
        <v>0</v>
      </c>
      <c r="F174" s="1312">
        <f>[3]ZŠ!$B$5</f>
        <v>0</v>
      </c>
      <c r="G174" s="1313">
        <f t="shared" si="34"/>
        <v>0</v>
      </c>
      <c r="H174" s="1343"/>
      <c r="I174" s="1347"/>
      <c r="J174" s="1348"/>
    </row>
    <row r="175" spans="1:10" ht="20.25" hidden="1" customHeight="1" outlineLevel="1" x14ac:dyDescent="0.25">
      <c r="A175" s="1361" t="s">
        <v>728</v>
      </c>
      <c r="B175" s="1360">
        <v>5169</v>
      </c>
      <c r="C175" s="1322"/>
      <c r="D175" s="1364">
        <v>0</v>
      </c>
      <c r="E175" s="1364">
        <v>0</v>
      </c>
      <c r="F175" s="1364">
        <f>[3]ZŠ!$B$6</f>
        <v>0</v>
      </c>
      <c r="G175" s="1321">
        <f t="shared" si="34"/>
        <v>0</v>
      </c>
      <c r="H175" s="1343"/>
      <c r="I175" s="1347"/>
      <c r="J175" s="1348"/>
    </row>
    <row r="176" spans="1:10" ht="20.25" hidden="1" customHeight="1" collapsed="1" thickBot="1" x14ac:dyDescent="0.3">
      <c r="A176" s="2746" t="s">
        <v>1228</v>
      </c>
      <c r="B176" s="2747"/>
      <c r="C176" s="1918"/>
      <c r="D176" s="1919">
        <v>0</v>
      </c>
      <c r="E176" s="1919">
        <v>0</v>
      </c>
      <c r="F176" s="1919">
        <f t="shared" ref="F176" si="45">SUM(F174:F175)</f>
        <v>0</v>
      </c>
      <c r="G176" s="1920">
        <f t="shared" si="34"/>
        <v>0</v>
      </c>
      <c r="H176" s="1346">
        <f>'Výdaje kapitol celkem'!DL34</f>
        <v>0</v>
      </c>
      <c r="I176" s="1347">
        <f>+H176-F176</f>
        <v>0</v>
      </c>
      <c r="J176" s="1348"/>
    </row>
    <row r="177" spans="1:10" ht="20.25" hidden="1" customHeight="1" outlineLevel="1" x14ac:dyDescent="0.25">
      <c r="A177" s="1309" t="s">
        <v>729</v>
      </c>
      <c r="B177" s="1310">
        <v>5169</v>
      </c>
      <c r="C177" s="1311"/>
      <c r="D177" s="1312"/>
      <c r="E177" s="1312"/>
      <c r="F177" s="1312"/>
      <c r="G177" s="1313">
        <f t="shared" si="34"/>
        <v>0</v>
      </c>
      <c r="H177" s="1343"/>
      <c r="I177" s="1347"/>
      <c r="J177" s="1348"/>
    </row>
    <row r="178" spans="1:10" ht="20.25" hidden="1" customHeight="1" outlineLevel="1" x14ac:dyDescent="0.25">
      <c r="A178" s="1361" t="s">
        <v>729</v>
      </c>
      <c r="B178" s="1360">
        <v>5169</v>
      </c>
      <c r="C178" s="1322"/>
      <c r="D178" s="1364"/>
      <c r="E178" s="1364"/>
      <c r="F178" s="1364"/>
      <c r="G178" s="1321">
        <f t="shared" si="34"/>
        <v>0</v>
      </c>
      <c r="H178" s="1343"/>
      <c r="I178" s="1347"/>
      <c r="J178" s="1348"/>
    </row>
    <row r="179" spans="1:10" ht="20.25" hidden="1" customHeight="1" collapsed="1" thickBot="1" x14ac:dyDescent="0.3">
      <c r="A179" s="2746" t="s">
        <v>1204</v>
      </c>
      <c r="B179" s="2747"/>
      <c r="C179" s="1918"/>
      <c r="D179" s="1919">
        <v>0</v>
      </c>
      <c r="E179" s="1919">
        <v>0</v>
      </c>
      <c r="F179" s="1919">
        <f t="shared" ref="F179" si="46">SUM(F177:F178)</f>
        <v>0</v>
      </c>
      <c r="G179" s="1920">
        <f t="shared" si="34"/>
        <v>0</v>
      </c>
      <c r="H179" s="1346">
        <f>'Výdaje kapitol celkem'!DM34</f>
        <v>0</v>
      </c>
      <c r="I179" s="1347">
        <f>+H179-F179</f>
        <v>0</v>
      </c>
      <c r="J179" s="1348"/>
    </row>
    <row r="180" spans="1:10" ht="15" customHeight="1" outlineLevel="1" x14ac:dyDescent="0.25">
      <c r="A180" s="1309" t="s">
        <v>183</v>
      </c>
      <c r="B180" s="1310">
        <v>5169</v>
      </c>
      <c r="C180" s="1311" t="s">
        <v>1872</v>
      </c>
      <c r="D180" s="1312">
        <v>600000</v>
      </c>
      <c r="E180" s="1312">
        <v>600000</v>
      </c>
      <c r="F180" s="1312">
        <f>'[6]TSÚ-Sběrný dvůr 3722-36'!$B$15</f>
        <v>600000</v>
      </c>
      <c r="G180" s="1368">
        <f t="shared" si="34"/>
        <v>0</v>
      </c>
      <c r="H180" s="1343"/>
      <c r="I180" s="1347"/>
      <c r="J180" s="1348"/>
    </row>
    <row r="181" spans="1:10" ht="15" customHeight="1" outlineLevel="1" x14ac:dyDescent="0.25">
      <c r="A181" s="1350" t="s">
        <v>183</v>
      </c>
      <c r="B181" s="1315">
        <v>5169</v>
      </c>
      <c r="C181" s="1316" t="s">
        <v>1873</v>
      </c>
      <c r="D181" s="1317">
        <v>100000</v>
      </c>
      <c r="E181" s="1317">
        <v>100000</v>
      </c>
      <c r="F181" s="1317">
        <f>'[6]TSÚ-Sběrný dvůr 3722-36'!$B$16</f>
        <v>100000</v>
      </c>
      <c r="G181" s="1318">
        <f t="shared" si="34"/>
        <v>0</v>
      </c>
      <c r="H181" s="1343"/>
      <c r="I181" s="1347"/>
      <c r="J181" s="1348"/>
    </row>
    <row r="182" spans="1:10" ht="15" customHeight="1" outlineLevel="1" x14ac:dyDescent="0.25">
      <c r="A182" s="1350" t="s">
        <v>183</v>
      </c>
      <c r="B182" s="1351">
        <v>5169</v>
      </c>
      <c r="C182" s="1352" t="s">
        <v>1874</v>
      </c>
      <c r="D182" s="1353">
        <v>50000</v>
      </c>
      <c r="E182" s="1353">
        <v>50000</v>
      </c>
      <c r="F182" s="1353">
        <f>'[6]TSÚ-Sběrný dvůr 3722-36'!$B$17</f>
        <v>50000</v>
      </c>
      <c r="G182" s="1354">
        <f t="shared" si="34"/>
        <v>0</v>
      </c>
      <c r="H182" s="1343"/>
      <c r="I182" s="1347"/>
      <c r="J182" s="1348"/>
    </row>
    <row r="183" spans="1:10" ht="18.95" hidden="1" customHeight="1" x14ac:dyDescent="0.25">
      <c r="A183" s="1361" t="s">
        <v>183</v>
      </c>
      <c r="B183" s="1360">
        <v>5169</v>
      </c>
      <c r="C183" s="1322"/>
      <c r="D183" s="1323"/>
      <c r="E183" s="1323"/>
      <c r="F183" s="1323"/>
      <c r="G183" s="1321">
        <f t="shared" si="34"/>
        <v>0</v>
      </c>
      <c r="H183" s="1343"/>
      <c r="I183" s="1347"/>
      <c r="J183" s="1348"/>
    </row>
    <row r="184" spans="1:10" ht="20.25" customHeight="1" thickBot="1" x14ac:dyDescent="0.3">
      <c r="A184" s="2746" t="s">
        <v>1220</v>
      </c>
      <c r="B184" s="2747"/>
      <c r="C184" s="1918"/>
      <c r="D184" s="1919">
        <v>750000</v>
      </c>
      <c r="E184" s="1919">
        <v>750000</v>
      </c>
      <c r="F184" s="1919">
        <f t="shared" ref="F184" si="47">SUM(F180:F183)</f>
        <v>750000</v>
      </c>
      <c r="G184" s="1920">
        <f t="shared" si="34"/>
        <v>0</v>
      </c>
      <c r="H184" s="1346">
        <f>'Výdaje kapitol celkem'!DR34</f>
        <v>750000</v>
      </c>
      <c r="I184" s="1347">
        <f>+H184-F184</f>
        <v>0</v>
      </c>
      <c r="J184" s="1348"/>
    </row>
    <row r="185" spans="1:10" ht="20.25" customHeight="1" outlineLevel="1" x14ac:dyDescent="0.25">
      <c r="A185" s="1309">
        <v>3114</v>
      </c>
      <c r="B185" s="1310">
        <v>5169</v>
      </c>
      <c r="C185" s="1311" t="s">
        <v>1813</v>
      </c>
      <c r="D185" s="1312">
        <v>50000</v>
      </c>
      <c r="E185" s="1312">
        <v>50000</v>
      </c>
      <c r="F185" s="1312">
        <f>+'[3]Č.p. 65'!$B$5</f>
        <v>50000</v>
      </c>
      <c r="G185" s="1313">
        <f t="shared" si="34"/>
        <v>0</v>
      </c>
      <c r="H185" s="1343"/>
      <c r="I185" s="1347"/>
      <c r="J185" s="1348"/>
    </row>
    <row r="186" spans="1:10" ht="20.25" customHeight="1" outlineLevel="1" x14ac:dyDescent="0.25">
      <c r="A186" s="1350">
        <v>3114</v>
      </c>
      <c r="B186" s="1351">
        <v>5169</v>
      </c>
      <c r="C186" s="1352" t="s">
        <v>1814</v>
      </c>
      <c r="D186" s="1353">
        <v>10000</v>
      </c>
      <c r="E186" s="1353">
        <v>10000</v>
      </c>
      <c r="F186" s="1353">
        <f>+'[3]Č.p. 65'!$B$6</f>
        <v>10000</v>
      </c>
      <c r="G186" s="1355">
        <f t="shared" si="34"/>
        <v>0</v>
      </c>
      <c r="H186" s="1343"/>
      <c r="I186" s="1347"/>
      <c r="J186" s="1348"/>
    </row>
    <row r="187" spans="1:10" ht="20.25" customHeight="1" outlineLevel="1" x14ac:dyDescent="0.25">
      <c r="A187" s="1361">
        <v>3114</v>
      </c>
      <c r="B187" s="1360">
        <v>5169</v>
      </c>
      <c r="C187" s="1322" t="s">
        <v>1858</v>
      </c>
      <c r="D187" s="1323">
        <v>20000</v>
      </c>
      <c r="E187" s="1323">
        <v>20000</v>
      </c>
      <c r="F187" s="1323">
        <f>[2]č.p.65!$B$26</f>
        <v>20000</v>
      </c>
      <c r="G187" s="1355">
        <f t="shared" si="34"/>
        <v>0</v>
      </c>
      <c r="H187" s="1343"/>
      <c r="I187" s="1347"/>
      <c r="J187" s="1348"/>
    </row>
    <row r="188" spans="1:10" ht="20.25" customHeight="1" thickBot="1" x14ac:dyDescent="0.3">
      <c r="A188" s="2746" t="s">
        <v>213</v>
      </c>
      <c r="B188" s="2747"/>
      <c r="C188" s="1918"/>
      <c r="D188" s="1919">
        <v>80000</v>
      </c>
      <c r="E188" s="1919">
        <v>80000</v>
      </c>
      <c r="F188" s="1919">
        <f t="shared" ref="F188" si="48">SUM(F185:F187)</f>
        <v>80000</v>
      </c>
      <c r="G188" s="1920">
        <f t="shared" si="34"/>
        <v>0</v>
      </c>
      <c r="H188" s="1346">
        <f>'Výdaje kapitol celkem'!BF34</f>
        <v>80000</v>
      </c>
      <c r="I188" s="1347">
        <f>+H188-F188</f>
        <v>0</v>
      </c>
      <c r="J188" s="1348"/>
    </row>
    <row r="189" spans="1:10" ht="20.25" hidden="1" customHeight="1" outlineLevel="1" x14ac:dyDescent="0.25">
      <c r="A189" s="1361" t="s">
        <v>199</v>
      </c>
      <c r="B189" s="1360">
        <v>5169</v>
      </c>
      <c r="C189" s="1322"/>
      <c r="D189" s="1323"/>
      <c r="E189" s="1323"/>
      <c r="F189" s="1323"/>
      <c r="G189" s="1318">
        <f t="shared" si="34"/>
        <v>0</v>
      </c>
      <c r="H189" s="1343"/>
      <c r="I189" s="1347"/>
      <c r="J189" s="1348"/>
    </row>
    <row r="190" spans="1:10" ht="20.25" hidden="1" customHeight="1" outlineLevel="1" x14ac:dyDescent="0.25">
      <c r="A190" s="1350" t="s">
        <v>199</v>
      </c>
      <c r="B190" s="1351">
        <v>5169</v>
      </c>
      <c r="C190" s="1352"/>
      <c r="D190" s="1353"/>
      <c r="E190" s="1353"/>
      <c r="F190" s="1353"/>
      <c r="G190" s="1354">
        <f t="shared" si="34"/>
        <v>0</v>
      </c>
      <c r="H190" s="1343"/>
      <c r="I190" s="1347"/>
      <c r="J190" s="1348"/>
    </row>
    <row r="191" spans="1:10" ht="20.25" hidden="1" customHeight="1" outlineLevel="1" x14ac:dyDescent="0.25">
      <c r="A191" s="1314" t="s">
        <v>199</v>
      </c>
      <c r="B191" s="1315">
        <v>5169</v>
      </c>
      <c r="C191" s="1316"/>
      <c r="D191" s="1320"/>
      <c r="E191" s="1320"/>
      <c r="F191" s="1320"/>
      <c r="G191" s="1321">
        <f t="shared" si="34"/>
        <v>0</v>
      </c>
      <c r="H191" s="1343"/>
      <c r="I191" s="1347"/>
      <c r="J191" s="1348"/>
    </row>
    <row r="192" spans="1:10" ht="24" hidden="1" customHeight="1" collapsed="1" thickBot="1" x14ac:dyDescent="0.3">
      <c r="A192" s="2746" t="s">
        <v>216</v>
      </c>
      <c r="B192" s="2747"/>
      <c r="C192" s="1918"/>
      <c r="D192" s="1919">
        <v>0</v>
      </c>
      <c r="E192" s="1919">
        <v>0</v>
      </c>
      <c r="F192" s="1919">
        <f t="shared" ref="F192" si="49">SUM(F189:F191)</f>
        <v>0</v>
      </c>
      <c r="G192" s="1920">
        <f t="shared" si="34"/>
        <v>0</v>
      </c>
      <c r="H192" s="1346">
        <f>'Výdaje kapitol celkem'!CJ34</f>
        <v>0</v>
      </c>
      <c r="I192" s="1347">
        <f>+H192-F192</f>
        <v>0</v>
      </c>
      <c r="J192" s="1348"/>
    </row>
    <row r="193" spans="1:10" s="1349" customFormat="1" ht="18" customHeight="1" thickBot="1" x14ac:dyDescent="0.3">
      <c r="A193" s="2741" t="s">
        <v>502</v>
      </c>
      <c r="B193" s="2742"/>
      <c r="C193" s="2743"/>
      <c r="D193" s="1929">
        <v>18929100</v>
      </c>
      <c r="E193" s="1929">
        <v>18979100</v>
      </c>
      <c r="F193" s="1929">
        <f t="shared" ref="F193" si="50">+F7+F10+F20+F23+F26+F29+F32+F35+F38+F45+F48+F51+F58+F63+F66+F70+F74+F80+F94+F97+F100+F103+F107+F110+F113+F116+F122+F128+F132+F135+F141+F145+F149+F152+F155+F159+F162+F166+F170+F184+F188+F192+F176+F14+F179+F173+F89+F84+F55</f>
        <v>18642900</v>
      </c>
      <c r="G193" s="1930">
        <f t="shared" si="34"/>
        <v>-336200</v>
      </c>
      <c r="H193" s="1346"/>
      <c r="I193" s="1369"/>
      <c r="J193" s="1348"/>
    </row>
    <row r="194" spans="1:10" x14ac:dyDescent="0.25">
      <c r="A194" s="1339"/>
      <c r="B194" s="1339"/>
      <c r="C194" s="1339"/>
      <c r="D194" s="1340">
        <v>18929100</v>
      </c>
      <c r="E194" s="1340">
        <v>18979100</v>
      </c>
      <c r="F194" s="1340">
        <f>'Výdaje kapitol celkem'!F34</f>
        <v>18712900</v>
      </c>
      <c r="G194" s="1342"/>
      <c r="H194" s="1343"/>
      <c r="I194" s="1344"/>
    </row>
    <row r="195" spans="1:10" s="1371" customFormat="1" x14ac:dyDescent="0.25">
      <c r="A195" s="1370"/>
      <c r="B195" s="1370"/>
      <c r="C195" s="1370" t="s">
        <v>218</v>
      </c>
      <c r="D195" s="1342">
        <v>0</v>
      </c>
      <c r="E195" s="1342">
        <v>0</v>
      </c>
      <c r="F195" s="1342">
        <v>0</v>
      </c>
      <c r="G195" s="1342"/>
      <c r="H195" s="1343"/>
      <c r="I195" s="1344"/>
    </row>
    <row r="196" spans="1:10" x14ac:dyDescent="0.25">
      <c r="A196" s="1372" t="s">
        <v>546</v>
      </c>
      <c r="B196" s="1339"/>
      <c r="C196" s="1339"/>
      <c r="D196" s="1340"/>
      <c r="E196" s="1340"/>
      <c r="F196" s="1340"/>
      <c r="G196" s="1342"/>
      <c r="H196" s="1343"/>
      <c r="I196" s="1344"/>
    </row>
  </sheetData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55:B55"/>
    <mergeCell ref="A179:B179"/>
    <mergeCell ref="A184:B184"/>
    <mergeCell ref="A188:B188"/>
    <mergeCell ref="A192:B192"/>
    <mergeCell ref="A162:B162"/>
    <mergeCell ref="A166:B166"/>
    <mergeCell ref="A170:B170"/>
    <mergeCell ref="A173:B173"/>
    <mergeCell ref="A176:B176"/>
    <mergeCell ref="A145:B145"/>
    <mergeCell ref="A149:B149"/>
    <mergeCell ref="A152:B152"/>
    <mergeCell ref="A155:B155"/>
    <mergeCell ref="A159:B159"/>
    <mergeCell ref="A122:B122"/>
    <mergeCell ref="A128:B128"/>
    <mergeCell ref="A132:B132"/>
    <mergeCell ref="A135:B135"/>
    <mergeCell ref="A141:B141"/>
    <mergeCell ref="A103:B103"/>
    <mergeCell ref="A107:B107"/>
    <mergeCell ref="A110:B110"/>
    <mergeCell ref="A113:B113"/>
    <mergeCell ref="A116:B116"/>
    <mergeCell ref="A84:B84"/>
    <mergeCell ref="A89:B89"/>
    <mergeCell ref="A94:B94"/>
    <mergeCell ref="A97:B97"/>
    <mergeCell ref="A100:B100"/>
    <mergeCell ref="A63:B63"/>
    <mergeCell ref="A66:B66"/>
    <mergeCell ref="A70:B70"/>
    <mergeCell ref="A74:B74"/>
    <mergeCell ref="A80:B80"/>
    <mergeCell ref="A2:C2"/>
    <mergeCell ref="A193:C193"/>
    <mergeCell ref="A7:B7"/>
    <mergeCell ref="A10:B10"/>
    <mergeCell ref="A14:B14"/>
    <mergeCell ref="A20:B20"/>
    <mergeCell ref="A23:B23"/>
    <mergeCell ref="A26:B26"/>
    <mergeCell ref="A29:B29"/>
    <mergeCell ref="A32:B32"/>
    <mergeCell ref="A35:B35"/>
    <mergeCell ref="A38:B38"/>
    <mergeCell ref="A45:B45"/>
    <mergeCell ref="A48:B48"/>
    <mergeCell ref="A51:B51"/>
    <mergeCell ref="A58:B58"/>
  </mergeCells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J150"/>
  <sheetViews>
    <sheetView topLeftCell="A100" zoomScale="76" zoomScaleNormal="76" workbookViewId="0">
      <selection activeCell="A80" sqref="A80:XFD80"/>
    </sheetView>
  </sheetViews>
  <sheetFormatPr defaultColWidth="9.140625" defaultRowHeight="12.75" outlineLevelRow="1" x14ac:dyDescent="0.25"/>
  <cols>
    <col min="1" max="1" width="17" style="1917" customWidth="1"/>
    <col min="2" max="2" width="10" style="1345" customWidth="1"/>
    <col min="3" max="3" width="86" style="1345" bestFit="1" customWidth="1"/>
    <col min="4" max="6" width="11.42578125" style="1373" bestFit="1" customWidth="1"/>
    <col min="7" max="7" width="14" style="1374" customWidth="1"/>
    <col min="8" max="8" width="14.42578125" style="1375" customWidth="1"/>
    <col min="9" max="9" width="13.85546875" style="1376" customWidth="1"/>
    <col min="10" max="16384" width="9.140625" style="1345"/>
  </cols>
  <sheetData>
    <row r="1" spans="1:10" s="1333" customFormat="1" ht="24" customHeight="1" x14ac:dyDescent="0.3">
      <c r="A1" s="2566" t="s">
        <v>1579</v>
      </c>
      <c r="B1" s="1245"/>
      <c r="C1" s="1246"/>
      <c r="D1" s="1329"/>
      <c r="E1" s="1329"/>
      <c r="F1" s="1329"/>
      <c r="G1" s="1330"/>
      <c r="H1" s="1331"/>
      <c r="I1" s="1332"/>
    </row>
    <row r="2" spans="1:10" s="1338" customFormat="1" ht="20.25" customHeight="1" x14ac:dyDescent="0.3">
      <c r="A2" s="2733" t="s">
        <v>547</v>
      </c>
      <c r="B2" s="2733"/>
      <c r="C2" s="2734"/>
      <c r="D2" s="1334"/>
      <c r="E2" s="1334"/>
      <c r="F2" s="1334"/>
      <c r="G2" s="1335"/>
      <c r="H2" s="1336"/>
      <c r="I2" s="1337"/>
    </row>
    <row r="3" spans="1:10" ht="13.5" thickBot="1" x14ac:dyDescent="0.3">
      <c r="A3" s="1908"/>
      <c r="B3" s="1339"/>
      <c r="C3" s="1339"/>
      <c r="D3" s="1340"/>
      <c r="E3" s="1340"/>
      <c r="F3" s="1340"/>
      <c r="G3" s="1342"/>
      <c r="H3" s="1343"/>
      <c r="I3" s="1344"/>
    </row>
    <row r="4" spans="1:10" ht="20.4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2048</v>
      </c>
      <c r="F4" s="1307" t="s">
        <v>2217</v>
      </c>
      <c r="G4" s="1308" t="s">
        <v>5</v>
      </c>
      <c r="H4" s="1303" t="s">
        <v>768</v>
      </c>
      <c r="I4" s="1344" t="s">
        <v>711</v>
      </c>
    </row>
    <row r="5" spans="1:10" ht="15.75" customHeight="1" outlineLevel="1" x14ac:dyDescent="0.25">
      <c r="A5" s="1909">
        <v>6171</v>
      </c>
      <c r="B5" s="1310">
        <v>5171</v>
      </c>
      <c r="C5" s="1311" t="s">
        <v>1853</v>
      </c>
      <c r="D5" s="1312">
        <v>20000</v>
      </c>
      <c r="E5" s="1312">
        <v>20000</v>
      </c>
      <c r="F5" s="1312">
        <f>+[3]Správa!$B$12</f>
        <v>20000</v>
      </c>
      <c r="G5" s="1313">
        <f>+F5-E5</f>
        <v>0</v>
      </c>
      <c r="H5" s="1343"/>
      <c r="I5" s="1344"/>
    </row>
    <row r="6" spans="1:10" ht="15.75" customHeight="1" outlineLevel="1" x14ac:dyDescent="0.25">
      <c r="A6" s="1910">
        <v>6171</v>
      </c>
      <c r="B6" s="1315">
        <v>5171</v>
      </c>
      <c r="C6" s="1316" t="s">
        <v>1893</v>
      </c>
      <c r="D6" s="1317">
        <v>420000</v>
      </c>
      <c r="E6" s="1317">
        <v>420000</v>
      </c>
      <c r="F6" s="1317">
        <f>[2]Správa!$B$69</f>
        <v>420000</v>
      </c>
      <c r="G6" s="1318">
        <f t="shared" ref="G6:G68" si="0">+F6-E6</f>
        <v>0</v>
      </c>
      <c r="H6" s="1343"/>
      <c r="I6" s="1344"/>
    </row>
    <row r="7" spans="1:10" ht="15.75" customHeight="1" outlineLevel="1" x14ac:dyDescent="0.25">
      <c r="A7" s="1910">
        <v>6171</v>
      </c>
      <c r="B7" s="1315">
        <v>5171</v>
      </c>
      <c r="C7" s="1316" t="s">
        <v>1894</v>
      </c>
      <c r="D7" s="1317">
        <v>30000</v>
      </c>
      <c r="E7" s="1317">
        <v>30000</v>
      </c>
      <c r="F7" s="1317">
        <f>[2]Správa!$B$70</f>
        <v>30000</v>
      </c>
      <c r="G7" s="1318">
        <f t="shared" si="0"/>
        <v>0</v>
      </c>
      <c r="H7" s="1343"/>
      <c r="I7" s="1344"/>
    </row>
    <row r="8" spans="1:10" s="1349" customFormat="1" ht="16.5" customHeight="1" thickBot="1" x14ac:dyDescent="0.3">
      <c r="A8" s="2748" t="s">
        <v>214</v>
      </c>
      <c r="B8" s="2749"/>
      <c r="C8" s="1918"/>
      <c r="D8" s="1919">
        <v>470000</v>
      </c>
      <c r="E8" s="1919">
        <v>470000</v>
      </c>
      <c r="F8" s="1919">
        <f t="shared" ref="F8" si="1">SUM(F5:F7)</f>
        <v>470000</v>
      </c>
      <c r="G8" s="1920">
        <f t="shared" si="0"/>
        <v>0</v>
      </c>
      <c r="H8" s="1346">
        <f>'Výdaje kapitol celkem'!O35</f>
        <v>470000</v>
      </c>
      <c r="I8" s="1347">
        <f>+H8-F8</f>
        <v>0</v>
      </c>
      <c r="J8" s="1348"/>
    </row>
    <row r="9" spans="1:10" ht="15.75" customHeight="1" outlineLevel="1" x14ac:dyDescent="0.25">
      <c r="A9" s="1909">
        <v>4351</v>
      </c>
      <c r="B9" s="1310">
        <v>5171</v>
      </c>
      <c r="C9" s="1311" t="s">
        <v>1895</v>
      </c>
      <c r="D9" s="1312">
        <v>40000</v>
      </c>
      <c r="E9" s="1312">
        <v>40000</v>
      </c>
      <c r="F9" s="1312">
        <f>'[2]Pečovatelská služba'!$B$60</f>
        <v>40000</v>
      </c>
      <c r="G9" s="1313">
        <f t="shared" si="0"/>
        <v>0</v>
      </c>
      <c r="H9" s="1343"/>
      <c r="I9" s="1347"/>
      <c r="J9" s="1348"/>
    </row>
    <row r="10" spans="1:10" ht="15.75" customHeight="1" outlineLevel="1" x14ac:dyDescent="0.25">
      <c r="A10" s="1910">
        <v>4351</v>
      </c>
      <c r="B10" s="1315">
        <v>5171</v>
      </c>
      <c r="C10" s="1316" t="s">
        <v>1896</v>
      </c>
      <c r="D10" s="1317">
        <v>20000</v>
      </c>
      <c r="E10" s="1317">
        <v>20000</v>
      </c>
      <c r="F10" s="1317">
        <f>'[2]Pečovatelská služba'!$B$61</f>
        <v>20000</v>
      </c>
      <c r="G10" s="1318">
        <f t="shared" si="0"/>
        <v>0</v>
      </c>
      <c r="H10" s="1343"/>
      <c r="I10" s="1347"/>
      <c r="J10" s="1348"/>
    </row>
    <row r="11" spans="1:10" ht="15.75" customHeight="1" outlineLevel="1" x14ac:dyDescent="0.25">
      <c r="A11" s="1910">
        <v>4351</v>
      </c>
      <c r="B11" s="1315">
        <v>5171</v>
      </c>
      <c r="C11" s="1316"/>
      <c r="D11" s="1320"/>
      <c r="E11" s="1320"/>
      <c r="F11" s="1320"/>
      <c r="G11" s="1321">
        <f t="shared" si="0"/>
        <v>0</v>
      </c>
      <c r="H11" s="1343"/>
      <c r="I11" s="1347"/>
      <c r="J11" s="1348"/>
    </row>
    <row r="12" spans="1:10" s="1349" customFormat="1" ht="25.5" customHeight="1" thickBot="1" x14ac:dyDescent="0.3">
      <c r="A12" s="2748" t="s">
        <v>215</v>
      </c>
      <c r="B12" s="2749"/>
      <c r="C12" s="1918"/>
      <c r="D12" s="1919">
        <v>60000</v>
      </c>
      <c r="E12" s="1919">
        <v>60000</v>
      </c>
      <c r="F12" s="1919">
        <f t="shared" ref="F12" si="2">SUM(F9:F11)</f>
        <v>60000</v>
      </c>
      <c r="G12" s="1920">
        <f t="shared" si="0"/>
        <v>0</v>
      </c>
      <c r="H12" s="1346">
        <f>'Výdaje kapitol celkem'!T35</f>
        <v>60000</v>
      </c>
      <c r="I12" s="1347">
        <f>+H12-F12</f>
        <v>0</v>
      </c>
      <c r="J12" s="1348"/>
    </row>
    <row r="13" spans="1:10" ht="15.75" customHeight="1" outlineLevel="1" x14ac:dyDescent="0.25">
      <c r="A13" s="1909" t="s">
        <v>198</v>
      </c>
      <c r="B13" s="1310">
        <v>5171</v>
      </c>
      <c r="C13" s="1311" t="s">
        <v>1897</v>
      </c>
      <c r="D13" s="1312">
        <v>100000</v>
      </c>
      <c r="E13" s="1312">
        <v>100000</v>
      </c>
      <c r="F13" s="1312">
        <f>'[2]Městská policie'!$B$85</f>
        <v>100000</v>
      </c>
      <c r="G13" s="1313">
        <f t="shared" si="0"/>
        <v>0</v>
      </c>
      <c r="H13" s="1343"/>
      <c r="I13" s="1347"/>
      <c r="J13" s="1348"/>
    </row>
    <row r="14" spans="1:10" ht="15.75" customHeight="1" outlineLevel="1" x14ac:dyDescent="0.25">
      <c r="A14" s="1910" t="s">
        <v>198</v>
      </c>
      <c r="B14" s="1315">
        <v>5171</v>
      </c>
      <c r="C14" s="1316"/>
      <c r="D14" s="1320">
        <v>0</v>
      </c>
      <c r="E14" s="1320">
        <v>15000</v>
      </c>
      <c r="F14" s="1320"/>
      <c r="G14" s="1321">
        <f t="shared" si="0"/>
        <v>-15000</v>
      </c>
      <c r="H14" s="1343"/>
      <c r="I14" s="1347"/>
      <c r="J14" s="1348"/>
    </row>
    <row r="15" spans="1:10" s="1349" customFormat="1" ht="21.95" customHeight="1" thickBot="1" x14ac:dyDescent="0.3">
      <c r="A15" s="2748" t="s">
        <v>1183</v>
      </c>
      <c r="B15" s="2749"/>
      <c r="C15" s="1918"/>
      <c r="D15" s="1919">
        <v>100000</v>
      </c>
      <c r="E15" s="1919">
        <v>115000</v>
      </c>
      <c r="F15" s="1919">
        <f t="shared" ref="F15" si="3">SUM(F13:F14)</f>
        <v>100000</v>
      </c>
      <c r="G15" s="1920">
        <f t="shared" si="0"/>
        <v>-15000</v>
      </c>
      <c r="H15" s="1346">
        <f>'Výdaje kapitol celkem'!V35</f>
        <v>100000</v>
      </c>
      <c r="I15" s="1347">
        <f>+H15-F15</f>
        <v>0</v>
      </c>
      <c r="J15" s="1348"/>
    </row>
    <row r="16" spans="1:10" ht="15.75" customHeight="1" outlineLevel="1" x14ac:dyDescent="0.25">
      <c r="A16" s="1909">
        <v>3314</v>
      </c>
      <c r="B16" s="1310">
        <v>5171</v>
      </c>
      <c r="C16" s="1311"/>
      <c r="D16" s="1312">
        <v>15000</v>
      </c>
      <c r="E16" s="1312">
        <v>15000</v>
      </c>
      <c r="F16" s="1312">
        <f>[2]Knihovna!$B$61</f>
        <v>30000</v>
      </c>
      <c r="G16" s="1313">
        <f t="shared" si="0"/>
        <v>15000</v>
      </c>
      <c r="H16" s="1343"/>
      <c r="I16" s="1347"/>
      <c r="J16" s="1348"/>
    </row>
    <row r="17" spans="1:10" ht="15.75" customHeight="1" outlineLevel="1" x14ac:dyDescent="0.25">
      <c r="A17" s="1910">
        <v>3314</v>
      </c>
      <c r="B17" s="1315">
        <v>5171</v>
      </c>
      <c r="C17" s="1316"/>
      <c r="D17" s="1317">
        <v>0</v>
      </c>
      <c r="E17" s="1317">
        <v>0</v>
      </c>
      <c r="F17" s="1317"/>
      <c r="G17" s="1321">
        <f t="shared" si="0"/>
        <v>0</v>
      </c>
      <c r="H17" s="1343"/>
      <c r="I17" s="1347"/>
      <c r="J17" s="1348"/>
    </row>
    <row r="18" spans="1:10" s="1349" customFormat="1" ht="16.5" customHeight="1" thickBot="1" x14ac:dyDescent="0.3">
      <c r="A18" s="2748" t="s">
        <v>1184</v>
      </c>
      <c r="B18" s="2749"/>
      <c r="C18" s="1918"/>
      <c r="D18" s="1919">
        <v>15000</v>
      </c>
      <c r="E18" s="1919">
        <v>15000</v>
      </c>
      <c r="F18" s="1919">
        <f t="shared" ref="F18" si="4">SUM(F16:F17)</f>
        <v>30000</v>
      </c>
      <c r="G18" s="1920">
        <f t="shared" si="0"/>
        <v>15000</v>
      </c>
      <c r="H18" s="1346">
        <f>'Výdaje kapitol celkem'!Y35</f>
        <v>30000</v>
      </c>
      <c r="I18" s="1347">
        <f>+H18-F18</f>
        <v>0</v>
      </c>
      <c r="J18" s="1348"/>
    </row>
    <row r="19" spans="1:10" ht="24" customHeight="1" outlineLevel="1" x14ac:dyDescent="0.25">
      <c r="A19" s="1909">
        <v>3612</v>
      </c>
      <c r="B19" s="1310">
        <v>5171</v>
      </c>
      <c r="C19" s="1311" t="s">
        <v>1846</v>
      </c>
      <c r="D19" s="1312">
        <v>400000</v>
      </c>
      <c r="E19" s="1312">
        <v>400000</v>
      </c>
      <c r="F19" s="1312">
        <f>+[3]Byty!$B$33</f>
        <v>400000</v>
      </c>
      <c r="G19" s="1313">
        <f t="shared" si="0"/>
        <v>0</v>
      </c>
      <c r="H19" s="1343"/>
      <c r="I19" s="1347"/>
      <c r="J19" s="1348"/>
    </row>
    <row r="20" spans="1:10" ht="15.75" customHeight="1" outlineLevel="1" x14ac:dyDescent="0.25">
      <c r="A20" s="1910">
        <v>3612</v>
      </c>
      <c r="B20" s="1315">
        <v>5171</v>
      </c>
      <c r="C20" s="1316" t="s">
        <v>1847</v>
      </c>
      <c r="D20" s="1317">
        <v>100000</v>
      </c>
      <c r="E20" s="1317">
        <v>100000</v>
      </c>
      <c r="F20" s="1317">
        <f>+[3]Byty!$B$34</f>
        <v>100000</v>
      </c>
      <c r="G20" s="1318">
        <f t="shared" si="0"/>
        <v>0</v>
      </c>
      <c r="H20" s="1343"/>
      <c r="I20" s="1347"/>
      <c r="J20" s="1348"/>
    </row>
    <row r="21" spans="1:10" ht="23.1" customHeight="1" outlineLevel="1" x14ac:dyDescent="0.25">
      <c r="A21" s="1911">
        <v>3612</v>
      </c>
      <c r="B21" s="1351">
        <v>5171</v>
      </c>
      <c r="C21" s="1352" t="s">
        <v>1848</v>
      </c>
      <c r="D21" s="1353">
        <v>50000</v>
      </c>
      <c r="E21" s="1353">
        <v>50000</v>
      </c>
      <c r="F21" s="1353">
        <f>+[3]Byty!$B$35</f>
        <v>50000</v>
      </c>
      <c r="G21" s="1354">
        <f t="shared" si="0"/>
        <v>0</v>
      </c>
      <c r="H21" s="1343"/>
      <c r="I21" s="1347"/>
      <c r="J21" s="1348"/>
    </row>
    <row r="22" spans="1:10" ht="18" customHeight="1" outlineLevel="1" x14ac:dyDescent="0.25">
      <c r="A22" s="1911">
        <v>3612</v>
      </c>
      <c r="B22" s="1351">
        <v>5171</v>
      </c>
      <c r="C22" s="1352" t="s">
        <v>1849</v>
      </c>
      <c r="D22" s="1353">
        <v>160000</v>
      </c>
      <c r="E22" s="1353">
        <v>160000</v>
      </c>
      <c r="F22" s="1353">
        <f>+[3]Byty!$B$36</f>
        <v>160000</v>
      </c>
      <c r="G22" s="1354">
        <f t="shared" si="0"/>
        <v>0</v>
      </c>
      <c r="H22" s="1343"/>
      <c r="I22" s="1347"/>
      <c r="J22" s="1348"/>
    </row>
    <row r="23" spans="1:10" ht="22.5" customHeight="1" outlineLevel="1" x14ac:dyDescent="0.25">
      <c r="A23" s="1911">
        <v>3612</v>
      </c>
      <c r="B23" s="1351">
        <v>5171</v>
      </c>
      <c r="C23" s="1352" t="s">
        <v>1850</v>
      </c>
      <c r="D23" s="1353">
        <v>1000000</v>
      </c>
      <c r="E23" s="1353">
        <v>0</v>
      </c>
      <c r="F23" s="1353">
        <f>+[3]Byty!$B$37</f>
        <v>0</v>
      </c>
      <c r="G23" s="1354">
        <f t="shared" si="0"/>
        <v>0</v>
      </c>
      <c r="H23" s="1343"/>
      <c r="I23" s="1347"/>
      <c r="J23" s="1348"/>
    </row>
    <row r="24" spans="1:10" ht="22.5" customHeight="1" outlineLevel="1" x14ac:dyDescent="0.25">
      <c r="A24" s="1912">
        <v>3612</v>
      </c>
      <c r="B24" s="1351">
        <v>5171</v>
      </c>
      <c r="C24" s="1362" t="s">
        <v>1851</v>
      </c>
      <c r="D24" s="1363">
        <v>400000</v>
      </c>
      <c r="E24" s="1363">
        <v>400000</v>
      </c>
      <c r="F24" s="1363">
        <f>+[3]Byty!$B$38</f>
        <v>400000</v>
      </c>
      <c r="G24" s="1377">
        <f t="shared" si="0"/>
        <v>0</v>
      </c>
      <c r="H24" s="1343"/>
      <c r="I24" s="1347"/>
      <c r="J24" s="1348"/>
    </row>
    <row r="25" spans="1:10" s="1349" customFormat="1" ht="16.5" customHeight="1" thickBot="1" x14ac:dyDescent="0.3">
      <c r="A25" s="2748" t="s">
        <v>201</v>
      </c>
      <c r="B25" s="2749"/>
      <c r="C25" s="1918"/>
      <c r="D25" s="1919">
        <v>2110000</v>
      </c>
      <c r="E25" s="1919">
        <v>1110000</v>
      </c>
      <c r="F25" s="1919">
        <f>SUM(F19:F24)</f>
        <v>1110000</v>
      </c>
      <c r="G25" s="1920">
        <f t="shared" si="0"/>
        <v>0</v>
      </c>
      <c r="H25" s="1346">
        <f>'Výdaje kapitol celkem'!AB35</f>
        <v>1110000</v>
      </c>
      <c r="I25" s="1347">
        <f>+H25-F25</f>
        <v>0</v>
      </c>
      <c r="J25" s="1348"/>
    </row>
    <row r="26" spans="1:10" ht="16.5" customHeight="1" outlineLevel="1" x14ac:dyDescent="0.25">
      <c r="A26" s="1911" t="s">
        <v>200</v>
      </c>
      <c r="B26" s="1351">
        <v>5171</v>
      </c>
      <c r="C26" s="1352" t="s">
        <v>1832</v>
      </c>
      <c r="D26" s="1353">
        <v>600000</v>
      </c>
      <c r="E26" s="1353">
        <v>600000</v>
      </c>
      <c r="F26" s="1353">
        <f>+[3]DPS!$B$34</f>
        <v>600000</v>
      </c>
      <c r="G26" s="1354">
        <f t="shared" si="0"/>
        <v>0</v>
      </c>
      <c r="H26" s="1343"/>
      <c r="I26" s="1347"/>
      <c r="J26" s="1348"/>
    </row>
    <row r="27" spans="1:10" ht="16.5" customHeight="1" outlineLevel="1" x14ac:dyDescent="0.25">
      <c r="A27" s="1911" t="s">
        <v>200</v>
      </c>
      <c r="B27" s="1351">
        <v>5171</v>
      </c>
      <c r="C27" s="1352" t="s">
        <v>1833</v>
      </c>
      <c r="D27" s="1353">
        <v>40000</v>
      </c>
      <c r="E27" s="1353">
        <v>40000</v>
      </c>
      <c r="F27" s="1353">
        <f>+[3]DPS!$B$35</f>
        <v>40000</v>
      </c>
      <c r="G27" s="1354">
        <f t="shared" si="0"/>
        <v>0</v>
      </c>
      <c r="H27" s="1343"/>
      <c r="I27" s="1347"/>
      <c r="J27" s="1348"/>
    </row>
    <row r="28" spans="1:10" ht="26.25" customHeight="1" outlineLevel="1" x14ac:dyDescent="0.25">
      <c r="A28" s="1911" t="s">
        <v>200</v>
      </c>
      <c r="B28" s="1351">
        <v>5171</v>
      </c>
      <c r="C28" s="1352" t="s">
        <v>1834</v>
      </c>
      <c r="D28" s="1353">
        <v>600000</v>
      </c>
      <c r="E28" s="1353">
        <v>600000</v>
      </c>
      <c r="F28" s="1353">
        <f>+[3]DPS!$B$36</f>
        <v>600000</v>
      </c>
      <c r="G28" s="1354">
        <f t="shared" si="0"/>
        <v>0</v>
      </c>
      <c r="H28" s="1343"/>
      <c r="I28" s="1347"/>
      <c r="J28" s="1348"/>
    </row>
    <row r="29" spans="1:10" ht="16.5" customHeight="1" outlineLevel="1" x14ac:dyDescent="0.25">
      <c r="A29" s="1911" t="s">
        <v>200</v>
      </c>
      <c r="B29" s="1351">
        <v>5171</v>
      </c>
      <c r="C29" s="1352" t="s">
        <v>1835</v>
      </c>
      <c r="D29" s="1353">
        <v>1000000</v>
      </c>
      <c r="E29" s="1353">
        <v>0</v>
      </c>
      <c r="F29" s="1353">
        <f>+[3]DPS!$B$37</f>
        <v>0</v>
      </c>
      <c r="G29" s="1354">
        <f t="shared" si="0"/>
        <v>0</v>
      </c>
      <c r="H29" s="1343"/>
      <c r="I29" s="1347"/>
      <c r="J29" s="1348"/>
    </row>
    <row r="30" spans="1:10" ht="16.5" customHeight="1" thickBot="1" x14ac:dyDescent="0.3">
      <c r="A30" s="2748" t="s">
        <v>202</v>
      </c>
      <c r="B30" s="2749"/>
      <c r="C30" s="1918"/>
      <c r="D30" s="1919">
        <v>2240000</v>
      </c>
      <c r="E30" s="1919">
        <v>1240000</v>
      </c>
      <c r="F30" s="1919">
        <f t="shared" ref="F30" si="5">SUM(F26:F29)</f>
        <v>1240000</v>
      </c>
      <c r="G30" s="1920">
        <f t="shared" si="0"/>
        <v>0</v>
      </c>
      <c r="H30" s="1346">
        <f>'Výdaje kapitol celkem'!AE35</f>
        <v>1240000</v>
      </c>
      <c r="I30" s="1347">
        <f>+H30-F30</f>
        <v>0</v>
      </c>
      <c r="J30" s="1348"/>
    </row>
    <row r="31" spans="1:10" ht="16.5" customHeight="1" outlineLevel="1" x14ac:dyDescent="0.25">
      <c r="A31" s="1910" t="s">
        <v>1262</v>
      </c>
      <c r="B31" s="1315">
        <v>5171</v>
      </c>
      <c r="C31" s="1316" t="s">
        <v>1844</v>
      </c>
      <c r="D31" s="1317">
        <v>500000</v>
      </c>
      <c r="E31" s="1317">
        <v>500000</v>
      </c>
      <c r="F31" s="1317">
        <f>+'[3]Hotel Budka'!$B$26</f>
        <v>500000</v>
      </c>
      <c r="G31" s="1318">
        <f t="shared" si="0"/>
        <v>0</v>
      </c>
      <c r="H31" s="1343"/>
      <c r="I31" s="1347"/>
      <c r="J31" s="1348"/>
    </row>
    <row r="32" spans="1:10" ht="16.5" customHeight="1" outlineLevel="1" x14ac:dyDescent="0.25">
      <c r="A32" s="1911" t="s">
        <v>1262</v>
      </c>
      <c r="B32" s="1351">
        <v>5171</v>
      </c>
      <c r="C32" s="1352"/>
      <c r="D32" s="1353">
        <v>0</v>
      </c>
      <c r="E32" s="1353">
        <v>0</v>
      </c>
      <c r="F32" s="1353">
        <f>+'[3]Hotel Budka'!$B$27</f>
        <v>0</v>
      </c>
      <c r="G32" s="1354">
        <f t="shared" si="0"/>
        <v>0</v>
      </c>
      <c r="H32" s="1343"/>
      <c r="I32" s="1347"/>
      <c r="J32" s="1348"/>
    </row>
    <row r="33" spans="1:10" ht="16.5" customHeight="1" outlineLevel="1" x14ac:dyDescent="0.25">
      <c r="A33" s="1911" t="s">
        <v>1262</v>
      </c>
      <c r="B33" s="1351">
        <v>5171</v>
      </c>
      <c r="C33" s="1362"/>
      <c r="D33" s="1363">
        <v>0</v>
      </c>
      <c r="E33" s="1363">
        <v>0</v>
      </c>
      <c r="F33" s="1363">
        <f>+'[3]Hotel Budka'!$B$28</f>
        <v>0</v>
      </c>
      <c r="G33" s="1377">
        <f t="shared" si="0"/>
        <v>0</v>
      </c>
      <c r="H33" s="1343"/>
      <c r="I33" s="1347"/>
      <c r="J33" s="1348"/>
    </row>
    <row r="34" spans="1:10" ht="16.5" customHeight="1" thickBot="1" x14ac:dyDescent="0.3">
      <c r="A34" s="2748" t="s">
        <v>1450</v>
      </c>
      <c r="B34" s="2749"/>
      <c r="C34" s="1918"/>
      <c r="D34" s="1919">
        <v>500000</v>
      </c>
      <c r="E34" s="1919">
        <v>500000</v>
      </c>
      <c r="F34" s="1919">
        <f t="shared" ref="F34" si="6">SUM(F31:F33)</f>
        <v>500000</v>
      </c>
      <c r="G34" s="1920">
        <f t="shared" si="0"/>
        <v>0</v>
      </c>
      <c r="H34" s="1346">
        <f>'Výdaje kapitol celkem'!X35</f>
        <v>500000</v>
      </c>
      <c r="I34" s="1347">
        <f>+H34-F34</f>
        <v>0</v>
      </c>
      <c r="J34" s="1348"/>
    </row>
    <row r="35" spans="1:10" outlineLevel="1" x14ac:dyDescent="0.25">
      <c r="A35" s="1910">
        <v>3613</v>
      </c>
      <c r="B35" s="1315">
        <v>5171</v>
      </c>
      <c r="C35" s="1316" t="s">
        <v>1838</v>
      </c>
      <c r="D35" s="1317">
        <v>150000</v>
      </c>
      <c r="E35" s="1317">
        <v>150000</v>
      </c>
      <c r="F35" s="1317">
        <f>+[3]Nebyty!$B$12</f>
        <v>150000</v>
      </c>
      <c r="G35" s="1318">
        <f t="shared" si="0"/>
        <v>0</v>
      </c>
      <c r="H35" s="1343"/>
      <c r="I35" s="1347"/>
      <c r="J35" s="1348"/>
    </row>
    <row r="36" spans="1:10" ht="16.5" customHeight="1" outlineLevel="1" x14ac:dyDescent="0.25">
      <c r="A36" s="1911">
        <v>3613</v>
      </c>
      <c r="B36" s="1351">
        <v>5171</v>
      </c>
      <c r="C36" s="1352" t="s">
        <v>1839</v>
      </c>
      <c r="D36" s="1353">
        <v>50000</v>
      </c>
      <c r="E36" s="1353">
        <v>50000</v>
      </c>
      <c r="F36" s="1353">
        <f>+[3]Nebyty!$B$13</f>
        <v>50000</v>
      </c>
      <c r="G36" s="1354">
        <f t="shared" si="0"/>
        <v>0</v>
      </c>
      <c r="H36" s="1343"/>
      <c r="I36" s="1347"/>
      <c r="J36" s="1348"/>
    </row>
    <row r="37" spans="1:10" ht="16.5" customHeight="1" outlineLevel="1" x14ac:dyDescent="0.25">
      <c r="A37" s="1911">
        <v>3613</v>
      </c>
      <c r="B37" s="1351">
        <v>5171</v>
      </c>
      <c r="C37" s="1362" t="s">
        <v>1840</v>
      </c>
      <c r="D37" s="1363">
        <v>400000</v>
      </c>
      <c r="E37" s="1363">
        <v>550000</v>
      </c>
      <c r="F37" s="1363">
        <f>+[3]Nebyty!$B$14</f>
        <v>550000</v>
      </c>
      <c r="G37" s="1377">
        <f t="shared" si="0"/>
        <v>0</v>
      </c>
      <c r="H37" s="1343"/>
      <c r="I37" s="1347"/>
      <c r="J37" s="1348"/>
    </row>
    <row r="38" spans="1:10" ht="16.5" customHeight="1" outlineLevel="1" x14ac:dyDescent="0.25">
      <c r="A38" s="1911">
        <v>3613</v>
      </c>
      <c r="B38" s="1351">
        <v>5171</v>
      </c>
      <c r="C38" s="1362" t="s">
        <v>1841</v>
      </c>
      <c r="D38" s="1363">
        <v>2000000</v>
      </c>
      <c r="E38" s="1363">
        <v>0</v>
      </c>
      <c r="F38" s="1363">
        <f>+[3]Nebyty!$B$15</f>
        <v>2500000</v>
      </c>
      <c r="G38" s="1377">
        <f t="shared" si="0"/>
        <v>2500000</v>
      </c>
      <c r="H38" s="1343"/>
      <c r="I38" s="1347"/>
      <c r="J38" s="1348"/>
    </row>
    <row r="39" spans="1:10" ht="16.5" customHeight="1" outlineLevel="1" x14ac:dyDescent="0.25">
      <c r="A39" s="1911">
        <v>3613</v>
      </c>
      <c r="B39" s="1351">
        <v>5171</v>
      </c>
      <c r="C39" s="1362" t="s">
        <v>1842</v>
      </c>
      <c r="D39" s="1363">
        <v>0</v>
      </c>
      <c r="E39" s="1363">
        <v>850000</v>
      </c>
      <c r="F39" s="1363">
        <f>+[3]Nebyty!$B$16</f>
        <v>850000</v>
      </c>
      <c r="G39" s="1377">
        <f t="shared" si="0"/>
        <v>0</v>
      </c>
      <c r="H39" s="1343"/>
      <c r="I39" s="1347"/>
      <c r="J39" s="1348"/>
    </row>
    <row r="40" spans="1:10" ht="16.5" customHeight="1" outlineLevel="1" x14ac:dyDescent="0.25">
      <c r="A40" s="1911">
        <v>3613</v>
      </c>
      <c r="B40" s="1351">
        <v>5171</v>
      </c>
      <c r="C40" s="1362" t="s">
        <v>1843</v>
      </c>
      <c r="D40" s="1363">
        <v>200000</v>
      </c>
      <c r="E40" s="1363">
        <v>50000</v>
      </c>
      <c r="F40" s="1363">
        <f>+[3]Nebyty!$B$17</f>
        <v>190000</v>
      </c>
      <c r="G40" s="1377">
        <f t="shared" si="0"/>
        <v>140000</v>
      </c>
      <c r="H40" s="1343"/>
      <c r="I40" s="1347"/>
      <c r="J40" s="1348"/>
    </row>
    <row r="41" spans="1:10" ht="16.5" customHeight="1" thickBot="1" x14ac:dyDescent="0.3">
      <c r="A41" s="2748" t="s">
        <v>203</v>
      </c>
      <c r="B41" s="2749"/>
      <c r="C41" s="1918"/>
      <c r="D41" s="1919">
        <v>2800000</v>
      </c>
      <c r="E41" s="1919">
        <v>1650000</v>
      </c>
      <c r="F41" s="1919">
        <f t="shared" ref="F41" si="7">SUM(F35:F40)</f>
        <v>4290000</v>
      </c>
      <c r="G41" s="1920">
        <f t="shared" si="0"/>
        <v>2640000</v>
      </c>
      <c r="H41" s="1346">
        <f>'Výdaje kapitol celkem'!AH35</f>
        <v>4290000</v>
      </c>
      <c r="I41" s="1347">
        <f>+H41-F41</f>
        <v>0</v>
      </c>
      <c r="J41" s="1348"/>
    </row>
    <row r="42" spans="1:10" ht="20.25" customHeight="1" outlineLevel="1" x14ac:dyDescent="0.25">
      <c r="A42" s="1910">
        <v>5512</v>
      </c>
      <c r="B42" s="1315">
        <v>5171</v>
      </c>
      <c r="C42" s="1316" t="s">
        <v>1801</v>
      </c>
      <c r="D42" s="1317">
        <v>150000</v>
      </c>
      <c r="E42" s="1317">
        <v>150000</v>
      </c>
      <c r="F42" s="1317">
        <f>+[3]Hasiči!$B$26</f>
        <v>150000</v>
      </c>
      <c r="G42" s="1318">
        <f t="shared" si="0"/>
        <v>0</v>
      </c>
      <c r="H42" s="1343"/>
      <c r="I42" s="1347"/>
      <c r="J42" s="1348"/>
    </row>
    <row r="43" spans="1:10" ht="20.25" customHeight="1" outlineLevel="1" x14ac:dyDescent="0.25">
      <c r="A43" s="1911">
        <v>5512</v>
      </c>
      <c r="B43" s="1351">
        <v>5171</v>
      </c>
      <c r="C43" s="1352" t="s">
        <v>1856</v>
      </c>
      <c r="D43" s="1353">
        <v>60000</v>
      </c>
      <c r="E43" s="1353">
        <v>60000</v>
      </c>
      <c r="F43" s="1353">
        <f>[2]Hasiči!$B$62</f>
        <v>60000</v>
      </c>
      <c r="G43" s="1318">
        <f t="shared" si="0"/>
        <v>0</v>
      </c>
      <c r="H43" s="1343"/>
      <c r="I43" s="1347"/>
      <c r="J43" s="1348"/>
    </row>
    <row r="44" spans="1:10" ht="20.25" customHeight="1" outlineLevel="1" x14ac:dyDescent="0.25">
      <c r="A44" s="1911">
        <v>5512</v>
      </c>
      <c r="B44" s="1351">
        <v>5171</v>
      </c>
      <c r="C44" s="1352" t="s">
        <v>1857</v>
      </c>
      <c r="D44" s="1353">
        <v>50000</v>
      </c>
      <c r="E44" s="1353">
        <v>50000</v>
      </c>
      <c r="F44" s="1353">
        <f>[2]Hasiči!$B$63</f>
        <v>50000</v>
      </c>
      <c r="G44" s="1318">
        <f t="shared" si="0"/>
        <v>0</v>
      </c>
      <c r="H44" s="1343"/>
      <c r="I44" s="1347"/>
      <c r="J44" s="1348"/>
    </row>
    <row r="45" spans="1:10" ht="20.25" customHeight="1" outlineLevel="1" x14ac:dyDescent="0.25">
      <c r="A45" s="1911">
        <v>5512</v>
      </c>
      <c r="B45" s="1351">
        <v>5171</v>
      </c>
      <c r="C45" s="1352"/>
      <c r="D45" s="1353"/>
      <c r="E45" s="1353"/>
      <c r="F45" s="1353"/>
      <c r="G45" s="1354">
        <f t="shared" si="0"/>
        <v>0</v>
      </c>
      <c r="H45" s="1343"/>
      <c r="I45" s="1347"/>
      <c r="J45" s="1348"/>
    </row>
    <row r="46" spans="1:10" ht="20.25" customHeight="1" thickBot="1" x14ac:dyDescent="0.3">
      <c r="A46" s="2748" t="s">
        <v>204</v>
      </c>
      <c r="B46" s="2749"/>
      <c r="C46" s="1918"/>
      <c r="D46" s="1919">
        <v>260000</v>
      </c>
      <c r="E46" s="1919">
        <v>260000</v>
      </c>
      <c r="F46" s="1919">
        <f>SUM(F42:F45)</f>
        <v>260000</v>
      </c>
      <c r="G46" s="1920">
        <f t="shared" si="0"/>
        <v>0</v>
      </c>
      <c r="H46" s="1346">
        <f>'Výdaje kapitol celkem'!AK35</f>
        <v>260000</v>
      </c>
      <c r="I46" s="1347">
        <f>+H46-F46</f>
        <v>0</v>
      </c>
      <c r="J46" s="1348"/>
    </row>
    <row r="47" spans="1:10" ht="20.25" customHeight="1" outlineLevel="1" x14ac:dyDescent="0.25">
      <c r="A47" s="1910">
        <v>3519</v>
      </c>
      <c r="B47" s="1315">
        <v>5171</v>
      </c>
      <c r="C47" s="1316" t="s">
        <v>1828</v>
      </c>
      <c r="D47" s="1317">
        <v>150000</v>
      </c>
      <c r="E47" s="1317">
        <v>150000</v>
      </c>
      <c r="F47" s="1317">
        <f>+'[3]Zdrav. středisko'!$B$12</f>
        <v>150000</v>
      </c>
      <c r="G47" s="1318">
        <f t="shared" si="0"/>
        <v>0</v>
      </c>
      <c r="H47" s="1343"/>
      <c r="I47" s="1347"/>
      <c r="J47" s="1348"/>
    </row>
    <row r="48" spans="1:10" ht="18.600000000000001" customHeight="1" outlineLevel="1" x14ac:dyDescent="0.25">
      <c r="A48" s="1911">
        <v>3519</v>
      </c>
      <c r="B48" s="1351">
        <v>5171</v>
      </c>
      <c r="C48" s="1352" t="s">
        <v>1829</v>
      </c>
      <c r="D48" s="1353">
        <v>250000</v>
      </c>
      <c r="E48" s="1353">
        <v>250000</v>
      </c>
      <c r="F48" s="1353">
        <f>+'[3]Zdrav. středisko'!$B$13</f>
        <v>250000</v>
      </c>
      <c r="G48" s="1354">
        <f t="shared" si="0"/>
        <v>0</v>
      </c>
      <c r="H48" s="1343"/>
      <c r="I48" s="1347"/>
      <c r="J48" s="1348"/>
    </row>
    <row r="49" spans="1:10" ht="23.45" customHeight="1" collapsed="1" thickBot="1" x14ac:dyDescent="0.3">
      <c r="A49" s="2748" t="s">
        <v>205</v>
      </c>
      <c r="B49" s="2749"/>
      <c r="C49" s="1918"/>
      <c r="D49" s="1919">
        <v>400000</v>
      </c>
      <c r="E49" s="1919">
        <v>400000</v>
      </c>
      <c r="F49" s="1919">
        <f t="shared" ref="F49" si="8">SUM(F47:F48)</f>
        <v>400000</v>
      </c>
      <c r="G49" s="1920">
        <f t="shared" si="0"/>
        <v>0</v>
      </c>
      <c r="H49" s="1346">
        <f>'Výdaje kapitol celkem'!AL35</f>
        <v>400000</v>
      </c>
      <c r="I49" s="1347">
        <f>+H49-F49</f>
        <v>0</v>
      </c>
      <c r="J49" s="1348"/>
    </row>
    <row r="50" spans="1:10" ht="20.25" hidden="1" customHeight="1" outlineLevel="1" x14ac:dyDescent="0.25">
      <c r="A50" s="1910">
        <v>3429</v>
      </c>
      <c r="B50" s="1315">
        <v>5171</v>
      </c>
      <c r="C50" s="1316"/>
      <c r="D50" s="1317">
        <v>0</v>
      </c>
      <c r="E50" s="1317">
        <v>0</v>
      </c>
      <c r="F50" s="1317">
        <f>+[3]Tesko!$B$12</f>
        <v>0</v>
      </c>
      <c r="G50" s="1318">
        <f t="shared" si="0"/>
        <v>0</v>
      </c>
      <c r="H50" s="1343"/>
      <c r="I50" s="1347"/>
      <c r="J50" s="1348"/>
    </row>
    <row r="51" spans="1:10" ht="20.25" hidden="1" customHeight="1" outlineLevel="1" x14ac:dyDescent="0.25">
      <c r="A51" s="1910">
        <v>3429</v>
      </c>
      <c r="B51" s="1315">
        <v>5171</v>
      </c>
      <c r="C51" s="1316"/>
      <c r="D51" s="1317">
        <v>0</v>
      </c>
      <c r="E51" s="1317">
        <v>0</v>
      </c>
      <c r="F51" s="1317">
        <f>+[3]Tesko!$B$13</f>
        <v>0</v>
      </c>
      <c r="G51" s="1318">
        <f t="shared" si="0"/>
        <v>0</v>
      </c>
      <c r="H51" s="1343"/>
      <c r="I51" s="1347"/>
      <c r="J51" s="1348"/>
    </row>
    <row r="52" spans="1:10" ht="20.25" customHeight="1" thickBot="1" x14ac:dyDescent="0.3">
      <c r="A52" s="2748" t="s">
        <v>1215</v>
      </c>
      <c r="B52" s="2749"/>
      <c r="C52" s="1918"/>
      <c r="D52" s="1919">
        <v>0</v>
      </c>
      <c r="E52" s="1919">
        <v>0</v>
      </c>
      <c r="F52" s="1919">
        <f t="shared" ref="F52" si="9">SUM(F50:F51)</f>
        <v>0</v>
      </c>
      <c r="G52" s="1920">
        <f t="shared" si="0"/>
        <v>0</v>
      </c>
      <c r="H52" s="1346">
        <f>'Výdaje kapitol celkem'!AM35</f>
        <v>0</v>
      </c>
      <c r="I52" s="1347">
        <f>+H52-F52</f>
        <v>0</v>
      </c>
      <c r="J52" s="1348"/>
    </row>
    <row r="53" spans="1:10" ht="20.25" customHeight="1" outlineLevel="1" x14ac:dyDescent="0.25">
      <c r="A53" s="1910">
        <v>3632</v>
      </c>
      <c r="B53" s="1315">
        <v>5171</v>
      </c>
      <c r="C53" s="1316" t="s">
        <v>1827</v>
      </c>
      <c r="D53" s="1317">
        <v>100000</v>
      </c>
      <c r="E53" s="1317">
        <v>100000</v>
      </c>
      <c r="F53" s="1317">
        <f>+[3]Hřbitov!$B$26</f>
        <v>100000</v>
      </c>
      <c r="G53" s="1318">
        <f t="shared" si="0"/>
        <v>0</v>
      </c>
      <c r="H53" s="1343"/>
      <c r="I53" s="1347"/>
      <c r="J53" s="1348"/>
    </row>
    <row r="54" spans="1:10" ht="20.25" customHeight="1" outlineLevel="1" x14ac:dyDescent="0.25">
      <c r="A54" s="1910">
        <v>3632</v>
      </c>
      <c r="B54" s="1315">
        <v>5171</v>
      </c>
      <c r="C54" s="1316"/>
      <c r="D54" s="1317">
        <v>0</v>
      </c>
      <c r="E54" s="1317">
        <v>0</v>
      </c>
      <c r="F54" s="1317">
        <f>+[3]Hřbitov!$B$27</f>
        <v>0</v>
      </c>
      <c r="G54" s="1318">
        <f t="shared" si="0"/>
        <v>0</v>
      </c>
      <c r="H54" s="1343"/>
      <c r="I54" s="1347">
        <f>+H54-F54</f>
        <v>0</v>
      </c>
      <c r="J54" s="1348"/>
    </row>
    <row r="55" spans="1:10" ht="26.45" customHeight="1" thickBot="1" x14ac:dyDescent="0.3">
      <c r="A55" s="2748" t="s">
        <v>254</v>
      </c>
      <c r="B55" s="2749"/>
      <c r="C55" s="1918"/>
      <c r="D55" s="1919">
        <v>100000</v>
      </c>
      <c r="E55" s="1919">
        <v>100000</v>
      </c>
      <c r="F55" s="1919">
        <f t="shared" ref="F55" si="10">SUM(F53:F54)</f>
        <v>100000</v>
      </c>
      <c r="G55" s="1920">
        <f t="shared" si="0"/>
        <v>0</v>
      </c>
      <c r="H55" s="1346">
        <f>'Výdaje kapitol celkem'!AN35</f>
        <v>100000</v>
      </c>
      <c r="I55" s="1347">
        <f>+H55-F55</f>
        <v>0</v>
      </c>
      <c r="J55" s="1348"/>
    </row>
    <row r="56" spans="1:10" ht="25.5" customHeight="1" outlineLevel="1" x14ac:dyDescent="0.25">
      <c r="A56" s="1910">
        <v>3412</v>
      </c>
      <c r="B56" s="1315">
        <v>5171</v>
      </c>
      <c r="C56" s="1316" t="s">
        <v>1825</v>
      </c>
      <c r="D56" s="1317">
        <v>200000</v>
      </c>
      <c r="E56" s="1317">
        <v>200000</v>
      </c>
      <c r="F56" s="1317">
        <f>+[3]koupaliště!$B$22</f>
        <v>200000</v>
      </c>
      <c r="G56" s="1318">
        <f t="shared" si="0"/>
        <v>0</v>
      </c>
      <c r="H56" s="1343"/>
      <c r="I56" s="1347"/>
      <c r="J56" s="1348"/>
    </row>
    <row r="57" spans="1:10" ht="18" customHeight="1" outlineLevel="1" x14ac:dyDescent="0.25">
      <c r="A57" s="1911">
        <v>3412</v>
      </c>
      <c r="B57" s="1351">
        <v>5171</v>
      </c>
      <c r="C57" s="1316" t="s">
        <v>1826</v>
      </c>
      <c r="D57" s="1317">
        <v>500000</v>
      </c>
      <c r="E57" s="1317">
        <v>500000</v>
      </c>
      <c r="F57" s="1317">
        <f>+[3]koupaliště!$B$23</f>
        <v>0</v>
      </c>
      <c r="G57" s="1318">
        <f t="shared" si="0"/>
        <v>-500000</v>
      </c>
      <c r="H57" s="1346"/>
      <c r="I57" s="1347"/>
      <c r="J57" s="1348"/>
    </row>
    <row r="58" spans="1:10" ht="18" customHeight="1" outlineLevel="1" x14ac:dyDescent="0.25">
      <c r="A58" s="1911">
        <v>3412</v>
      </c>
      <c r="B58" s="1351">
        <v>5171</v>
      </c>
      <c r="C58" s="1316"/>
      <c r="D58" s="1317"/>
      <c r="E58" s="1317"/>
      <c r="F58" s="1317"/>
      <c r="G58" s="1318">
        <f t="shared" si="0"/>
        <v>0</v>
      </c>
      <c r="H58" s="1343"/>
      <c r="I58" s="1347"/>
      <c r="J58" s="1348"/>
    </row>
    <row r="59" spans="1:10" ht="20.25" customHeight="1" thickBot="1" x14ac:dyDescent="0.3">
      <c r="A59" s="2748" t="s">
        <v>1193</v>
      </c>
      <c r="B59" s="2749">
        <v>5171</v>
      </c>
      <c r="C59" s="1918"/>
      <c r="D59" s="1919">
        <v>700000</v>
      </c>
      <c r="E59" s="1919">
        <v>700000</v>
      </c>
      <c r="F59" s="1919">
        <f t="shared" ref="F59" si="11">SUM(F56:F58)</f>
        <v>200000</v>
      </c>
      <c r="G59" s="1920">
        <f t="shared" si="0"/>
        <v>-500000</v>
      </c>
      <c r="H59" s="1346">
        <f>'Výdaje kapitol celkem'!AQ35</f>
        <v>200000</v>
      </c>
      <c r="I59" s="1347">
        <f>+H59-F59</f>
        <v>0</v>
      </c>
      <c r="J59" s="1348"/>
    </row>
    <row r="60" spans="1:10" ht="25.5" customHeight="1" outlineLevel="1" x14ac:dyDescent="0.25">
      <c r="A60" s="1910" t="s">
        <v>1188</v>
      </c>
      <c r="B60" s="1315">
        <v>5171</v>
      </c>
      <c r="C60" s="1316" t="s">
        <v>1822</v>
      </c>
      <c r="D60" s="1317">
        <v>200000</v>
      </c>
      <c r="E60" s="1317">
        <v>200000</v>
      </c>
      <c r="F60" s="1317">
        <f>+[3]Hřiště!$B$22</f>
        <v>200000</v>
      </c>
      <c r="G60" s="1318">
        <f t="shared" si="0"/>
        <v>0</v>
      </c>
      <c r="H60" s="1343"/>
      <c r="I60" s="1347"/>
      <c r="J60" s="1348"/>
    </row>
    <row r="61" spans="1:10" ht="18" customHeight="1" outlineLevel="1" x14ac:dyDescent="0.25">
      <c r="A61" s="1911" t="s">
        <v>1188</v>
      </c>
      <c r="B61" s="1351">
        <v>5171</v>
      </c>
      <c r="C61" s="1316" t="s">
        <v>1823</v>
      </c>
      <c r="D61" s="1317">
        <v>80000</v>
      </c>
      <c r="E61" s="1317">
        <v>80000</v>
      </c>
      <c r="F61" s="1317">
        <f>+[3]Hřiště!$B$23</f>
        <v>80000</v>
      </c>
      <c r="G61" s="1318">
        <f t="shared" si="0"/>
        <v>0</v>
      </c>
      <c r="H61" s="1343"/>
      <c r="I61" s="1347"/>
      <c r="J61" s="1348"/>
    </row>
    <row r="62" spans="1:10" ht="18" customHeight="1" outlineLevel="1" x14ac:dyDescent="0.25">
      <c r="A62" s="1911" t="s">
        <v>1188</v>
      </c>
      <c r="B62" s="1351">
        <v>5171</v>
      </c>
      <c r="C62" s="1316"/>
      <c r="D62" s="1317"/>
      <c r="E62" s="1317"/>
      <c r="F62" s="1317"/>
      <c r="G62" s="1318">
        <f t="shared" si="0"/>
        <v>0</v>
      </c>
      <c r="H62" s="1343"/>
      <c r="I62" s="1347"/>
      <c r="J62" s="1348"/>
    </row>
    <row r="63" spans="1:10" ht="20.25" customHeight="1" collapsed="1" thickBot="1" x14ac:dyDescent="0.3">
      <c r="A63" s="2748" t="s">
        <v>1192</v>
      </c>
      <c r="B63" s="2749">
        <v>5171</v>
      </c>
      <c r="C63" s="1918"/>
      <c r="D63" s="1919">
        <v>280000</v>
      </c>
      <c r="E63" s="1919">
        <v>280000</v>
      </c>
      <c r="F63" s="1919">
        <f t="shared" ref="F63" si="12">SUM(F60:F62)</f>
        <v>280000</v>
      </c>
      <c r="G63" s="1920">
        <f t="shared" si="0"/>
        <v>0</v>
      </c>
      <c r="H63" s="1346">
        <f>'Výdaje kapitol celkem'!AT35</f>
        <v>280000</v>
      </c>
      <c r="I63" s="1347">
        <f>+H63-F63</f>
        <v>0</v>
      </c>
      <c r="J63" s="1348"/>
    </row>
    <row r="64" spans="1:10" ht="25.5" hidden="1" customHeight="1" outlineLevel="1" x14ac:dyDescent="0.25">
      <c r="A64" s="1910" t="s">
        <v>1190</v>
      </c>
      <c r="B64" s="1315">
        <v>5171</v>
      </c>
      <c r="C64" s="1316"/>
      <c r="D64" s="1317">
        <v>0</v>
      </c>
      <c r="E64" s="1317">
        <v>0</v>
      </c>
      <c r="F64" s="1317">
        <f>+[3]Spolky!$B$24</f>
        <v>0</v>
      </c>
      <c r="G64" s="1318">
        <f t="shared" si="0"/>
        <v>0</v>
      </c>
      <c r="H64" s="1343"/>
      <c r="I64" s="1347"/>
      <c r="J64" s="1348"/>
    </row>
    <row r="65" spans="1:10" ht="18" hidden="1" customHeight="1" outlineLevel="1" x14ac:dyDescent="0.25">
      <c r="A65" s="1911" t="s">
        <v>1190</v>
      </c>
      <c r="B65" s="1351">
        <v>5171</v>
      </c>
      <c r="C65" s="1316"/>
      <c r="D65" s="1317">
        <v>0</v>
      </c>
      <c r="E65" s="1317">
        <v>0</v>
      </c>
      <c r="F65" s="1317">
        <f>+[3]Spolky!$B$25</f>
        <v>0</v>
      </c>
      <c r="G65" s="1318">
        <f t="shared" si="0"/>
        <v>0</v>
      </c>
      <c r="H65" s="1343"/>
      <c r="I65" s="1347"/>
      <c r="J65" s="1348"/>
    </row>
    <row r="66" spans="1:10" ht="18" hidden="1" customHeight="1" outlineLevel="1" x14ac:dyDescent="0.25">
      <c r="A66" s="1911" t="s">
        <v>1190</v>
      </c>
      <c r="B66" s="1351">
        <v>5171</v>
      </c>
      <c r="C66" s="1316"/>
      <c r="D66" s="1317"/>
      <c r="E66" s="1317"/>
      <c r="F66" s="1317"/>
      <c r="G66" s="1318">
        <f t="shared" si="0"/>
        <v>0</v>
      </c>
      <c r="H66" s="1343"/>
      <c r="I66" s="1347"/>
      <c r="J66" s="1348"/>
    </row>
    <row r="67" spans="1:10" ht="20.25" customHeight="1" collapsed="1" thickBot="1" x14ac:dyDescent="0.3">
      <c r="A67" s="2748" t="s">
        <v>1191</v>
      </c>
      <c r="B67" s="2749">
        <v>5171</v>
      </c>
      <c r="C67" s="1918"/>
      <c r="D67" s="1919">
        <v>0</v>
      </c>
      <c r="E67" s="1919">
        <v>0</v>
      </c>
      <c r="F67" s="1919">
        <f t="shared" ref="F67" si="13">SUM(F64:F66)</f>
        <v>0</v>
      </c>
      <c r="G67" s="1920">
        <f t="shared" si="0"/>
        <v>0</v>
      </c>
      <c r="H67" s="1346">
        <f>'Výdaje kapitol celkem'!AW35</f>
        <v>0</v>
      </c>
      <c r="I67" s="1347">
        <f>+H67-F67</f>
        <v>0</v>
      </c>
      <c r="J67" s="1348"/>
    </row>
    <row r="68" spans="1:10" ht="18" hidden="1" customHeight="1" outlineLevel="1" x14ac:dyDescent="0.25">
      <c r="A68" s="1909">
        <v>3113</v>
      </c>
      <c r="B68" s="1310">
        <v>5171</v>
      </c>
      <c r="C68" s="1311"/>
      <c r="D68" s="1312">
        <v>0</v>
      </c>
      <c r="E68" s="1312">
        <v>0</v>
      </c>
      <c r="F68" s="1312">
        <f>[3]ZŠ!$B$12</f>
        <v>0</v>
      </c>
      <c r="G68" s="1318">
        <f t="shared" si="0"/>
        <v>0</v>
      </c>
      <c r="H68" s="1343"/>
      <c r="I68" s="1347"/>
      <c r="J68" s="1348"/>
    </row>
    <row r="69" spans="1:10" ht="20.25" hidden="1" customHeight="1" outlineLevel="1" x14ac:dyDescent="0.25">
      <c r="A69" s="1913">
        <v>3113</v>
      </c>
      <c r="B69" s="1358">
        <v>5171</v>
      </c>
      <c r="C69" s="1362"/>
      <c r="D69" s="1363">
        <v>0</v>
      </c>
      <c r="E69" s="1363">
        <v>0</v>
      </c>
      <c r="F69" s="1363">
        <f>[3]ZŠ!$B$13</f>
        <v>0</v>
      </c>
      <c r="G69" s="1354">
        <f t="shared" ref="G69:G132" si="14">+F69-E69</f>
        <v>0</v>
      </c>
      <c r="H69" s="1343"/>
      <c r="I69" s="1347"/>
      <c r="J69" s="1348"/>
    </row>
    <row r="70" spans="1:10" ht="20.25" customHeight="1" thickBot="1" x14ac:dyDescent="0.3">
      <c r="A70" s="2748" t="s">
        <v>206</v>
      </c>
      <c r="B70" s="2749"/>
      <c r="C70" s="1918"/>
      <c r="D70" s="1919">
        <v>0</v>
      </c>
      <c r="E70" s="1919">
        <v>0</v>
      </c>
      <c r="F70" s="1919">
        <f t="shared" ref="F70" si="15">SUM(F68:F69)</f>
        <v>0</v>
      </c>
      <c r="G70" s="1920">
        <f t="shared" si="14"/>
        <v>0</v>
      </c>
      <c r="H70" s="1346">
        <f>'Výdaje kapitol celkem'!AZ35</f>
        <v>0</v>
      </c>
      <c r="I70" s="1347">
        <f>+H70-F70</f>
        <v>0</v>
      </c>
      <c r="J70" s="1348"/>
    </row>
    <row r="71" spans="1:10" ht="17.100000000000001" customHeight="1" outlineLevel="1" x14ac:dyDescent="0.25">
      <c r="A71" s="1909">
        <v>3421</v>
      </c>
      <c r="B71" s="1310">
        <v>5171</v>
      </c>
      <c r="C71" s="1311" t="s">
        <v>1811</v>
      </c>
      <c r="D71" s="1312">
        <v>320000</v>
      </c>
      <c r="E71" s="1312">
        <v>320000</v>
      </c>
      <c r="F71" s="1312">
        <f>+[3]MDDM!$B$12</f>
        <v>320000</v>
      </c>
      <c r="G71" s="1313">
        <f t="shared" si="14"/>
        <v>0</v>
      </c>
      <c r="H71" s="1343"/>
      <c r="I71" s="1347"/>
      <c r="J71" s="1348"/>
    </row>
    <row r="72" spans="1:10" ht="26.25" customHeight="1" outlineLevel="1" x14ac:dyDescent="0.25">
      <c r="A72" s="1913">
        <v>3421</v>
      </c>
      <c r="B72" s="1358">
        <v>5171</v>
      </c>
      <c r="C72" s="1352" t="s">
        <v>1812</v>
      </c>
      <c r="D72" s="1353">
        <v>50000</v>
      </c>
      <c r="E72" s="1353">
        <v>50000</v>
      </c>
      <c r="F72" s="1353">
        <f>+[3]MDDM!$B$13</f>
        <v>50000</v>
      </c>
      <c r="G72" s="1354">
        <f t="shared" si="14"/>
        <v>0</v>
      </c>
      <c r="H72" s="1343"/>
      <c r="I72" s="1347"/>
      <c r="J72" s="1348"/>
    </row>
    <row r="73" spans="1:10" ht="19.5" hidden="1" customHeight="1" outlineLevel="1" x14ac:dyDescent="0.25">
      <c r="A73" s="1913">
        <v>3421</v>
      </c>
      <c r="B73" s="1358">
        <v>5171</v>
      </c>
      <c r="C73" s="1322"/>
      <c r="D73" s="1323"/>
      <c r="E73" s="1323"/>
      <c r="F73" s="1323"/>
      <c r="G73" s="1354">
        <f t="shared" si="14"/>
        <v>0</v>
      </c>
      <c r="H73" s="1343"/>
      <c r="I73" s="1347"/>
      <c r="J73" s="1348"/>
    </row>
    <row r="74" spans="1:10" ht="18" customHeight="1" outlineLevel="1" x14ac:dyDescent="0.25">
      <c r="A74" s="1913">
        <v>3421</v>
      </c>
      <c r="B74" s="1358">
        <v>5171</v>
      </c>
      <c r="C74" s="1362"/>
      <c r="D74" s="1363"/>
      <c r="E74" s="1363"/>
      <c r="F74" s="1363"/>
      <c r="G74" s="1354">
        <f t="shared" si="14"/>
        <v>0</v>
      </c>
      <c r="H74" s="1343"/>
      <c r="I74" s="1347"/>
      <c r="J74" s="1348"/>
    </row>
    <row r="75" spans="1:10" ht="20.25" customHeight="1" thickBot="1" x14ac:dyDescent="0.3">
      <c r="A75" s="2748" t="s">
        <v>207</v>
      </c>
      <c r="B75" s="2749"/>
      <c r="C75" s="1918"/>
      <c r="D75" s="1919">
        <v>370000</v>
      </c>
      <c r="E75" s="1919">
        <v>370000</v>
      </c>
      <c r="F75" s="1919">
        <f t="shared" ref="F75" si="16">SUM(F71:F74)</f>
        <v>370000</v>
      </c>
      <c r="G75" s="1920">
        <f t="shared" si="14"/>
        <v>0</v>
      </c>
      <c r="H75" s="1346">
        <f>'Výdaje kapitol celkem'!BI35</f>
        <v>370000</v>
      </c>
      <c r="I75" s="1347">
        <f>+H75-F75</f>
        <v>0</v>
      </c>
      <c r="J75" s="1348"/>
    </row>
    <row r="76" spans="1:10" ht="29.45" customHeight="1" outlineLevel="1" x14ac:dyDescent="0.25">
      <c r="A76" s="1909" t="s">
        <v>193</v>
      </c>
      <c r="B76" s="1310">
        <v>5171</v>
      </c>
      <c r="C76" s="1311" t="s">
        <v>1801</v>
      </c>
      <c r="D76" s="1312">
        <v>80000</v>
      </c>
      <c r="E76" s="1312">
        <v>80000</v>
      </c>
      <c r="F76" s="1312">
        <f>+'[3]MŠ Kollárova'!$B$12</f>
        <v>80000</v>
      </c>
      <c r="G76" s="1313">
        <f t="shared" si="14"/>
        <v>0</v>
      </c>
      <c r="H76" s="1343"/>
      <c r="I76" s="1347"/>
      <c r="J76" s="1348"/>
    </row>
    <row r="77" spans="1:10" ht="20.25" customHeight="1" outlineLevel="1" x14ac:dyDescent="0.25">
      <c r="A77" s="1911" t="s">
        <v>193</v>
      </c>
      <c r="B77" s="1351">
        <v>5171</v>
      </c>
      <c r="C77" s="1316" t="s">
        <v>1806</v>
      </c>
      <c r="D77" s="1317">
        <v>0</v>
      </c>
      <c r="E77" s="1317">
        <v>0</v>
      </c>
      <c r="F77" s="1317">
        <f>+'[3]MŠ Kollárova'!$B$13</f>
        <v>0</v>
      </c>
      <c r="G77" s="1318">
        <f t="shared" si="14"/>
        <v>0</v>
      </c>
      <c r="H77" s="1343"/>
      <c r="I77" s="1347"/>
      <c r="J77" s="1348"/>
    </row>
    <row r="78" spans="1:10" ht="20.25" customHeight="1" outlineLevel="1" x14ac:dyDescent="0.25">
      <c r="A78" s="1911" t="s">
        <v>193</v>
      </c>
      <c r="B78" s="1351">
        <v>5171</v>
      </c>
      <c r="C78" s="1316" t="s">
        <v>1807</v>
      </c>
      <c r="D78" s="1317">
        <v>150000</v>
      </c>
      <c r="E78" s="1317">
        <v>150000</v>
      </c>
      <c r="F78" s="1317">
        <f>+'[3]MŠ Kollárova'!$B$14</f>
        <v>150000</v>
      </c>
      <c r="G78" s="1318">
        <f t="shared" si="14"/>
        <v>0</v>
      </c>
      <c r="H78" s="1343"/>
      <c r="I78" s="1347"/>
      <c r="J78" s="1348"/>
    </row>
    <row r="79" spans="1:10" ht="20.25" customHeight="1" outlineLevel="1" x14ac:dyDescent="0.25">
      <c r="A79" s="1911" t="s">
        <v>193</v>
      </c>
      <c r="B79" s="1351">
        <v>5171</v>
      </c>
      <c r="C79" s="1352" t="s">
        <v>1808</v>
      </c>
      <c r="D79" s="1353">
        <v>15000</v>
      </c>
      <c r="E79" s="1353">
        <v>15000</v>
      </c>
      <c r="F79" s="1353">
        <f>+'[3]MŠ Kollárova'!$B$15</f>
        <v>15000</v>
      </c>
      <c r="G79" s="1354">
        <f t="shared" si="14"/>
        <v>0</v>
      </c>
      <c r="H79" s="1343"/>
      <c r="I79" s="1347"/>
      <c r="J79" s="1348"/>
    </row>
    <row r="80" spans="1:10" ht="20.25" hidden="1" customHeight="1" outlineLevel="1" x14ac:dyDescent="0.25">
      <c r="A80" s="1911" t="s">
        <v>193</v>
      </c>
      <c r="B80" s="1351">
        <v>5171</v>
      </c>
      <c r="C80" s="1352"/>
      <c r="D80" s="1353">
        <v>0</v>
      </c>
      <c r="E80" s="1353">
        <v>0</v>
      </c>
      <c r="F80" s="1353">
        <v>0</v>
      </c>
      <c r="G80" s="1354">
        <f t="shared" si="14"/>
        <v>0</v>
      </c>
      <c r="H80" s="1343"/>
      <c r="I80" s="1347"/>
      <c r="J80" s="1348"/>
    </row>
    <row r="81" spans="1:10" ht="20.25" customHeight="1" outlineLevel="1" x14ac:dyDescent="0.25">
      <c r="A81" s="1913" t="s">
        <v>193</v>
      </c>
      <c r="B81" s="1358">
        <v>5171</v>
      </c>
      <c r="C81" s="1362"/>
      <c r="D81" s="1363"/>
      <c r="E81" s="1363"/>
      <c r="F81" s="1363"/>
      <c r="G81" s="1354">
        <f t="shared" si="14"/>
        <v>0</v>
      </c>
      <c r="H81" s="1343"/>
      <c r="I81" s="1347"/>
      <c r="J81" s="1348"/>
    </row>
    <row r="82" spans="1:10" ht="20.25" customHeight="1" thickBot="1" x14ac:dyDescent="0.3">
      <c r="A82" s="2748" t="s">
        <v>1229</v>
      </c>
      <c r="B82" s="2749"/>
      <c r="C82" s="1918"/>
      <c r="D82" s="1919">
        <v>245000</v>
      </c>
      <c r="E82" s="1919">
        <v>245000</v>
      </c>
      <c r="F82" s="1919">
        <f t="shared" ref="F82" si="17">SUM(F76:F81)</f>
        <v>245000</v>
      </c>
      <c r="G82" s="1920">
        <f t="shared" si="14"/>
        <v>0</v>
      </c>
      <c r="H82" s="1346">
        <f>'Výdaje kapitol celkem'!BO35</f>
        <v>245000</v>
      </c>
      <c r="I82" s="1347">
        <f>+H82-F82</f>
        <v>0</v>
      </c>
      <c r="J82" s="1348"/>
    </row>
    <row r="83" spans="1:10" ht="20.25" customHeight="1" outlineLevel="1" x14ac:dyDescent="0.25">
      <c r="A83" s="1909" t="s">
        <v>194</v>
      </c>
      <c r="B83" s="1310">
        <v>5171</v>
      </c>
      <c r="C83" s="1311" t="s">
        <v>1801</v>
      </c>
      <c r="D83" s="1312">
        <v>70000</v>
      </c>
      <c r="E83" s="1312">
        <v>70000</v>
      </c>
      <c r="F83" s="1312">
        <f>+'[3]MŠ Pražská'!$B$12</f>
        <v>70000</v>
      </c>
      <c r="G83" s="1313">
        <f t="shared" si="14"/>
        <v>0</v>
      </c>
      <c r="H83" s="1343"/>
      <c r="I83" s="1347"/>
      <c r="J83" s="1348"/>
    </row>
    <row r="84" spans="1:10" ht="20.25" customHeight="1" outlineLevel="1" x14ac:dyDescent="0.25">
      <c r="A84" s="1914" t="s">
        <v>194</v>
      </c>
      <c r="B84" s="1360">
        <v>5171</v>
      </c>
      <c r="C84" s="1322" t="s">
        <v>1809</v>
      </c>
      <c r="D84" s="1323">
        <v>200000</v>
      </c>
      <c r="E84" s="1323">
        <v>200000</v>
      </c>
      <c r="F84" s="1323">
        <f>+'[3]MŠ Pražská'!$B$13</f>
        <v>200000</v>
      </c>
      <c r="G84" s="1318">
        <f t="shared" si="14"/>
        <v>0</v>
      </c>
      <c r="H84" s="1343"/>
      <c r="I84" s="1347"/>
      <c r="J84" s="1348"/>
    </row>
    <row r="85" spans="1:10" ht="20.25" customHeight="1" outlineLevel="1" x14ac:dyDescent="0.25">
      <c r="A85" s="1913" t="s">
        <v>194</v>
      </c>
      <c r="B85" s="1358">
        <v>5171</v>
      </c>
      <c r="C85" s="1362"/>
      <c r="D85" s="1363"/>
      <c r="E85" s="1363"/>
      <c r="F85" s="1363"/>
      <c r="G85" s="1354">
        <f t="shared" si="14"/>
        <v>0</v>
      </c>
      <c r="H85" s="1343"/>
      <c r="I85" s="1347"/>
      <c r="J85" s="1348"/>
    </row>
    <row r="86" spans="1:10" ht="20.25" customHeight="1" thickBot="1" x14ac:dyDescent="0.3">
      <c r="A86" s="2748" t="s">
        <v>209</v>
      </c>
      <c r="B86" s="2749"/>
      <c r="C86" s="1918"/>
      <c r="D86" s="1919">
        <v>270000</v>
      </c>
      <c r="E86" s="1919">
        <v>270000</v>
      </c>
      <c r="F86" s="1919">
        <f t="shared" ref="F86" si="18">SUM(F83:F85)</f>
        <v>270000</v>
      </c>
      <c r="G86" s="1920">
        <f t="shared" si="14"/>
        <v>0</v>
      </c>
      <c r="H86" s="1346">
        <f>'Výdaje kapitol celkem'!BL35</f>
        <v>270000</v>
      </c>
      <c r="I86" s="1347">
        <f>+H86-F86</f>
        <v>0</v>
      </c>
      <c r="J86" s="1348"/>
    </row>
    <row r="87" spans="1:10" ht="20.25" customHeight="1" outlineLevel="1" x14ac:dyDescent="0.25">
      <c r="A87" s="1909" t="s">
        <v>219</v>
      </c>
      <c r="B87" s="1310">
        <v>5171</v>
      </c>
      <c r="C87" s="1311" t="s">
        <v>1799</v>
      </c>
      <c r="D87" s="1312">
        <v>80000</v>
      </c>
      <c r="E87" s="1312">
        <v>80000</v>
      </c>
      <c r="F87" s="1312">
        <f>+'[3]MŠ Cukrovar'!$B$13</f>
        <v>80000</v>
      </c>
      <c r="G87" s="1366">
        <f t="shared" si="14"/>
        <v>0</v>
      </c>
      <c r="H87" s="1343"/>
      <c r="I87" s="1347"/>
      <c r="J87" s="1348"/>
    </row>
    <row r="88" spans="1:10" ht="20.25" customHeight="1" outlineLevel="1" x14ac:dyDescent="0.25">
      <c r="A88" s="1914" t="s">
        <v>219</v>
      </c>
      <c r="B88" s="1360">
        <v>5171</v>
      </c>
      <c r="C88" s="1322" t="s">
        <v>1800</v>
      </c>
      <c r="D88" s="1323">
        <v>400000</v>
      </c>
      <c r="E88" s="1323">
        <v>0</v>
      </c>
      <c r="F88" s="1323">
        <f>+'[3]MŠ Cukrovar'!$B$14</f>
        <v>400000</v>
      </c>
      <c r="G88" s="1355">
        <f t="shared" si="14"/>
        <v>400000</v>
      </c>
      <c r="H88" s="1343"/>
      <c r="I88" s="1347"/>
      <c r="J88" s="1348"/>
    </row>
    <row r="89" spans="1:10" ht="20.25" customHeight="1" outlineLevel="1" x14ac:dyDescent="0.25">
      <c r="A89" s="1913" t="s">
        <v>219</v>
      </c>
      <c r="B89" s="1358">
        <v>5171</v>
      </c>
      <c r="C89" s="1362" t="s">
        <v>1801</v>
      </c>
      <c r="D89" s="1363">
        <v>50000</v>
      </c>
      <c r="E89" s="1363">
        <v>50000</v>
      </c>
      <c r="F89" s="1363">
        <f>+'[3]MŠ Cukrovar'!$B$15</f>
        <v>50000</v>
      </c>
      <c r="G89" s="1321">
        <f t="shared" si="14"/>
        <v>0</v>
      </c>
      <c r="H89" s="1343"/>
      <c r="I89" s="1347"/>
      <c r="J89" s="1348"/>
    </row>
    <row r="90" spans="1:10" ht="20.25" customHeight="1" outlineLevel="1" x14ac:dyDescent="0.25">
      <c r="A90" s="1913" t="s">
        <v>652</v>
      </c>
      <c r="B90" s="1358">
        <v>5172</v>
      </c>
      <c r="C90" s="1362" t="s">
        <v>1802</v>
      </c>
      <c r="D90" s="1363">
        <v>300000</v>
      </c>
      <c r="E90" s="1363">
        <v>300000</v>
      </c>
      <c r="F90" s="1363">
        <f>+'[3]MŠ Cukrovar'!$B$16</f>
        <v>0</v>
      </c>
      <c r="G90" s="1321">
        <f t="shared" si="14"/>
        <v>-300000</v>
      </c>
      <c r="H90" s="1343"/>
      <c r="I90" s="1347"/>
      <c r="J90" s="1348"/>
    </row>
    <row r="91" spans="1:10" ht="20.25" customHeight="1" collapsed="1" thickBot="1" x14ac:dyDescent="0.3">
      <c r="A91" s="2748" t="s">
        <v>1594</v>
      </c>
      <c r="B91" s="2749"/>
      <c r="C91" s="1918"/>
      <c r="D91" s="1919">
        <v>830000</v>
      </c>
      <c r="E91" s="1919">
        <v>430000</v>
      </c>
      <c r="F91" s="1919">
        <f t="shared" ref="F91" si="19">SUM(F87:F90)</f>
        <v>530000</v>
      </c>
      <c r="G91" s="1920">
        <f t="shared" si="14"/>
        <v>100000</v>
      </c>
      <c r="H91" s="1346">
        <f>'Výdaje kapitol celkem'!BV35</f>
        <v>530000</v>
      </c>
      <c r="I91" s="1347">
        <f>+H91-F91</f>
        <v>0</v>
      </c>
      <c r="J91" s="1348"/>
    </row>
    <row r="92" spans="1:10" ht="20.25" hidden="1" customHeight="1" outlineLevel="1" x14ac:dyDescent="0.25">
      <c r="A92" s="1914" t="s">
        <v>195</v>
      </c>
      <c r="B92" s="1360">
        <v>5171</v>
      </c>
      <c r="C92" s="1322"/>
      <c r="D92" s="1323">
        <v>0</v>
      </c>
      <c r="E92" s="1323">
        <v>0</v>
      </c>
      <c r="F92" s="1323">
        <f>'[3]Jídelna ZŠ'!$B$12</f>
        <v>0</v>
      </c>
      <c r="G92" s="1318">
        <f t="shared" si="14"/>
        <v>0</v>
      </c>
      <c r="H92" s="1343"/>
      <c r="I92" s="1347"/>
      <c r="J92" s="1348"/>
    </row>
    <row r="93" spans="1:10" ht="20.25" hidden="1" customHeight="1" outlineLevel="1" x14ac:dyDescent="0.25">
      <c r="A93" s="1913" t="s">
        <v>195</v>
      </c>
      <c r="B93" s="1358">
        <v>5171</v>
      </c>
      <c r="C93" s="1362"/>
      <c r="D93" s="1363">
        <v>0</v>
      </c>
      <c r="E93" s="1363">
        <v>0</v>
      </c>
      <c r="F93" s="1363">
        <f>'[3]Jídelna ZŠ'!$B$13</f>
        <v>0</v>
      </c>
      <c r="G93" s="1354">
        <f t="shared" si="14"/>
        <v>0</v>
      </c>
      <c r="H93" s="1343"/>
      <c r="I93" s="1347"/>
      <c r="J93" s="1348"/>
    </row>
    <row r="94" spans="1:10" ht="20.25" customHeight="1" thickBot="1" x14ac:dyDescent="0.3">
      <c r="A94" s="2748" t="s">
        <v>210</v>
      </c>
      <c r="B94" s="2749"/>
      <c r="C94" s="1918"/>
      <c r="D94" s="1919">
        <v>0</v>
      </c>
      <c r="E94" s="1919">
        <v>0</v>
      </c>
      <c r="F94" s="1919">
        <f>SUM(F92:F93)</f>
        <v>0</v>
      </c>
      <c r="G94" s="1920">
        <f t="shared" si="14"/>
        <v>0</v>
      </c>
      <c r="H94" s="1346">
        <f>'Výdaje kapitol celkem'!BR35</f>
        <v>0</v>
      </c>
      <c r="I94" s="1347">
        <f>+H94-F94</f>
        <v>0</v>
      </c>
      <c r="J94" s="1348"/>
    </row>
    <row r="95" spans="1:10" ht="20.25" customHeight="1" outlineLevel="1" x14ac:dyDescent="0.25">
      <c r="A95" s="1914" t="s">
        <v>196</v>
      </c>
      <c r="B95" s="1360">
        <v>5171</v>
      </c>
      <c r="C95" s="1322" t="s">
        <v>1804</v>
      </c>
      <c r="D95" s="1323">
        <v>50000</v>
      </c>
      <c r="E95" s="1323">
        <v>50000</v>
      </c>
      <c r="F95" s="1323">
        <f>+'[3]Jídelna MŠ'!$B$12</f>
        <v>50000</v>
      </c>
      <c r="G95" s="1318">
        <f t="shared" si="14"/>
        <v>0</v>
      </c>
      <c r="H95" s="1343"/>
      <c r="I95" s="1347"/>
      <c r="J95" s="1348"/>
    </row>
    <row r="96" spans="1:10" ht="16.5" customHeight="1" outlineLevel="1" x14ac:dyDescent="0.25">
      <c r="A96" s="1913" t="s">
        <v>196</v>
      </c>
      <c r="B96" s="1358">
        <v>5171</v>
      </c>
      <c r="C96" s="1362"/>
      <c r="D96" s="1363"/>
      <c r="E96" s="1363"/>
      <c r="F96" s="1363"/>
      <c r="G96" s="1355">
        <f t="shared" si="14"/>
        <v>0</v>
      </c>
      <c r="H96" s="1343"/>
      <c r="I96" s="1347"/>
      <c r="J96" s="1348"/>
    </row>
    <row r="97" spans="1:10" ht="20.25" customHeight="1" thickBot="1" x14ac:dyDescent="0.3">
      <c r="A97" s="2748" t="s">
        <v>211</v>
      </c>
      <c r="B97" s="2749"/>
      <c r="C97" s="1918"/>
      <c r="D97" s="1919">
        <v>50000</v>
      </c>
      <c r="E97" s="1919">
        <v>50000</v>
      </c>
      <c r="F97" s="1919">
        <f>SUM(F95:F96)</f>
        <v>50000</v>
      </c>
      <c r="G97" s="1920">
        <f t="shared" si="14"/>
        <v>0</v>
      </c>
      <c r="H97" s="1346">
        <f>'Výdaje kapitol celkem'!BU35</f>
        <v>50000</v>
      </c>
      <c r="I97" s="1347">
        <f>+H97-F97</f>
        <v>0</v>
      </c>
      <c r="J97" s="1348"/>
    </row>
    <row r="98" spans="1:10" ht="20.25" customHeight="1" outlineLevel="1" x14ac:dyDescent="0.25">
      <c r="A98" s="1909">
        <v>3631</v>
      </c>
      <c r="B98" s="1310">
        <v>5171</v>
      </c>
      <c r="C98" s="1311" t="s">
        <v>1794</v>
      </c>
      <c r="D98" s="1312">
        <v>350000</v>
      </c>
      <c r="E98" s="1312">
        <v>350000</v>
      </c>
      <c r="F98" s="1312">
        <f>+[3]VO!$B$30</f>
        <v>350000</v>
      </c>
      <c r="G98" s="1313">
        <f t="shared" si="14"/>
        <v>0</v>
      </c>
      <c r="H98" s="1346"/>
      <c r="I98" s="1347"/>
      <c r="J98" s="1348"/>
    </row>
    <row r="99" spans="1:10" ht="20.25" customHeight="1" outlineLevel="1" x14ac:dyDescent="0.25">
      <c r="A99" s="1911">
        <v>3631</v>
      </c>
      <c r="B99" s="1351">
        <v>5171</v>
      </c>
      <c r="C99" s="1352" t="s">
        <v>1795</v>
      </c>
      <c r="D99" s="1353">
        <v>100000</v>
      </c>
      <c r="E99" s="1353">
        <v>100000</v>
      </c>
      <c r="F99" s="1353">
        <f>+[3]VO!$B$31</f>
        <v>100000</v>
      </c>
      <c r="G99" s="1354">
        <f t="shared" si="14"/>
        <v>0</v>
      </c>
      <c r="H99" s="1346"/>
      <c r="I99" s="1347"/>
      <c r="J99" s="1348"/>
    </row>
    <row r="100" spans="1:10" ht="20.25" customHeight="1" outlineLevel="1" x14ac:dyDescent="0.25">
      <c r="A100" s="1911">
        <v>3631</v>
      </c>
      <c r="B100" s="1351">
        <v>5171</v>
      </c>
      <c r="C100" s="1322"/>
      <c r="D100" s="1323">
        <v>500000</v>
      </c>
      <c r="E100" s="1323">
        <v>500000</v>
      </c>
      <c r="F100" s="1323">
        <f>+[3]VO!$B$32</f>
        <v>500000</v>
      </c>
      <c r="G100" s="1318">
        <f t="shared" si="14"/>
        <v>0</v>
      </c>
      <c r="H100" s="1346"/>
      <c r="I100" s="1347"/>
      <c r="J100" s="1348"/>
    </row>
    <row r="101" spans="1:10" ht="20.25" customHeight="1" outlineLevel="1" x14ac:dyDescent="0.25">
      <c r="A101" s="1914">
        <v>3631</v>
      </c>
      <c r="B101" s="1358">
        <v>5171</v>
      </c>
      <c r="C101" s="1362"/>
      <c r="D101" s="1363"/>
      <c r="E101" s="1363"/>
      <c r="F101" s="1363"/>
      <c r="G101" s="1354">
        <f t="shared" si="14"/>
        <v>0</v>
      </c>
      <c r="H101" s="1346"/>
      <c r="I101" s="1347"/>
      <c r="J101" s="1348"/>
    </row>
    <row r="102" spans="1:10" ht="20.25" customHeight="1" thickBot="1" x14ac:dyDescent="0.3">
      <c r="A102" s="2748" t="s">
        <v>632</v>
      </c>
      <c r="B102" s="2749"/>
      <c r="C102" s="1918"/>
      <c r="D102" s="1919">
        <v>950000</v>
      </c>
      <c r="E102" s="1919">
        <v>950000</v>
      </c>
      <c r="F102" s="1919">
        <f t="shared" ref="F102" si="20">SUM(F98:F101)</f>
        <v>950000</v>
      </c>
      <c r="G102" s="1920">
        <f t="shared" si="14"/>
        <v>0</v>
      </c>
      <c r="H102" s="1346">
        <f>'Výdaje kapitol celkem'!BZ35</f>
        <v>950000</v>
      </c>
      <c r="I102" s="1347">
        <f>+H102-F102</f>
        <v>0</v>
      </c>
      <c r="J102" s="1348"/>
    </row>
    <row r="103" spans="1:10" ht="20.25" customHeight="1" outlineLevel="1" x14ac:dyDescent="0.25">
      <c r="A103" s="1913">
        <v>2212</v>
      </c>
      <c r="B103" s="1358">
        <v>5171</v>
      </c>
      <c r="C103" s="1362" t="s">
        <v>1776</v>
      </c>
      <c r="D103" s="1363">
        <v>300000</v>
      </c>
      <c r="E103" s="1363">
        <v>300000</v>
      </c>
      <c r="F103" s="1363">
        <f>+[3]Silnice!$B$40</f>
        <v>300000</v>
      </c>
      <c r="G103" s="1354">
        <f t="shared" si="14"/>
        <v>0</v>
      </c>
      <c r="H103" s="1343"/>
      <c r="I103" s="1347"/>
      <c r="J103" s="1348"/>
    </row>
    <row r="104" spans="1:10" ht="25.5" customHeight="1" outlineLevel="1" x14ac:dyDescent="0.25">
      <c r="A104" s="1913">
        <v>2212</v>
      </c>
      <c r="B104" s="1358">
        <v>5171</v>
      </c>
      <c r="C104" s="1362" t="s">
        <v>1777</v>
      </c>
      <c r="D104" s="1363">
        <v>500000</v>
      </c>
      <c r="E104" s="1363">
        <v>500000</v>
      </c>
      <c r="F104" s="1363">
        <f>+[3]Silnice!$B$41</f>
        <v>500000</v>
      </c>
      <c r="G104" s="1354">
        <f t="shared" si="14"/>
        <v>0</v>
      </c>
      <c r="H104" s="1343"/>
      <c r="I104" s="1347"/>
      <c r="J104" s="1348"/>
    </row>
    <row r="105" spans="1:10" ht="22.5" customHeight="1" outlineLevel="1" x14ac:dyDescent="0.25">
      <c r="A105" s="1913">
        <v>2212</v>
      </c>
      <c r="B105" s="1358">
        <v>5171</v>
      </c>
      <c r="C105" s="1362" t="s">
        <v>1778</v>
      </c>
      <c r="D105" s="1363">
        <v>300000</v>
      </c>
      <c r="E105" s="1363">
        <v>300000</v>
      </c>
      <c r="F105" s="1363">
        <f>+[3]Silnice!$B$42</f>
        <v>300000</v>
      </c>
      <c r="G105" s="1354">
        <f t="shared" si="14"/>
        <v>0</v>
      </c>
      <c r="H105" s="1343"/>
      <c r="I105" s="1347"/>
      <c r="J105" s="1348"/>
    </row>
    <row r="106" spans="1:10" ht="20.25" customHeight="1" outlineLevel="1" x14ac:dyDescent="0.25">
      <c r="A106" s="1913">
        <v>2212</v>
      </c>
      <c r="B106" s="1358">
        <v>5171</v>
      </c>
      <c r="C106" s="1362" t="s">
        <v>1779</v>
      </c>
      <c r="D106" s="1363">
        <v>650000</v>
      </c>
      <c r="E106" s="1363">
        <v>650000</v>
      </c>
      <c r="F106" s="1363">
        <f>+[3]Silnice!$B$43</f>
        <v>650000</v>
      </c>
      <c r="G106" s="1354">
        <f t="shared" si="14"/>
        <v>0</v>
      </c>
      <c r="H106" s="1343"/>
      <c r="I106" s="1347"/>
      <c r="J106" s="1348"/>
    </row>
    <row r="107" spans="1:10" ht="26.25" customHeight="1" outlineLevel="1" x14ac:dyDescent="0.25">
      <c r="A107" s="1913">
        <v>2212</v>
      </c>
      <c r="B107" s="1358">
        <v>5171</v>
      </c>
      <c r="C107" s="1362" t="s">
        <v>1780</v>
      </c>
      <c r="D107" s="1363">
        <v>500000</v>
      </c>
      <c r="E107" s="1363">
        <v>500000</v>
      </c>
      <c r="F107" s="1363">
        <f>+[3]Silnice!$B$44</f>
        <v>500000</v>
      </c>
      <c r="G107" s="1354">
        <f t="shared" si="14"/>
        <v>0</v>
      </c>
      <c r="H107" s="1343"/>
      <c r="I107" s="1347"/>
      <c r="J107" s="1348"/>
    </row>
    <row r="108" spans="1:10" ht="20.25" customHeight="1" outlineLevel="1" x14ac:dyDescent="0.25">
      <c r="A108" s="1913">
        <v>2212</v>
      </c>
      <c r="B108" s="1358">
        <v>5171</v>
      </c>
      <c r="C108" s="1362" t="s">
        <v>1781</v>
      </c>
      <c r="D108" s="1363">
        <v>0</v>
      </c>
      <c r="E108" s="1363">
        <v>0</v>
      </c>
      <c r="F108" s="1363">
        <f>+[3]Silnice!$B$45</f>
        <v>0</v>
      </c>
      <c r="G108" s="1354">
        <f t="shared" si="14"/>
        <v>0</v>
      </c>
      <c r="H108" s="1343"/>
      <c r="I108" s="1347"/>
      <c r="J108" s="1348"/>
    </row>
    <row r="109" spans="1:10" ht="20.25" customHeight="1" outlineLevel="1" x14ac:dyDescent="0.25">
      <c r="A109" s="1913">
        <v>2212</v>
      </c>
      <c r="B109" s="1358">
        <v>5171</v>
      </c>
      <c r="C109" s="1362" t="s">
        <v>1782</v>
      </c>
      <c r="D109" s="1363">
        <v>1200000</v>
      </c>
      <c r="E109" s="1363">
        <v>1200000</v>
      </c>
      <c r="F109" s="1363">
        <f>+[3]Silnice!$B$46</f>
        <v>1200000</v>
      </c>
      <c r="G109" s="1354">
        <f t="shared" si="14"/>
        <v>0</v>
      </c>
      <c r="H109" s="1343"/>
      <c r="I109" s="1347"/>
      <c r="J109" s="1348"/>
    </row>
    <row r="110" spans="1:10" ht="20.25" customHeight="1" outlineLevel="1" x14ac:dyDescent="0.25">
      <c r="A110" s="1913">
        <v>2212</v>
      </c>
      <c r="B110" s="1358">
        <v>5171</v>
      </c>
      <c r="C110" s="1362" t="s">
        <v>1783</v>
      </c>
      <c r="D110" s="1363">
        <v>0</v>
      </c>
      <c r="E110" s="1363">
        <v>0</v>
      </c>
      <c r="F110" s="1363">
        <f>+[3]Silnice!$B$47</f>
        <v>0</v>
      </c>
      <c r="G110" s="1354">
        <f t="shared" si="14"/>
        <v>0</v>
      </c>
      <c r="H110" s="1343"/>
      <c r="I110" s="1347"/>
      <c r="J110" s="1348"/>
    </row>
    <row r="111" spans="1:10" ht="20.25" customHeight="1" outlineLevel="1" x14ac:dyDescent="0.25">
      <c r="A111" s="1913">
        <v>2212</v>
      </c>
      <c r="B111" s="1358">
        <v>5171</v>
      </c>
      <c r="C111" s="1362" t="s">
        <v>1784</v>
      </c>
      <c r="D111" s="1363">
        <v>600000</v>
      </c>
      <c r="E111" s="1363">
        <v>0</v>
      </c>
      <c r="F111" s="1363">
        <f>+[3]Silnice!$B$48</f>
        <v>0</v>
      </c>
      <c r="G111" s="1354">
        <f t="shared" si="14"/>
        <v>0</v>
      </c>
      <c r="H111" s="1343"/>
      <c r="I111" s="1347"/>
      <c r="J111" s="1348"/>
    </row>
    <row r="112" spans="1:10" ht="18.95" customHeight="1" outlineLevel="1" x14ac:dyDescent="0.25">
      <c r="A112" s="1913">
        <v>2212</v>
      </c>
      <c r="B112" s="1358">
        <v>5171</v>
      </c>
      <c r="C112" s="1362" t="s">
        <v>1785</v>
      </c>
      <c r="D112" s="1363">
        <v>870000</v>
      </c>
      <c r="E112" s="1363">
        <v>0</v>
      </c>
      <c r="F112" s="1363">
        <f>+[3]Silnice!$B$49</f>
        <v>0</v>
      </c>
      <c r="G112" s="1354">
        <f t="shared" si="14"/>
        <v>0</v>
      </c>
      <c r="H112" s="1343"/>
      <c r="I112" s="1347"/>
      <c r="J112" s="1348"/>
    </row>
    <row r="113" spans="1:10" ht="25.5" customHeight="1" outlineLevel="1" x14ac:dyDescent="0.25">
      <c r="A113" s="1913">
        <v>2212</v>
      </c>
      <c r="B113" s="1358">
        <v>5171</v>
      </c>
      <c r="C113" s="1362" t="s">
        <v>1786</v>
      </c>
      <c r="D113" s="1363">
        <v>0</v>
      </c>
      <c r="E113" s="1363">
        <v>0</v>
      </c>
      <c r="F113" s="1363">
        <f>+[3]Silnice!$B$50</f>
        <v>3900000</v>
      </c>
      <c r="G113" s="1354">
        <f t="shared" si="14"/>
        <v>3900000</v>
      </c>
      <c r="H113" s="1343"/>
      <c r="I113" s="1347"/>
      <c r="J113" s="1348"/>
    </row>
    <row r="114" spans="1:10" ht="20.25" customHeight="1" outlineLevel="1" x14ac:dyDescent="0.25">
      <c r="A114" s="1913">
        <v>2212</v>
      </c>
      <c r="B114" s="1358">
        <v>5171</v>
      </c>
      <c r="C114" s="1362" t="s">
        <v>1787</v>
      </c>
      <c r="D114" s="1363">
        <v>150000</v>
      </c>
      <c r="E114" s="1363">
        <v>150000</v>
      </c>
      <c r="F114" s="1363">
        <f>+[3]Silnice!$B$51</f>
        <v>150000</v>
      </c>
      <c r="G114" s="1354">
        <f t="shared" si="14"/>
        <v>0</v>
      </c>
      <c r="H114" s="1343"/>
      <c r="I114" s="1347"/>
      <c r="J114" s="1348"/>
    </row>
    <row r="115" spans="1:10" ht="20.25" customHeight="1" outlineLevel="1" x14ac:dyDescent="0.25">
      <c r="A115" s="1913">
        <v>2212</v>
      </c>
      <c r="B115" s="1358">
        <v>5171</v>
      </c>
      <c r="C115" s="1362" t="s">
        <v>1788</v>
      </c>
      <c r="D115" s="1363">
        <v>500000</v>
      </c>
      <c r="E115" s="1363">
        <v>0</v>
      </c>
      <c r="F115" s="1363">
        <f>+[3]Silnice!$B$52</f>
        <v>0</v>
      </c>
      <c r="G115" s="1354">
        <f t="shared" si="14"/>
        <v>0</v>
      </c>
      <c r="H115" s="1343"/>
      <c r="I115" s="1347"/>
      <c r="J115" s="1348"/>
    </row>
    <row r="116" spans="1:10" ht="20.25" customHeight="1" outlineLevel="1" x14ac:dyDescent="0.25">
      <c r="A116" s="1913">
        <v>2212</v>
      </c>
      <c r="B116" s="1358">
        <v>5171</v>
      </c>
      <c r="C116" s="1362" t="s">
        <v>1789</v>
      </c>
      <c r="D116" s="1363">
        <v>711480</v>
      </c>
      <c r="E116" s="1363">
        <v>711480</v>
      </c>
      <c r="F116" s="1363">
        <f>+[3]Silnice!$B$53</f>
        <v>711480</v>
      </c>
      <c r="G116" s="1354">
        <f t="shared" si="14"/>
        <v>0</v>
      </c>
      <c r="H116" s="1343"/>
      <c r="I116" s="1347"/>
      <c r="J116" s="1348"/>
    </row>
    <row r="117" spans="1:10" ht="20.25" customHeight="1" thickBot="1" x14ac:dyDescent="0.3">
      <c r="A117" s="2748" t="s">
        <v>255</v>
      </c>
      <c r="B117" s="2749"/>
      <c r="C117" s="1918"/>
      <c r="D117" s="1919">
        <v>6281480</v>
      </c>
      <c r="E117" s="1919">
        <v>4311480</v>
      </c>
      <c r="F117" s="1919">
        <f>SUM(F103:F116)</f>
        <v>8211480</v>
      </c>
      <c r="G117" s="1920">
        <f t="shared" si="14"/>
        <v>3900000</v>
      </c>
      <c r="H117" s="1346">
        <f>'Výdaje kapitol celkem'!CC35</f>
        <v>8211480</v>
      </c>
      <c r="I117" s="1347">
        <f>+H117-F117</f>
        <v>0</v>
      </c>
      <c r="J117" s="1348"/>
    </row>
    <row r="118" spans="1:10" ht="19.5" customHeight="1" outlineLevel="1" x14ac:dyDescent="0.25">
      <c r="A118" s="1909">
        <v>2310</v>
      </c>
      <c r="B118" s="1310">
        <v>5171</v>
      </c>
      <c r="C118" s="1311" t="s">
        <v>1774</v>
      </c>
      <c r="D118" s="1312">
        <v>500000</v>
      </c>
      <c r="E118" s="1312">
        <v>500000</v>
      </c>
      <c r="F118" s="1312">
        <f>+[3]Vodovod!$B$20</f>
        <v>500000</v>
      </c>
      <c r="G118" s="1313">
        <f t="shared" si="14"/>
        <v>0</v>
      </c>
      <c r="H118" s="1343"/>
      <c r="I118" s="1347"/>
      <c r="J118" s="1348"/>
    </row>
    <row r="119" spans="1:10" ht="19.5" customHeight="1" outlineLevel="1" x14ac:dyDescent="0.25">
      <c r="A119" s="1913">
        <v>2310</v>
      </c>
      <c r="B119" s="1358">
        <v>5171</v>
      </c>
      <c r="C119" s="1322" t="s">
        <v>1775</v>
      </c>
      <c r="D119" s="1323">
        <v>100000</v>
      </c>
      <c r="E119" s="1323">
        <v>100000</v>
      </c>
      <c r="F119" s="1323">
        <f>+[3]Vodovod!$B$21</f>
        <v>100000</v>
      </c>
      <c r="G119" s="1318">
        <f t="shared" si="14"/>
        <v>0</v>
      </c>
      <c r="H119" s="1343"/>
      <c r="I119" s="1347"/>
      <c r="J119" s="1348"/>
    </row>
    <row r="120" spans="1:10" ht="15" customHeight="1" outlineLevel="1" x14ac:dyDescent="0.25">
      <c r="A120" s="1913">
        <v>2310</v>
      </c>
      <c r="B120" s="1358">
        <v>5171</v>
      </c>
      <c r="C120" s="1362"/>
      <c r="D120" s="1363"/>
      <c r="E120" s="1363"/>
      <c r="F120" s="1363"/>
      <c r="G120" s="1354">
        <f t="shared" si="14"/>
        <v>0</v>
      </c>
      <c r="H120" s="1343"/>
      <c r="I120" s="1347"/>
      <c r="J120" s="1348"/>
    </row>
    <row r="121" spans="1:10" ht="20.25" customHeight="1" thickBot="1" x14ac:dyDescent="0.3">
      <c r="A121" s="2748" t="s">
        <v>212</v>
      </c>
      <c r="B121" s="2749"/>
      <c r="C121" s="1918"/>
      <c r="D121" s="1919">
        <v>600000</v>
      </c>
      <c r="E121" s="1919">
        <v>600000</v>
      </c>
      <c r="F121" s="1919">
        <f t="shared" ref="F121" si="21">SUM(F118:F120)</f>
        <v>600000</v>
      </c>
      <c r="G121" s="1920">
        <f t="shared" si="14"/>
        <v>0</v>
      </c>
      <c r="H121" s="1346">
        <f>'Výdaje kapitol celkem'!CG35</f>
        <v>600000</v>
      </c>
      <c r="I121" s="1347">
        <f>+H121-F121</f>
        <v>0</v>
      </c>
      <c r="J121" s="1348"/>
    </row>
    <row r="122" spans="1:10" ht="20.25" customHeight="1" outlineLevel="1" x14ac:dyDescent="0.25">
      <c r="A122" s="1914">
        <v>3633</v>
      </c>
      <c r="B122" s="1360">
        <v>5171</v>
      </c>
      <c r="C122" s="1322" t="s">
        <v>1764</v>
      </c>
      <c r="D122" s="1312">
        <v>80000</v>
      </c>
      <c r="E122" s="1312">
        <v>80000</v>
      </c>
      <c r="F122" s="1312">
        <f>+'[3]Inženýrské sítě'!$B$12</f>
        <v>80000</v>
      </c>
      <c r="G122" s="1321">
        <f t="shared" si="14"/>
        <v>0</v>
      </c>
      <c r="H122" s="1343"/>
      <c r="I122" s="1347"/>
      <c r="J122" s="1348"/>
    </row>
    <row r="123" spans="1:10" ht="20.25" customHeight="1" outlineLevel="1" x14ac:dyDescent="0.25">
      <c r="A123" s="1913">
        <v>3633</v>
      </c>
      <c r="B123" s="1358">
        <v>5171</v>
      </c>
      <c r="C123" s="1362" t="s">
        <v>1765</v>
      </c>
      <c r="D123" s="1353">
        <v>350000</v>
      </c>
      <c r="E123" s="1353">
        <v>350000</v>
      </c>
      <c r="F123" s="1353">
        <f>+'[3]Inženýrské sítě'!$B$13</f>
        <v>350000</v>
      </c>
      <c r="G123" s="1321">
        <f t="shared" si="14"/>
        <v>0</v>
      </c>
      <c r="H123" s="1343"/>
      <c r="I123" s="1347"/>
      <c r="J123" s="1348"/>
    </row>
    <row r="124" spans="1:10" ht="20.25" customHeight="1" outlineLevel="1" x14ac:dyDescent="0.25">
      <c r="A124" s="1913">
        <v>3633</v>
      </c>
      <c r="B124" s="1358">
        <v>5171</v>
      </c>
      <c r="C124" s="1362"/>
      <c r="D124" s="1323"/>
      <c r="E124" s="1323"/>
      <c r="F124" s="1323"/>
      <c r="G124" s="1321">
        <f t="shared" si="14"/>
        <v>0</v>
      </c>
      <c r="H124" s="1343"/>
      <c r="I124" s="1347"/>
      <c r="J124" s="1348"/>
    </row>
    <row r="125" spans="1:10" ht="20.25" customHeight="1" thickBot="1" x14ac:dyDescent="0.3">
      <c r="A125" s="2748" t="s">
        <v>252</v>
      </c>
      <c r="B125" s="2749"/>
      <c r="C125" s="1918"/>
      <c r="D125" s="1919">
        <v>430000</v>
      </c>
      <c r="E125" s="1919">
        <v>430000</v>
      </c>
      <c r="F125" s="1919">
        <f t="shared" ref="F125" si="22">SUM(F122:F124)</f>
        <v>430000</v>
      </c>
      <c r="G125" s="1920">
        <f t="shared" si="14"/>
        <v>0</v>
      </c>
      <c r="H125" s="1346">
        <f>'Výdaje kapitol celkem'!CS35</f>
        <v>430000</v>
      </c>
      <c r="I125" s="1347">
        <f>+H125-F125</f>
        <v>0</v>
      </c>
      <c r="J125" s="1348"/>
    </row>
    <row r="126" spans="1:10" ht="20.25" customHeight="1" outlineLevel="1" x14ac:dyDescent="0.25">
      <c r="A126" s="1914" t="s">
        <v>220</v>
      </c>
      <c r="B126" s="1360">
        <v>5171</v>
      </c>
      <c r="C126" s="1322" t="s">
        <v>1762</v>
      </c>
      <c r="D126" s="1323">
        <v>1500000</v>
      </c>
      <c r="E126" s="1323">
        <v>1500000</v>
      </c>
      <c r="F126" s="1323">
        <f>+'[5]Kanalizace obnova'!$B$6</f>
        <v>2500000</v>
      </c>
      <c r="G126" s="1318">
        <f t="shared" si="14"/>
        <v>1000000</v>
      </c>
      <c r="H126" s="1343"/>
      <c r="I126" s="1347"/>
      <c r="J126" s="1348"/>
    </row>
    <row r="127" spans="1:10" ht="20.25" customHeight="1" outlineLevel="1" x14ac:dyDescent="0.25">
      <c r="A127" s="1913" t="s">
        <v>220</v>
      </c>
      <c r="B127" s="1358">
        <v>5171</v>
      </c>
      <c r="C127" s="1362"/>
      <c r="D127" s="1363">
        <v>0</v>
      </c>
      <c r="E127" s="1363">
        <v>0</v>
      </c>
      <c r="F127" s="1363">
        <v>0</v>
      </c>
      <c r="G127" s="1354">
        <f t="shared" si="14"/>
        <v>0</v>
      </c>
      <c r="H127" s="1343"/>
      <c r="I127" s="1347"/>
      <c r="J127" s="1348"/>
    </row>
    <row r="128" spans="1:10" ht="20.25" customHeight="1" outlineLevel="1" x14ac:dyDescent="0.25">
      <c r="A128" s="1913" t="s">
        <v>220</v>
      </c>
      <c r="B128" s="1358">
        <v>5171</v>
      </c>
      <c r="C128" s="1352"/>
      <c r="D128" s="1363"/>
      <c r="E128" s="1363"/>
      <c r="F128" s="1363"/>
      <c r="G128" s="1355">
        <f t="shared" si="14"/>
        <v>0</v>
      </c>
      <c r="H128" s="1343"/>
      <c r="I128" s="1347"/>
      <c r="J128" s="1348"/>
    </row>
    <row r="129" spans="1:10" ht="25.5" customHeight="1" thickBot="1" x14ac:dyDescent="0.3">
      <c r="A129" s="2748" t="s">
        <v>251</v>
      </c>
      <c r="B129" s="2749"/>
      <c r="C129" s="1918"/>
      <c r="D129" s="1919">
        <v>1500000</v>
      </c>
      <c r="E129" s="1919">
        <v>1500000</v>
      </c>
      <c r="F129" s="1919">
        <f t="shared" ref="F129" si="23">SUM(F126:F128)</f>
        <v>2500000</v>
      </c>
      <c r="G129" s="1920">
        <f t="shared" si="14"/>
        <v>1000000</v>
      </c>
      <c r="H129" s="1346">
        <f>'Výdaje kapitol celkem'!CP35</f>
        <v>2500000</v>
      </c>
      <c r="I129" s="1347">
        <f>+H129-F129</f>
        <v>0</v>
      </c>
      <c r="J129" s="1348"/>
    </row>
    <row r="130" spans="1:10" ht="20.25" customHeight="1" outlineLevel="1" x14ac:dyDescent="0.25">
      <c r="A130" s="1911" t="s">
        <v>197</v>
      </c>
      <c r="B130" s="1351">
        <v>5171</v>
      </c>
      <c r="C130" s="1352" t="s">
        <v>1767</v>
      </c>
      <c r="D130" s="1353">
        <v>500000</v>
      </c>
      <c r="E130" s="1353">
        <v>500000</v>
      </c>
      <c r="F130" s="1353">
        <f>+[3]Kanalizace!$B$21</f>
        <v>500000</v>
      </c>
      <c r="G130" s="1377">
        <f t="shared" si="14"/>
        <v>0</v>
      </c>
      <c r="H130" s="1343"/>
      <c r="I130" s="1347"/>
      <c r="J130" s="1348"/>
    </row>
    <row r="131" spans="1:10" ht="20.25" customHeight="1" outlineLevel="1" x14ac:dyDescent="0.25">
      <c r="A131" s="1913" t="s">
        <v>197</v>
      </c>
      <c r="B131" s="1358">
        <v>5171</v>
      </c>
      <c r="C131" s="1352" t="s">
        <v>1768</v>
      </c>
      <c r="D131" s="1353">
        <v>140000</v>
      </c>
      <c r="E131" s="1353">
        <v>140000</v>
      </c>
      <c r="F131" s="1353">
        <f>+[3]Kanalizace!$B$22</f>
        <v>140000</v>
      </c>
      <c r="G131" s="1354">
        <f t="shared" si="14"/>
        <v>0</v>
      </c>
      <c r="H131" s="1343"/>
      <c r="I131" s="1347"/>
      <c r="J131" s="1348"/>
    </row>
    <row r="132" spans="1:10" ht="20.25" customHeight="1" outlineLevel="1" x14ac:dyDescent="0.25">
      <c r="A132" s="1913" t="s">
        <v>197</v>
      </c>
      <c r="B132" s="1358">
        <v>5171</v>
      </c>
      <c r="C132" s="1352"/>
      <c r="D132" s="1363"/>
      <c r="E132" s="1363"/>
      <c r="F132" s="1363"/>
      <c r="G132" s="1355">
        <f t="shared" si="14"/>
        <v>0</v>
      </c>
      <c r="H132" s="1343"/>
      <c r="I132" s="1347"/>
      <c r="J132" s="1348"/>
    </row>
    <row r="133" spans="1:10" ht="24.75" customHeight="1" thickBot="1" x14ac:dyDescent="0.3">
      <c r="A133" s="2748" t="s">
        <v>689</v>
      </c>
      <c r="B133" s="2749"/>
      <c r="C133" s="1918"/>
      <c r="D133" s="1919">
        <v>640000</v>
      </c>
      <c r="E133" s="1919">
        <v>640000</v>
      </c>
      <c r="F133" s="1919">
        <f t="shared" ref="F133" si="24">SUM(F130:F132)</f>
        <v>640000</v>
      </c>
      <c r="G133" s="1920">
        <f t="shared" ref="G133:G147" si="25">+F133-E133</f>
        <v>0</v>
      </c>
      <c r="H133" s="1346">
        <f>'Výdaje kapitol celkem'!CM35</f>
        <v>640000</v>
      </c>
      <c r="I133" s="1347">
        <f>+H133-F133</f>
        <v>0</v>
      </c>
      <c r="J133" s="1348"/>
    </row>
    <row r="134" spans="1:10" ht="20.25" customHeight="1" outlineLevel="1" x14ac:dyDescent="0.25">
      <c r="A134" s="1909">
        <v>3114</v>
      </c>
      <c r="B134" s="1310">
        <v>5171</v>
      </c>
      <c r="C134" s="1311" t="s">
        <v>1801</v>
      </c>
      <c r="D134" s="1312">
        <v>80000</v>
      </c>
      <c r="E134" s="1312">
        <v>80000</v>
      </c>
      <c r="F134" s="1312">
        <f>+'[3]Č.p. 65'!$B$12</f>
        <v>80000</v>
      </c>
      <c r="G134" s="1313">
        <f t="shared" si="25"/>
        <v>0</v>
      </c>
      <c r="H134" s="1343"/>
      <c r="I134" s="1347"/>
      <c r="J134" s="1348"/>
    </row>
    <row r="135" spans="1:10" ht="20.25" customHeight="1" outlineLevel="1" x14ac:dyDescent="0.25">
      <c r="A135" s="1911">
        <v>3114</v>
      </c>
      <c r="B135" s="1351">
        <v>5171</v>
      </c>
      <c r="C135" s="1352" t="s">
        <v>1815</v>
      </c>
      <c r="D135" s="1353">
        <v>200000</v>
      </c>
      <c r="E135" s="1353">
        <v>200000</v>
      </c>
      <c r="F135" s="1353">
        <f>+'[3]Č.p. 65'!$B$13</f>
        <v>200000</v>
      </c>
      <c r="G135" s="1354">
        <f t="shared" si="25"/>
        <v>0</v>
      </c>
      <c r="H135" s="1343"/>
      <c r="I135" s="1347"/>
      <c r="J135" s="1348"/>
    </row>
    <row r="136" spans="1:10" ht="20.25" customHeight="1" outlineLevel="1" x14ac:dyDescent="0.25">
      <c r="A136" s="1911">
        <v>3114</v>
      </c>
      <c r="B136" s="1351">
        <v>5171</v>
      </c>
      <c r="C136" s="1352"/>
      <c r="D136" s="1353">
        <v>0</v>
      </c>
      <c r="E136" s="1353">
        <v>0</v>
      </c>
      <c r="F136" s="1353">
        <f>[2]č.p.65!$B$33</f>
        <v>0</v>
      </c>
      <c r="G136" s="1318">
        <f t="shared" si="25"/>
        <v>0</v>
      </c>
      <c r="H136" s="1343"/>
      <c r="I136" s="1347"/>
      <c r="J136" s="1348"/>
    </row>
    <row r="137" spans="1:10" ht="20.25" customHeight="1" outlineLevel="1" x14ac:dyDescent="0.25">
      <c r="A137" s="1914">
        <v>3114</v>
      </c>
      <c r="B137" s="1360">
        <v>5171</v>
      </c>
      <c r="C137" s="1322"/>
      <c r="D137" s="1323">
        <v>0</v>
      </c>
      <c r="E137" s="1323">
        <v>0</v>
      </c>
      <c r="F137" s="1323">
        <f>[2]č.p.65!$B$34</f>
        <v>0</v>
      </c>
      <c r="G137" s="1318">
        <f t="shared" si="25"/>
        <v>0</v>
      </c>
      <c r="H137" s="1343"/>
      <c r="I137" s="1347"/>
      <c r="J137" s="1348"/>
    </row>
    <row r="138" spans="1:10" ht="20.25" customHeight="1" collapsed="1" thickBot="1" x14ac:dyDescent="0.3">
      <c r="A138" s="2748" t="s">
        <v>213</v>
      </c>
      <c r="B138" s="2749"/>
      <c r="C138" s="1918"/>
      <c r="D138" s="1919">
        <v>280000</v>
      </c>
      <c r="E138" s="1919">
        <v>280000</v>
      </c>
      <c r="F138" s="1919">
        <f t="shared" ref="F138" si="26">SUM(F134:F137)</f>
        <v>280000</v>
      </c>
      <c r="G138" s="1920">
        <f t="shared" si="25"/>
        <v>0</v>
      </c>
      <c r="H138" s="1346">
        <f>'Výdaje kapitol celkem'!BF35</f>
        <v>280000</v>
      </c>
      <c r="I138" s="1347">
        <f>+H138-F138</f>
        <v>0</v>
      </c>
      <c r="J138" s="1348"/>
    </row>
    <row r="139" spans="1:10" ht="20.25" hidden="1" customHeight="1" outlineLevel="1" x14ac:dyDescent="0.25">
      <c r="A139" s="1914">
        <v>3749</v>
      </c>
      <c r="B139" s="1360">
        <v>5171</v>
      </c>
      <c r="C139" s="1322"/>
      <c r="D139" s="1323">
        <v>0</v>
      </c>
      <c r="E139" s="1323">
        <v>0</v>
      </c>
      <c r="F139" s="1323">
        <f>+[3]Rybníky!$B$12</f>
        <v>0</v>
      </c>
      <c r="G139" s="1318">
        <f t="shared" si="25"/>
        <v>0</v>
      </c>
      <c r="H139" s="1343"/>
      <c r="I139" s="1347"/>
      <c r="J139" s="1348"/>
    </row>
    <row r="140" spans="1:10" ht="20.25" hidden="1" customHeight="1" outlineLevel="1" x14ac:dyDescent="0.25">
      <c r="A140" s="1911">
        <v>3749</v>
      </c>
      <c r="B140" s="1351">
        <v>5171</v>
      </c>
      <c r="C140" s="1352"/>
      <c r="D140" s="1353">
        <v>0</v>
      </c>
      <c r="E140" s="1353">
        <v>0</v>
      </c>
      <c r="F140" s="1353">
        <f>+[3]Rybníky!$B$13</f>
        <v>0</v>
      </c>
      <c r="G140" s="1354">
        <f t="shared" si="25"/>
        <v>0</v>
      </c>
      <c r="H140" s="1343"/>
      <c r="I140" s="1347"/>
      <c r="J140" s="1348"/>
    </row>
    <row r="141" spans="1:10" ht="20.25" hidden="1" customHeight="1" outlineLevel="1" x14ac:dyDescent="0.25">
      <c r="A141" s="1910">
        <v>3749</v>
      </c>
      <c r="B141" s="1315">
        <v>5171</v>
      </c>
      <c r="C141" s="1316"/>
      <c r="D141" s="1320"/>
      <c r="E141" s="1320"/>
      <c r="F141" s="1320"/>
      <c r="G141" s="1321">
        <f t="shared" si="25"/>
        <v>0</v>
      </c>
      <c r="H141" s="1343"/>
      <c r="I141" s="1347"/>
      <c r="J141" s="1348"/>
    </row>
    <row r="142" spans="1:10" ht="20.25" customHeight="1" thickBot="1" x14ac:dyDescent="0.3">
      <c r="A142" s="2748" t="s">
        <v>1202</v>
      </c>
      <c r="B142" s="2749"/>
      <c r="C142" s="1918"/>
      <c r="D142" s="1919">
        <v>0</v>
      </c>
      <c r="E142" s="1919">
        <v>0</v>
      </c>
      <c r="F142" s="1919">
        <f t="shared" ref="F142" si="27">SUM(F139:F141)</f>
        <v>0</v>
      </c>
      <c r="G142" s="1920">
        <f t="shared" si="25"/>
        <v>0</v>
      </c>
      <c r="H142" s="1346">
        <f>'Výdaje kapitol celkem'!DK35</f>
        <v>0</v>
      </c>
      <c r="I142" s="1347">
        <f>+H142-F142</f>
        <v>0</v>
      </c>
      <c r="J142" s="1348"/>
    </row>
    <row r="143" spans="1:10" ht="20.25" customHeight="1" outlineLevel="1" x14ac:dyDescent="0.25">
      <c r="A143" s="1914" t="s">
        <v>199</v>
      </c>
      <c r="B143" s="1360">
        <v>5171</v>
      </c>
      <c r="C143" s="1322" t="s">
        <v>1762</v>
      </c>
      <c r="D143" s="1323">
        <v>1500000</v>
      </c>
      <c r="E143" s="1323">
        <v>1500000</v>
      </c>
      <c r="F143" s="1323">
        <f>+'[5]Vodovod obnova'!$B$6</f>
        <v>2500000</v>
      </c>
      <c r="G143" s="1318">
        <f t="shared" si="25"/>
        <v>1000000</v>
      </c>
      <c r="H143" s="1343"/>
      <c r="I143" s="1347"/>
      <c r="J143" s="1348"/>
    </row>
    <row r="144" spans="1:10" ht="20.25" customHeight="1" outlineLevel="1" x14ac:dyDescent="0.25">
      <c r="A144" s="1911" t="s">
        <v>199</v>
      </c>
      <c r="B144" s="1351">
        <v>5171</v>
      </c>
      <c r="C144" s="1352"/>
      <c r="D144" s="1353">
        <v>0</v>
      </c>
      <c r="E144" s="1353">
        <v>0</v>
      </c>
      <c r="F144" s="1353">
        <v>0</v>
      </c>
      <c r="G144" s="1354">
        <f t="shared" si="25"/>
        <v>0</v>
      </c>
      <c r="H144" s="1343"/>
      <c r="I144" s="1347"/>
      <c r="J144" s="1348"/>
    </row>
    <row r="145" spans="1:10" ht="20.25" customHeight="1" outlineLevel="1" x14ac:dyDescent="0.25">
      <c r="A145" s="1910" t="s">
        <v>199</v>
      </c>
      <c r="B145" s="1315">
        <v>5171</v>
      </c>
      <c r="C145" s="1316"/>
      <c r="D145" s="1320"/>
      <c r="E145" s="1320"/>
      <c r="F145" s="1320"/>
      <c r="G145" s="1321">
        <f t="shared" si="25"/>
        <v>0</v>
      </c>
      <c r="H145" s="1343"/>
      <c r="I145" s="1347"/>
      <c r="J145" s="1348"/>
    </row>
    <row r="146" spans="1:10" ht="24.95" customHeight="1" thickBot="1" x14ac:dyDescent="0.3">
      <c r="A146" s="2748" t="s">
        <v>216</v>
      </c>
      <c r="B146" s="2749"/>
      <c r="C146" s="1918"/>
      <c r="D146" s="1919">
        <v>1500000</v>
      </c>
      <c r="E146" s="1919">
        <v>1500000</v>
      </c>
      <c r="F146" s="1919">
        <f t="shared" ref="F146" si="28">SUM(F143:F145)</f>
        <v>2500000</v>
      </c>
      <c r="G146" s="1920">
        <f t="shared" si="25"/>
        <v>1000000</v>
      </c>
      <c r="H146" s="1346">
        <f>'Výdaje kapitol celkem'!CJ35</f>
        <v>2500000</v>
      </c>
      <c r="I146" s="1347">
        <v>0</v>
      </c>
      <c r="J146" s="1348"/>
    </row>
    <row r="147" spans="1:10" s="1349" customFormat="1" ht="18" customHeight="1" thickBot="1" x14ac:dyDescent="0.3">
      <c r="A147" s="2741" t="s">
        <v>217</v>
      </c>
      <c r="B147" s="2742"/>
      <c r="C147" s="2743"/>
      <c r="D147" s="1929">
        <v>23981480</v>
      </c>
      <c r="E147" s="1929">
        <v>18476480</v>
      </c>
      <c r="F147" s="1929">
        <f>+F146+F138+F133+F129+F125+F121+F117+F102+F97+F94+F91+F86+F82+F75+F70+F49+F46+F41+F30+F25+F18+F15+F12+F8+F59+F55+F52+F67+F63+F34</f>
        <v>26616480</v>
      </c>
      <c r="G147" s="1930">
        <f t="shared" si="25"/>
        <v>8140000</v>
      </c>
      <c r="H147" s="1343"/>
      <c r="I147" s="1369"/>
      <c r="J147" s="1348"/>
    </row>
    <row r="148" spans="1:10" x14ac:dyDescent="0.25">
      <c r="A148" s="1908"/>
      <c r="B148" s="1339"/>
      <c r="C148" s="1339"/>
      <c r="D148" s="1340">
        <v>23981480</v>
      </c>
      <c r="E148" s="1340">
        <v>18476480</v>
      </c>
      <c r="F148" s="1340">
        <f>'Výdaje kapitol celkem'!F35</f>
        <v>26616480</v>
      </c>
      <c r="G148" s="1342"/>
      <c r="H148" s="1343"/>
      <c r="I148" s="1344"/>
    </row>
    <row r="149" spans="1:10" s="1371" customFormat="1" x14ac:dyDescent="0.25">
      <c r="A149" s="1915"/>
      <c r="B149" s="1370"/>
      <c r="C149" s="1370" t="s">
        <v>218</v>
      </c>
      <c r="D149" s="1342">
        <v>0</v>
      </c>
      <c r="E149" s="1342">
        <v>0</v>
      </c>
      <c r="F149" s="1342">
        <f t="shared" ref="F149" si="29">+F147-F148</f>
        <v>0</v>
      </c>
      <c r="G149" s="1342"/>
      <c r="H149" s="1343"/>
      <c r="I149" s="1344"/>
    </row>
    <row r="150" spans="1:10" x14ac:dyDescent="0.25">
      <c r="A150" s="1916" t="s">
        <v>546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94:B94"/>
    <mergeCell ref="A97:B97"/>
    <mergeCell ref="A102:B102"/>
    <mergeCell ref="A117:B117"/>
    <mergeCell ref="A121:B121"/>
    <mergeCell ref="A125:B125"/>
    <mergeCell ref="A129:B129"/>
    <mergeCell ref="A133:B133"/>
    <mergeCell ref="A138:B138"/>
    <mergeCell ref="A142:B142"/>
    <mergeCell ref="A147:C147"/>
    <mergeCell ref="A8:B8"/>
    <mergeCell ref="A12:B12"/>
    <mergeCell ref="A15:B15"/>
    <mergeCell ref="A18:B18"/>
    <mergeCell ref="A25:B25"/>
    <mergeCell ref="A30:B30"/>
    <mergeCell ref="A41:B41"/>
    <mergeCell ref="A46:B46"/>
    <mergeCell ref="A49:B49"/>
    <mergeCell ref="A52:B52"/>
    <mergeCell ref="A55:B55"/>
    <mergeCell ref="A86:B86"/>
    <mergeCell ref="A63:B63"/>
    <mergeCell ref="A34:B34"/>
    <mergeCell ref="A146:B146"/>
    <mergeCell ref="A59:B59"/>
    <mergeCell ref="A82:B82"/>
    <mergeCell ref="A67:B67"/>
    <mergeCell ref="A91:B91"/>
    <mergeCell ref="A2:C2"/>
    <mergeCell ref="A70:B70"/>
    <mergeCell ref="A75:B75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topLeftCell="A4" zoomScale="80" zoomScaleNormal="80" workbookViewId="0">
      <selection activeCell="H11" sqref="H11"/>
    </sheetView>
  </sheetViews>
  <sheetFormatPr defaultColWidth="9.140625" defaultRowHeight="13.5" outlineLevelRow="1" x14ac:dyDescent="0.25"/>
  <cols>
    <col min="1" max="1" width="16" style="976" customWidth="1"/>
    <col min="2" max="2" width="11.5703125" style="976" customWidth="1"/>
    <col min="3" max="3" width="65.42578125" style="976" bestFit="1" customWidth="1"/>
    <col min="4" max="4" width="14.28515625" style="977" bestFit="1" customWidth="1"/>
    <col min="5" max="6" width="13.140625" style="977" bestFit="1" customWidth="1"/>
    <col min="7" max="7" width="15.42578125" style="978" customWidth="1"/>
    <col min="8" max="8" width="16.7109375" style="1288" customWidth="1"/>
    <col min="9" max="9" width="16.28515625" style="1289" customWidth="1"/>
    <col min="10" max="16384" width="9.140625" style="976"/>
  </cols>
  <sheetData>
    <row r="1" spans="1:10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8"/>
      <c r="H1" s="1249"/>
      <c r="I1" s="1250"/>
    </row>
    <row r="2" spans="1:10" s="1255" customFormat="1" ht="20.25" customHeight="1" x14ac:dyDescent="0.3">
      <c r="A2" s="2733" t="s">
        <v>1173</v>
      </c>
      <c r="B2" s="2733"/>
      <c r="C2" s="2734"/>
      <c r="D2" s="1251"/>
      <c r="E2" s="1251"/>
      <c r="F2" s="1251"/>
      <c r="G2" s="1252"/>
      <c r="H2" s="1253"/>
      <c r="I2" s="1254"/>
    </row>
    <row r="3" spans="1:10" ht="14.25" thickBot="1" x14ac:dyDescent="0.3">
      <c r="A3" s="919"/>
      <c r="B3" s="919"/>
      <c r="C3" s="919"/>
      <c r="D3" s="917"/>
      <c r="E3" s="917"/>
      <c r="F3" s="917"/>
      <c r="G3" s="947"/>
      <c r="H3" s="1256"/>
      <c r="I3" s="958"/>
    </row>
    <row r="4" spans="1:10" ht="27.75" thickBot="1" x14ac:dyDescent="0.3">
      <c r="A4" s="1257" t="s">
        <v>1</v>
      </c>
      <c r="B4" s="1258" t="s">
        <v>64</v>
      </c>
      <c r="C4" s="1259" t="s">
        <v>6</v>
      </c>
      <c r="D4" s="1260" t="s">
        <v>1586</v>
      </c>
      <c r="E4" s="1260" t="s">
        <v>2048</v>
      </c>
      <c r="F4" s="1260" t="s">
        <v>2217</v>
      </c>
      <c r="G4" s="1261" t="s">
        <v>5</v>
      </c>
      <c r="H4" s="1256"/>
      <c r="I4" s="958" t="s">
        <v>711</v>
      </c>
    </row>
    <row r="5" spans="1:10" ht="15.75" customHeight="1" outlineLevel="1" x14ac:dyDescent="0.25">
      <c r="A5" s="1262">
        <v>6171</v>
      </c>
      <c r="B5" s="1263">
        <v>5172</v>
      </c>
      <c r="C5" s="1264" t="s">
        <v>2040</v>
      </c>
      <c r="D5" s="1265">
        <v>2450000</v>
      </c>
      <c r="E5" s="1265">
        <v>2450000</v>
      </c>
      <c r="F5" s="1265">
        <f>[2]Správa!$B$76</f>
        <v>2450000</v>
      </c>
      <c r="G5" s="1266">
        <f>+F5-E5</f>
        <v>0</v>
      </c>
      <c r="H5" s="1256"/>
      <c r="I5" s="958"/>
    </row>
    <row r="6" spans="1:10" ht="29.25" customHeight="1" outlineLevel="1" x14ac:dyDescent="0.25">
      <c r="A6" s="1267">
        <v>6171</v>
      </c>
      <c r="B6" s="1268">
        <v>5172</v>
      </c>
      <c r="C6" s="1269" t="s">
        <v>2041</v>
      </c>
      <c r="D6" s="1270">
        <v>600000</v>
      </c>
      <c r="E6" s="1270">
        <v>600000</v>
      </c>
      <c r="F6" s="1270">
        <f>[2]Správa!$B$77</f>
        <v>600000</v>
      </c>
      <c r="G6" s="1271">
        <f t="shared" ref="G6:G23" si="0">+F6-E6</f>
        <v>0</v>
      </c>
      <c r="H6" s="1256"/>
      <c r="I6" s="958"/>
    </row>
    <row r="7" spans="1:10" s="979" customFormat="1" ht="16.5" customHeight="1" thickBot="1" x14ac:dyDescent="0.3">
      <c r="A7" s="2731" t="s">
        <v>214</v>
      </c>
      <c r="B7" s="2732"/>
      <c r="C7" s="1924"/>
      <c r="D7" s="1925">
        <v>3050000</v>
      </c>
      <c r="E7" s="1925">
        <v>3050000</v>
      </c>
      <c r="F7" s="1925">
        <f>SUM(F5:F6)</f>
        <v>3050000</v>
      </c>
      <c r="G7" s="1926">
        <f t="shared" si="0"/>
        <v>0</v>
      </c>
      <c r="H7" s="954">
        <f>'Výdaje kapitol celkem'!O36</f>
        <v>3050000</v>
      </c>
      <c r="I7" s="1095">
        <f>+H7-F7</f>
        <v>0</v>
      </c>
      <c r="J7" s="987"/>
    </row>
    <row r="8" spans="1:10" ht="15.75" customHeight="1" outlineLevel="1" x14ac:dyDescent="0.25">
      <c r="A8" s="1262">
        <v>4351</v>
      </c>
      <c r="B8" s="1263">
        <v>5172</v>
      </c>
      <c r="C8" s="1264" t="s">
        <v>2040</v>
      </c>
      <c r="D8" s="1265">
        <v>10000</v>
      </c>
      <c r="E8" s="1265">
        <v>10000</v>
      </c>
      <c r="F8" s="1265">
        <f>'[2]Pečovatelská služba'!$B$67</f>
        <v>10000</v>
      </c>
      <c r="G8" s="1266">
        <f t="shared" si="0"/>
        <v>0</v>
      </c>
      <c r="H8" s="1256"/>
      <c r="I8" s="1095"/>
      <c r="J8" s="987"/>
    </row>
    <row r="9" spans="1:10" ht="15.75" customHeight="1" outlineLevel="1" x14ac:dyDescent="0.25">
      <c r="A9" s="1267">
        <v>4351</v>
      </c>
      <c r="B9" s="1268">
        <v>5137</v>
      </c>
      <c r="C9" s="1269"/>
      <c r="D9" s="1270">
        <v>0</v>
      </c>
      <c r="E9" s="1270">
        <v>0</v>
      </c>
      <c r="F9" s="1270">
        <v>0</v>
      </c>
      <c r="G9" s="1275">
        <f t="shared" si="0"/>
        <v>0</v>
      </c>
      <c r="H9" s="1256"/>
      <c r="I9" s="1095"/>
      <c r="J9" s="987"/>
    </row>
    <row r="10" spans="1:10" s="979" customFormat="1" ht="16.5" customHeight="1" thickBot="1" x14ac:dyDescent="0.3">
      <c r="A10" s="2731" t="s">
        <v>215</v>
      </c>
      <c r="B10" s="2732"/>
      <c r="C10" s="1924"/>
      <c r="D10" s="1925">
        <v>10000</v>
      </c>
      <c r="E10" s="1925">
        <v>10000</v>
      </c>
      <c r="F10" s="1925">
        <f>SUM(F8:F9)</f>
        <v>10000</v>
      </c>
      <c r="G10" s="1926">
        <f t="shared" si="0"/>
        <v>0</v>
      </c>
      <c r="H10" s="954">
        <f>'Výdaje kapitol celkem'!T36</f>
        <v>10000</v>
      </c>
      <c r="I10" s="1095">
        <f>+H10-F10</f>
        <v>0</v>
      </c>
      <c r="J10" s="987"/>
    </row>
    <row r="11" spans="1:10" ht="15.75" customHeight="1" outlineLevel="1" x14ac:dyDescent="0.25">
      <c r="A11" s="1262" t="s">
        <v>198</v>
      </c>
      <c r="B11" s="1263">
        <v>5172</v>
      </c>
      <c r="C11" s="1264" t="s">
        <v>2242</v>
      </c>
      <c r="D11" s="1265">
        <v>0</v>
      </c>
      <c r="E11" s="1265">
        <v>43300</v>
      </c>
      <c r="F11" s="1265">
        <f>'[2]Městská policie'!$B$93</f>
        <v>43300</v>
      </c>
      <c r="G11" s="1266">
        <f t="shared" si="0"/>
        <v>0</v>
      </c>
      <c r="H11" s="1256"/>
      <c r="I11" s="1095"/>
      <c r="J11" s="987"/>
    </row>
    <row r="12" spans="1:10" ht="15.75" customHeight="1" outlineLevel="1" x14ac:dyDescent="0.25">
      <c r="A12" s="1267" t="s">
        <v>198</v>
      </c>
      <c r="B12" s="1268">
        <v>5172</v>
      </c>
      <c r="C12" s="1269" t="s">
        <v>2042</v>
      </c>
      <c r="D12" s="1270">
        <v>200000</v>
      </c>
      <c r="E12" s="1270">
        <v>200000</v>
      </c>
      <c r="F12" s="1270">
        <f>'[2]Městská policie'!$B$94</f>
        <v>200000</v>
      </c>
      <c r="G12" s="1271">
        <f t="shared" si="0"/>
        <v>0</v>
      </c>
      <c r="H12" s="1256"/>
      <c r="I12" s="1095"/>
      <c r="J12" s="987"/>
    </row>
    <row r="13" spans="1:10" s="979" customFormat="1" ht="16.5" customHeight="1" thickBot="1" x14ac:dyDescent="0.3">
      <c r="A13" s="2731" t="s">
        <v>1183</v>
      </c>
      <c r="B13" s="2732"/>
      <c r="C13" s="1924"/>
      <c r="D13" s="1925">
        <v>200000</v>
      </c>
      <c r="E13" s="1925">
        <v>243300</v>
      </c>
      <c r="F13" s="1925">
        <f>SUM(F11:F12)</f>
        <v>243300</v>
      </c>
      <c r="G13" s="1926">
        <f t="shared" si="0"/>
        <v>0</v>
      </c>
      <c r="H13" s="954">
        <f>'Výdaje kapitol celkem'!V36</f>
        <v>243300</v>
      </c>
      <c r="I13" s="1095">
        <f>+H13-F13</f>
        <v>0</v>
      </c>
      <c r="J13" s="987"/>
    </row>
    <row r="14" spans="1:10" ht="15.75" customHeight="1" outlineLevel="1" x14ac:dyDescent="0.25">
      <c r="A14" s="1262">
        <v>3319</v>
      </c>
      <c r="B14" s="1263">
        <v>5172</v>
      </c>
      <c r="C14" s="1264" t="s">
        <v>2043</v>
      </c>
      <c r="D14" s="1265">
        <v>6000</v>
      </c>
      <c r="E14" s="1265">
        <v>6000</v>
      </c>
      <c r="F14" s="1265">
        <f>[2]Kronika!$B$26</f>
        <v>6000</v>
      </c>
      <c r="G14" s="1266">
        <f t="shared" si="0"/>
        <v>0</v>
      </c>
      <c r="H14" s="1256"/>
      <c r="I14" s="1095"/>
      <c r="J14" s="987"/>
    </row>
    <row r="15" spans="1:10" ht="15.75" customHeight="1" outlineLevel="1" x14ac:dyDescent="0.25">
      <c r="A15" s="1267">
        <v>3319</v>
      </c>
      <c r="B15" s="1268">
        <v>5137</v>
      </c>
      <c r="C15" s="1269"/>
      <c r="D15" s="1270">
        <v>0</v>
      </c>
      <c r="E15" s="1270">
        <v>0</v>
      </c>
      <c r="F15" s="1270">
        <v>0</v>
      </c>
      <c r="G15" s="1275">
        <f t="shared" si="0"/>
        <v>0</v>
      </c>
      <c r="H15" s="1256"/>
      <c r="I15" s="1095"/>
      <c r="J15" s="987"/>
    </row>
    <row r="16" spans="1:10" s="979" customFormat="1" ht="16.5" customHeight="1" thickBot="1" x14ac:dyDescent="0.3">
      <c r="A16" s="2731" t="s">
        <v>1182</v>
      </c>
      <c r="B16" s="2732"/>
      <c r="C16" s="1924"/>
      <c r="D16" s="1925">
        <v>6000</v>
      </c>
      <c r="E16" s="1925">
        <v>6000</v>
      </c>
      <c r="F16" s="1925">
        <f>SUM(F14:F15)</f>
        <v>6000</v>
      </c>
      <c r="G16" s="1926">
        <f t="shared" si="0"/>
        <v>0</v>
      </c>
      <c r="H16" s="954">
        <f>'Výdaje kapitol celkem'!W36</f>
        <v>6000</v>
      </c>
      <c r="I16" s="1095">
        <f>+H16-F16</f>
        <v>0</v>
      </c>
      <c r="J16" s="987"/>
    </row>
    <row r="17" spans="1:10" ht="15.75" customHeight="1" outlineLevel="1" x14ac:dyDescent="0.25">
      <c r="A17" s="1262">
        <v>3314</v>
      </c>
      <c r="B17" s="1263">
        <v>5172</v>
      </c>
      <c r="C17" s="1264" t="s">
        <v>2040</v>
      </c>
      <c r="D17" s="1265">
        <v>25000</v>
      </c>
      <c r="E17" s="1265">
        <v>25000</v>
      </c>
      <c r="F17" s="1265">
        <f>[2]Knihovna!$B$69</f>
        <v>25000</v>
      </c>
      <c r="G17" s="1266">
        <f t="shared" si="0"/>
        <v>0</v>
      </c>
      <c r="H17" s="1256"/>
      <c r="I17" s="1095"/>
      <c r="J17" s="987"/>
    </row>
    <row r="18" spans="1:10" ht="15.75" customHeight="1" outlineLevel="1" x14ac:dyDescent="0.25">
      <c r="A18" s="1267">
        <v>3314</v>
      </c>
      <c r="B18" s="1268">
        <v>5172</v>
      </c>
      <c r="C18" s="1269"/>
      <c r="D18" s="1270"/>
      <c r="E18" s="1270"/>
      <c r="F18" s="1270"/>
      <c r="G18" s="1275">
        <f t="shared" si="0"/>
        <v>0</v>
      </c>
      <c r="H18" s="1256"/>
      <c r="I18" s="1095"/>
      <c r="J18" s="987"/>
    </row>
    <row r="19" spans="1:10" s="979" customFormat="1" ht="16.5" customHeight="1" thickBot="1" x14ac:dyDescent="0.3">
      <c r="A19" s="2731" t="s">
        <v>1184</v>
      </c>
      <c r="B19" s="2732"/>
      <c r="C19" s="1924"/>
      <c r="D19" s="1925">
        <v>25000</v>
      </c>
      <c r="E19" s="1925">
        <v>25000</v>
      </c>
      <c r="F19" s="1925">
        <f>SUM(F17:F18)</f>
        <v>25000</v>
      </c>
      <c r="G19" s="1926">
        <f t="shared" si="0"/>
        <v>0</v>
      </c>
      <c r="H19" s="954">
        <f>'Výdaje kapitol celkem'!Y36</f>
        <v>25000</v>
      </c>
      <c r="I19" s="1095">
        <f>+H19-F19</f>
        <v>0</v>
      </c>
      <c r="J19" s="987"/>
    </row>
    <row r="20" spans="1:10" ht="20.25" customHeight="1" outlineLevel="1" x14ac:dyDescent="0.25">
      <c r="A20" s="1267">
        <v>5512</v>
      </c>
      <c r="B20" s="1268">
        <v>5172</v>
      </c>
      <c r="C20" s="1264" t="s">
        <v>2040</v>
      </c>
      <c r="D20" s="1270">
        <v>30000</v>
      </c>
      <c r="E20" s="1270">
        <v>30000</v>
      </c>
      <c r="F20" s="1270">
        <f>[2]Hasiči!$B$69</f>
        <v>30000</v>
      </c>
      <c r="G20" s="1275">
        <f t="shared" si="0"/>
        <v>0</v>
      </c>
      <c r="H20" s="1256"/>
      <c r="I20" s="1095"/>
      <c r="J20" s="987"/>
    </row>
    <row r="21" spans="1:10" ht="20.25" customHeight="1" outlineLevel="1" x14ac:dyDescent="0.25">
      <c r="A21" s="1267">
        <v>5512</v>
      </c>
      <c r="B21" s="1268">
        <v>5137</v>
      </c>
      <c r="C21" s="1269"/>
      <c r="D21" s="1270">
        <v>0</v>
      </c>
      <c r="E21" s="1270">
        <v>0</v>
      </c>
      <c r="F21" s="1270">
        <v>0</v>
      </c>
      <c r="G21" s="1275">
        <f t="shared" si="0"/>
        <v>0</v>
      </c>
      <c r="H21" s="1256"/>
      <c r="I21" s="1095"/>
      <c r="J21" s="987"/>
    </row>
    <row r="22" spans="1:10" ht="20.25" customHeight="1" thickBot="1" x14ac:dyDescent="0.3">
      <c r="A22" s="2731" t="s">
        <v>204</v>
      </c>
      <c r="B22" s="2732"/>
      <c r="C22" s="1924"/>
      <c r="D22" s="1925">
        <v>30000</v>
      </c>
      <c r="E22" s="1925">
        <v>30000</v>
      </c>
      <c r="F22" s="1925">
        <f>SUM(F20:F21)</f>
        <v>30000</v>
      </c>
      <c r="G22" s="1926">
        <f t="shared" si="0"/>
        <v>0</v>
      </c>
      <c r="H22" s="954">
        <f>'Výdaje kapitol celkem'!AK36</f>
        <v>30000</v>
      </c>
      <c r="I22" s="1095">
        <f>+H22-F22</f>
        <v>0</v>
      </c>
      <c r="J22" s="987"/>
    </row>
    <row r="23" spans="1:10" s="1085" customFormat="1" ht="17.25" thickBot="1" x14ac:dyDescent="0.35">
      <c r="A23" s="2735" t="s">
        <v>1174</v>
      </c>
      <c r="B23" s="2736"/>
      <c r="C23" s="2737"/>
      <c r="D23" s="1284">
        <v>3321000</v>
      </c>
      <c r="E23" s="1284">
        <v>3364300</v>
      </c>
      <c r="F23" s="1284">
        <f>+F22+F19+F16+F13+F10+F7</f>
        <v>3364300</v>
      </c>
      <c r="G23" s="1285">
        <f t="shared" si="0"/>
        <v>0</v>
      </c>
      <c r="H23" s="1286"/>
      <c r="I23" s="1287"/>
      <c r="J23" s="987"/>
    </row>
    <row r="24" spans="1:10" x14ac:dyDescent="0.25">
      <c r="A24" s="919"/>
      <c r="B24" s="919"/>
      <c r="C24" s="919"/>
      <c r="D24" s="918">
        <v>3321000</v>
      </c>
      <c r="E24" s="918">
        <v>3364300</v>
      </c>
      <c r="F24" s="918">
        <f>'Výdaje kapitol celkem'!F36</f>
        <v>3364300</v>
      </c>
      <c r="G24" s="947"/>
      <c r="H24" s="1256"/>
      <c r="I24" s="958"/>
    </row>
    <row r="25" spans="1:10" s="980" customFormat="1" x14ac:dyDescent="0.25">
      <c r="A25" s="944"/>
      <c r="B25" s="944"/>
      <c r="C25" s="944" t="s">
        <v>218</v>
      </c>
      <c r="D25" s="947">
        <v>0</v>
      </c>
      <c r="E25" s="947">
        <v>0</v>
      </c>
      <c r="F25" s="947">
        <f>+F24-F23</f>
        <v>0</v>
      </c>
      <c r="G25" s="947"/>
      <c r="H25" s="1256"/>
      <c r="I25" s="958"/>
    </row>
    <row r="26" spans="1:10" x14ac:dyDescent="0.25">
      <c r="A26" s="1238" t="s">
        <v>546</v>
      </c>
      <c r="B26" s="919"/>
      <c r="C26" s="919"/>
      <c r="D26" s="918"/>
      <c r="E26" s="918"/>
      <c r="F26" s="918"/>
      <c r="G26" s="947"/>
      <c r="H26" s="1256"/>
      <c r="I26" s="958"/>
    </row>
  </sheetData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"/>
  <sheetViews>
    <sheetView zoomScale="80" zoomScaleNormal="80" workbookViewId="0">
      <selection activeCell="E7" sqref="E7"/>
    </sheetView>
  </sheetViews>
  <sheetFormatPr defaultColWidth="9.140625" defaultRowHeight="13.5" x14ac:dyDescent="0.25"/>
  <cols>
    <col min="1" max="1" width="26.42578125" style="976" customWidth="1"/>
    <col min="2" max="2" width="8.85546875" style="976" customWidth="1"/>
    <col min="3" max="3" width="19.140625" style="976" bestFit="1" customWidth="1"/>
    <col min="4" max="5" width="15.140625" style="976" customWidth="1"/>
    <col min="6" max="6" width="15" style="976" customWidth="1"/>
    <col min="7" max="7" width="16" style="976" customWidth="1"/>
    <col min="8" max="8" width="15.5703125" style="981" customWidth="1"/>
    <col min="9" max="9" width="10.42578125" style="1289" bestFit="1" customWidth="1"/>
    <col min="10" max="10" width="23.7109375" style="976" customWidth="1"/>
    <col min="11" max="16384" width="9.140625" style="976"/>
  </cols>
  <sheetData>
    <row r="1" spans="1:10" ht="16.5" x14ac:dyDescent="0.3">
      <c r="A1" s="1245" t="s">
        <v>1579</v>
      </c>
      <c r="B1" s="919"/>
      <c r="C1" s="919"/>
      <c r="D1" s="919"/>
      <c r="E1" s="919"/>
      <c r="F1" s="919"/>
      <c r="G1" s="919"/>
      <c r="H1" s="1379"/>
      <c r="I1" s="1250"/>
      <c r="J1" s="919"/>
    </row>
    <row r="2" spans="1:10" x14ac:dyDescent="0.25">
      <c r="A2" s="1378" t="s">
        <v>98</v>
      </c>
      <c r="B2" s="919"/>
      <c r="C2" s="919"/>
      <c r="D2" s="919"/>
      <c r="E2" s="919"/>
      <c r="F2" s="919"/>
      <c r="G2" s="919"/>
      <c r="H2" s="1379"/>
      <c r="I2" s="1250"/>
      <c r="J2" s="919"/>
    </row>
    <row r="3" spans="1:10" ht="14.25" thickBot="1" x14ac:dyDescent="0.3">
      <c r="A3" s="1378"/>
      <c r="B3" s="919"/>
      <c r="C3" s="919"/>
      <c r="D3" s="919"/>
      <c r="E3" s="919"/>
      <c r="F3" s="919"/>
      <c r="G3" s="919"/>
      <c r="H3" s="1380"/>
      <c r="I3" s="1254"/>
      <c r="J3" s="919"/>
    </row>
    <row r="4" spans="1:10" s="1386" customFormat="1" ht="20.100000000000001" customHeight="1" thickBot="1" x14ac:dyDescent="0.25">
      <c r="A4" s="1257" t="s">
        <v>1</v>
      </c>
      <c r="B4" s="1258" t="s">
        <v>64</v>
      </c>
      <c r="C4" s="1381" t="s">
        <v>6</v>
      </c>
      <c r="D4" s="1008" t="s">
        <v>1581</v>
      </c>
      <c r="E4" s="1008" t="s">
        <v>2048</v>
      </c>
      <c r="F4" s="1008" t="s">
        <v>2217</v>
      </c>
      <c r="G4" s="1382" t="s">
        <v>5</v>
      </c>
      <c r="H4" s="1383" t="s">
        <v>768</v>
      </c>
      <c r="I4" s="1384" t="s">
        <v>711</v>
      </c>
      <c r="J4" s="1385" t="s">
        <v>549</v>
      </c>
    </row>
    <row r="5" spans="1:10" s="1392" customFormat="1" ht="24" customHeight="1" x14ac:dyDescent="0.25">
      <c r="A5" s="1387">
        <v>3113</v>
      </c>
      <c r="B5" s="1388">
        <v>5331</v>
      </c>
      <c r="C5" s="1389" t="s">
        <v>146</v>
      </c>
      <c r="D5" s="1390">
        <v>5125900</v>
      </c>
      <c r="E5" s="1390">
        <v>9325900</v>
      </c>
      <c r="F5" s="1390">
        <f>[4]ZŠ!$B$35</f>
        <v>16429592</v>
      </c>
      <c r="G5" s="1391">
        <f>+F5-E5</f>
        <v>7103692</v>
      </c>
      <c r="H5" s="957">
        <f>'Výdaje kapitol celkem'!AZ44</f>
        <v>16429592</v>
      </c>
      <c r="I5" s="942">
        <f t="shared" ref="I5:I11" si="0">+H5-F5</f>
        <v>0</v>
      </c>
      <c r="J5" s="1385"/>
    </row>
    <row r="6" spans="1:10" ht="24" customHeight="1" x14ac:dyDescent="0.25">
      <c r="A6" s="1267" t="s">
        <v>249</v>
      </c>
      <c r="B6" s="1268">
        <v>5331</v>
      </c>
      <c r="C6" s="1269" t="s">
        <v>249</v>
      </c>
      <c r="D6" s="1869">
        <v>19700000</v>
      </c>
      <c r="E6" s="1869">
        <v>19700000</v>
      </c>
      <c r="F6" s="1869">
        <f>'Výdaje kapitol celkem'!S44</f>
        <v>19700000</v>
      </c>
      <c r="G6" s="1393">
        <f t="shared" ref="G6:G12" si="1">+F6-E6</f>
        <v>0</v>
      </c>
      <c r="H6" s="957">
        <f>'Výdaje kapitol celkem'!S44</f>
        <v>19700000</v>
      </c>
      <c r="I6" s="942">
        <f t="shared" si="0"/>
        <v>0</v>
      </c>
      <c r="J6" s="2009"/>
    </row>
    <row r="7" spans="1:10" ht="24" customHeight="1" x14ac:dyDescent="0.25">
      <c r="A7" s="1267">
        <v>3421</v>
      </c>
      <c r="B7" s="1268">
        <v>5331</v>
      </c>
      <c r="C7" s="1269" t="s">
        <v>148</v>
      </c>
      <c r="D7" s="1869">
        <v>600000</v>
      </c>
      <c r="E7" s="1869">
        <v>600000</v>
      </c>
      <c r="F7" s="1869">
        <f>[4]MDDM!$B$5</f>
        <v>600000</v>
      </c>
      <c r="G7" s="1393">
        <f t="shared" si="1"/>
        <v>0</v>
      </c>
      <c r="H7" s="957">
        <f>'Výdaje kapitol celkem'!BI44</f>
        <v>600000</v>
      </c>
      <c r="I7" s="942">
        <f t="shared" si="0"/>
        <v>0</v>
      </c>
      <c r="J7" s="1256"/>
    </row>
    <row r="8" spans="1:10" ht="24" customHeight="1" x14ac:dyDescent="0.25">
      <c r="A8" s="1267" t="s">
        <v>174</v>
      </c>
      <c r="B8" s="1268">
        <v>5331</v>
      </c>
      <c r="C8" s="1269" t="s">
        <v>774</v>
      </c>
      <c r="D8" s="1869">
        <v>3974000</v>
      </c>
      <c r="E8" s="1869">
        <v>3974000</v>
      </c>
      <c r="F8" s="1869">
        <f>'[4]MŠ Koll'!$B$7</f>
        <v>3974000</v>
      </c>
      <c r="G8" s="1393">
        <f t="shared" si="1"/>
        <v>0</v>
      </c>
      <c r="H8" s="957">
        <f>'Výdaje kapitol celkem'!BO44</f>
        <v>3974000</v>
      </c>
      <c r="I8" s="942">
        <f t="shared" si="0"/>
        <v>0</v>
      </c>
      <c r="J8" s="919"/>
    </row>
    <row r="9" spans="1:10" ht="24" hidden="1" customHeight="1" x14ac:dyDescent="0.25">
      <c r="A9" s="1267" t="s">
        <v>175</v>
      </c>
      <c r="B9" s="1268">
        <v>5331</v>
      </c>
      <c r="C9" s="1269" t="s">
        <v>775</v>
      </c>
      <c r="D9" s="1869">
        <v>0</v>
      </c>
      <c r="E9" s="1869">
        <v>0</v>
      </c>
      <c r="F9" s="1869">
        <f>'[4]Jídelna ZŠ'!$B$7</f>
        <v>0</v>
      </c>
      <c r="G9" s="1393">
        <f t="shared" si="1"/>
        <v>0</v>
      </c>
      <c r="H9" s="957">
        <f>'Výdaje kapitol celkem'!BR44</f>
        <v>0</v>
      </c>
      <c r="I9" s="942">
        <f t="shared" si="0"/>
        <v>0</v>
      </c>
      <c r="J9" s="919"/>
    </row>
    <row r="10" spans="1:10" ht="24" customHeight="1" x14ac:dyDescent="0.25">
      <c r="A10" s="1267" t="s">
        <v>776</v>
      </c>
      <c r="B10" s="1268">
        <v>5331</v>
      </c>
      <c r="C10" s="1269" t="s">
        <v>777</v>
      </c>
      <c r="D10" s="1868">
        <v>200000</v>
      </c>
      <c r="E10" s="1868">
        <v>200000</v>
      </c>
      <c r="F10" s="1868">
        <f>'[4]Jídelna MŠ Koll.'!$B$7</f>
        <v>200000</v>
      </c>
      <c r="G10" s="1393">
        <f t="shared" si="1"/>
        <v>0</v>
      </c>
      <c r="H10" s="957">
        <f>'Výdaje kapitol celkem'!BU44</f>
        <v>200000</v>
      </c>
      <c r="I10" s="942">
        <f t="shared" si="0"/>
        <v>0</v>
      </c>
      <c r="J10" s="919"/>
    </row>
    <row r="11" spans="1:10" ht="24" hidden="1" customHeight="1" x14ac:dyDescent="0.25">
      <c r="A11" s="1267" t="s">
        <v>480</v>
      </c>
      <c r="B11" s="1268">
        <v>5331</v>
      </c>
      <c r="C11" s="1269" t="s">
        <v>778</v>
      </c>
      <c r="D11" s="1270">
        <v>0</v>
      </c>
      <c r="E11" s="1270">
        <v>0</v>
      </c>
      <c r="F11" s="1270">
        <v>0</v>
      </c>
      <c r="G11" s="1393">
        <f t="shared" si="1"/>
        <v>0</v>
      </c>
      <c r="H11" s="957">
        <f>'Výdaje kapitol celkem'!BV44</f>
        <v>0</v>
      </c>
      <c r="I11" s="942">
        <f t="shared" si="0"/>
        <v>0</v>
      </c>
      <c r="J11" s="919"/>
    </row>
    <row r="12" spans="1:10" ht="18.95" customHeight="1" thickBot="1" x14ac:dyDescent="0.3">
      <c r="A12" s="2750" t="s">
        <v>98</v>
      </c>
      <c r="B12" s="2751"/>
      <c r="C12" s="1272"/>
      <c r="D12" s="1273">
        <v>29599900</v>
      </c>
      <c r="E12" s="1273">
        <v>33799900</v>
      </c>
      <c r="F12" s="1273">
        <f>SUM(F5:F11)</f>
        <v>40903592</v>
      </c>
      <c r="G12" s="1274">
        <f t="shared" si="1"/>
        <v>7103692</v>
      </c>
      <c r="H12" s="956"/>
      <c r="I12" s="958"/>
      <c r="J12" s="919"/>
    </row>
    <row r="13" spans="1:10" x14ac:dyDescent="0.25">
      <c r="A13" s="919"/>
      <c r="B13" s="919"/>
      <c r="C13" s="919"/>
      <c r="D13" s="918">
        <v>29599900</v>
      </c>
      <c r="E13" s="918">
        <v>33799900</v>
      </c>
      <c r="F13" s="918">
        <f>'Výdaje kapitol celkem'!F44</f>
        <v>40903592</v>
      </c>
      <c r="G13" s="919"/>
      <c r="H13" s="956"/>
      <c r="I13" s="958"/>
      <c r="J13" s="919"/>
    </row>
    <row r="14" spans="1:10" s="980" customFormat="1" x14ac:dyDescent="0.25">
      <c r="A14" s="944"/>
      <c r="B14" s="944"/>
      <c r="C14" s="944" t="s">
        <v>237</v>
      </c>
      <c r="D14" s="947">
        <v>0</v>
      </c>
      <c r="E14" s="947">
        <v>0</v>
      </c>
      <c r="F14" s="947">
        <v>0</v>
      </c>
      <c r="G14" s="944"/>
      <c r="H14" s="956"/>
      <c r="I14" s="958"/>
      <c r="J14" s="944"/>
    </row>
    <row r="15" spans="1:10" s="980" customFormat="1" x14ac:dyDescent="0.25">
      <c r="A15" s="1238" t="s">
        <v>546</v>
      </c>
      <c r="B15" s="944"/>
      <c r="C15" s="944"/>
      <c r="D15" s="947"/>
      <c r="E15" s="947"/>
      <c r="F15" s="947"/>
      <c r="G15" s="944"/>
      <c r="H15" s="956"/>
      <c r="I15" s="958"/>
      <c r="J15" s="944"/>
    </row>
    <row r="16" spans="1:10" x14ac:dyDescent="0.25">
      <c r="I16" s="1394"/>
    </row>
    <row r="17" spans="8:9" x14ac:dyDescent="0.25">
      <c r="I17" s="1394"/>
    </row>
    <row r="18" spans="8:9" x14ac:dyDescent="0.25">
      <c r="H18" s="982"/>
      <c r="I18" s="1394"/>
    </row>
    <row r="19" spans="8:9" x14ac:dyDescent="0.25">
      <c r="I19" s="1394"/>
    </row>
    <row r="20" spans="8:9" x14ac:dyDescent="0.25">
      <c r="I20" s="1394"/>
    </row>
    <row r="21" spans="8:9" x14ac:dyDescent="0.25">
      <c r="H21" s="982"/>
      <c r="I21" s="1394"/>
    </row>
    <row r="22" spans="8:9" x14ac:dyDescent="0.25">
      <c r="I22" s="1394"/>
    </row>
    <row r="23" spans="8:9" x14ac:dyDescent="0.25">
      <c r="I23" s="1394"/>
    </row>
    <row r="24" spans="8:9" x14ac:dyDescent="0.25">
      <c r="H24" s="982"/>
      <c r="I24" s="1394"/>
    </row>
    <row r="25" spans="8:9" x14ac:dyDescent="0.25">
      <c r="I25" s="1394"/>
    </row>
    <row r="26" spans="8:9" x14ac:dyDescent="0.25">
      <c r="I26" s="1394"/>
    </row>
    <row r="27" spans="8:9" x14ac:dyDescent="0.25">
      <c r="H27" s="982"/>
      <c r="I27" s="1394"/>
    </row>
    <row r="28" spans="8:9" x14ac:dyDescent="0.25">
      <c r="I28" s="1394"/>
    </row>
    <row r="29" spans="8:9" x14ac:dyDescent="0.25">
      <c r="I29" s="1394"/>
    </row>
    <row r="30" spans="8:9" x14ac:dyDescent="0.25">
      <c r="H30" s="982"/>
      <c r="I30" s="1394"/>
    </row>
    <row r="31" spans="8:9" x14ac:dyDescent="0.25">
      <c r="I31" s="1394"/>
    </row>
    <row r="32" spans="8:9" x14ac:dyDescent="0.25">
      <c r="H32" s="982"/>
      <c r="I32" s="1394"/>
    </row>
    <row r="33" spans="8:9" x14ac:dyDescent="0.25">
      <c r="I33" s="1394"/>
    </row>
    <row r="34" spans="8:9" x14ac:dyDescent="0.25">
      <c r="I34" s="1394"/>
    </row>
    <row r="35" spans="8:9" x14ac:dyDescent="0.25">
      <c r="I35" s="1394"/>
    </row>
    <row r="36" spans="8:9" x14ac:dyDescent="0.25">
      <c r="I36" s="1394"/>
    </row>
    <row r="37" spans="8:9" x14ac:dyDescent="0.25">
      <c r="I37" s="1394"/>
    </row>
    <row r="38" spans="8:9" x14ac:dyDescent="0.25">
      <c r="H38" s="982"/>
      <c r="I38" s="1394"/>
    </row>
    <row r="39" spans="8:9" x14ac:dyDescent="0.25">
      <c r="I39" s="1394"/>
    </row>
    <row r="40" spans="8:9" x14ac:dyDescent="0.25">
      <c r="I40" s="1394"/>
    </row>
    <row r="41" spans="8:9" x14ac:dyDescent="0.25">
      <c r="H41" s="982"/>
      <c r="I41" s="1394"/>
    </row>
    <row r="42" spans="8:9" x14ac:dyDescent="0.25">
      <c r="I42" s="1394"/>
    </row>
    <row r="43" spans="8:9" x14ac:dyDescent="0.25">
      <c r="I43" s="1394"/>
    </row>
    <row r="44" spans="8:9" x14ac:dyDescent="0.25">
      <c r="H44" s="982"/>
      <c r="I44" s="1394"/>
    </row>
    <row r="45" spans="8:9" x14ac:dyDescent="0.25">
      <c r="I45" s="1394"/>
    </row>
    <row r="46" spans="8:9" x14ac:dyDescent="0.25">
      <c r="I46" s="1394"/>
    </row>
    <row r="47" spans="8:9" x14ac:dyDescent="0.25">
      <c r="H47" s="982"/>
      <c r="I47" s="1394"/>
    </row>
    <row r="48" spans="8:9" x14ac:dyDescent="0.25">
      <c r="I48" s="1394"/>
    </row>
    <row r="49" spans="8:9" x14ac:dyDescent="0.25">
      <c r="I49" s="1394"/>
    </row>
    <row r="50" spans="8:9" x14ac:dyDescent="0.25">
      <c r="I50" s="1394"/>
    </row>
    <row r="51" spans="8:9" x14ac:dyDescent="0.25">
      <c r="I51" s="1394"/>
    </row>
    <row r="52" spans="8:9" x14ac:dyDescent="0.25">
      <c r="H52" s="982"/>
      <c r="I52" s="1394"/>
    </row>
    <row r="53" spans="8:9" x14ac:dyDescent="0.25">
      <c r="I53" s="1394"/>
    </row>
    <row r="54" spans="8:9" x14ac:dyDescent="0.25">
      <c r="I54" s="1394"/>
    </row>
    <row r="55" spans="8:9" x14ac:dyDescent="0.25">
      <c r="H55" s="982"/>
      <c r="I55" s="1394"/>
    </row>
    <row r="56" spans="8:9" x14ac:dyDescent="0.25">
      <c r="I56" s="1394"/>
    </row>
    <row r="57" spans="8:9" x14ac:dyDescent="0.25">
      <c r="I57" s="1394"/>
    </row>
    <row r="58" spans="8:9" x14ac:dyDescent="0.25">
      <c r="I58" s="1394"/>
    </row>
    <row r="59" spans="8:9" x14ac:dyDescent="0.25">
      <c r="H59" s="982"/>
      <c r="I59" s="1394"/>
    </row>
    <row r="60" spans="8:9" x14ac:dyDescent="0.25">
      <c r="I60" s="1394"/>
    </row>
    <row r="61" spans="8:9" x14ac:dyDescent="0.25">
      <c r="I61" s="1394"/>
    </row>
    <row r="62" spans="8:9" x14ac:dyDescent="0.25">
      <c r="I62" s="1394"/>
    </row>
    <row r="63" spans="8:9" x14ac:dyDescent="0.25">
      <c r="H63" s="982"/>
      <c r="I63" s="1394"/>
    </row>
    <row r="64" spans="8:9" x14ac:dyDescent="0.25">
      <c r="I64" s="1394"/>
    </row>
    <row r="65" spans="8:9" x14ac:dyDescent="0.25">
      <c r="I65" s="1394"/>
    </row>
    <row r="66" spans="8:9" x14ac:dyDescent="0.25">
      <c r="I66" s="1394"/>
    </row>
    <row r="67" spans="8:9" x14ac:dyDescent="0.25">
      <c r="I67" s="1394"/>
    </row>
    <row r="68" spans="8:9" x14ac:dyDescent="0.25">
      <c r="I68" s="1394"/>
    </row>
    <row r="69" spans="8:9" x14ac:dyDescent="0.25">
      <c r="H69" s="982"/>
      <c r="I69" s="1394"/>
    </row>
    <row r="70" spans="8:9" x14ac:dyDescent="0.25">
      <c r="I70" s="1394"/>
    </row>
    <row r="71" spans="8:9" x14ac:dyDescent="0.25">
      <c r="I71" s="1394"/>
    </row>
    <row r="72" spans="8:9" x14ac:dyDescent="0.25">
      <c r="I72" s="1394"/>
    </row>
    <row r="73" spans="8:9" x14ac:dyDescent="0.25">
      <c r="I73" s="1394"/>
    </row>
    <row r="74" spans="8:9" x14ac:dyDescent="0.25">
      <c r="H74" s="982"/>
      <c r="I74" s="1394"/>
    </row>
    <row r="75" spans="8:9" x14ac:dyDescent="0.25">
      <c r="I75" s="1394"/>
    </row>
    <row r="76" spans="8:9" x14ac:dyDescent="0.25">
      <c r="I76" s="1394"/>
    </row>
    <row r="77" spans="8:9" x14ac:dyDescent="0.25">
      <c r="H77" s="982"/>
      <c r="I77" s="1394"/>
    </row>
    <row r="78" spans="8:9" x14ac:dyDescent="0.25">
      <c r="I78" s="1394"/>
    </row>
    <row r="79" spans="8:9" x14ac:dyDescent="0.25">
      <c r="I79" s="1394"/>
    </row>
    <row r="80" spans="8:9" x14ac:dyDescent="0.25">
      <c r="H80" s="982"/>
      <c r="I80" s="1394"/>
    </row>
    <row r="81" spans="8:9" x14ac:dyDescent="0.25">
      <c r="I81" s="1394"/>
    </row>
    <row r="82" spans="8:9" x14ac:dyDescent="0.25">
      <c r="I82" s="1394"/>
    </row>
    <row r="83" spans="8:9" x14ac:dyDescent="0.25">
      <c r="H83" s="982"/>
      <c r="I83" s="1394"/>
    </row>
    <row r="84" spans="8:9" x14ac:dyDescent="0.25">
      <c r="I84" s="1394"/>
    </row>
    <row r="85" spans="8:9" x14ac:dyDescent="0.25">
      <c r="I85" s="1394"/>
    </row>
    <row r="86" spans="8:9" x14ac:dyDescent="0.25">
      <c r="I86" s="1394"/>
    </row>
    <row r="87" spans="8:9" x14ac:dyDescent="0.25">
      <c r="H87" s="982"/>
      <c r="I87" s="1394"/>
    </row>
    <row r="88" spans="8:9" x14ac:dyDescent="0.25">
      <c r="I88" s="1394"/>
    </row>
    <row r="89" spans="8:9" x14ac:dyDescent="0.25">
      <c r="I89" s="1394"/>
    </row>
    <row r="90" spans="8:9" x14ac:dyDescent="0.25">
      <c r="H90" s="982"/>
      <c r="I90" s="1394"/>
    </row>
    <row r="91" spans="8:9" x14ac:dyDescent="0.25">
      <c r="I91" s="1394"/>
    </row>
    <row r="92" spans="8:9" x14ac:dyDescent="0.25">
      <c r="I92" s="1394"/>
    </row>
    <row r="93" spans="8:9" x14ac:dyDescent="0.25">
      <c r="H93" s="982"/>
      <c r="I93" s="1394"/>
    </row>
    <row r="94" spans="8:9" x14ac:dyDescent="0.25">
      <c r="I94" s="1394"/>
    </row>
    <row r="95" spans="8:9" x14ac:dyDescent="0.25">
      <c r="I95" s="1394"/>
    </row>
    <row r="96" spans="8:9" x14ac:dyDescent="0.25">
      <c r="H96" s="982"/>
      <c r="I96" s="1394"/>
    </row>
    <row r="97" spans="8:9" x14ac:dyDescent="0.25">
      <c r="H97" s="982"/>
      <c r="I97" s="1394"/>
    </row>
    <row r="98" spans="8:9" x14ac:dyDescent="0.25">
      <c r="H98" s="982"/>
      <c r="I98" s="1394"/>
    </row>
    <row r="99" spans="8:9" x14ac:dyDescent="0.25">
      <c r="H99" s="982"/>
      <c r="I99" s="1394"/>
    </row>
    <row r="100" spans="8:9" x14ac:dyDescent="0.25">
      <c r="H100" s="982"/>
      <c r="I100" s="1394"/>
    </row>
    <row r="101" spans="8:9" x14ac:dyDescent="0.25">
      <c r="H101" s="982"/>
      <c r="I101" s="1394"/>
    </row>
    <row r="102" spans="8:9" x14ac:dyDescent="0.25">
      <c r="I102" s="1394"/>
    </row>
    <row r="103" spans="8:9" x14ac:dyDescent="0.25">
      <c r="I103" s="1394"/>
    </row>
    <row r="104" spans="8:9" x14ac:dyDescent="0.25">
      <c r="I104" s="1394"/>
    </row>
    <row r="105" spans="8:9" x14ac:dyDescent="0.25">
      <c r="H105" s="982"/>
      <c r="I105" s="1394"/>
    </row>
    <row r="106" spans="8:9" x14ac:dyDescent="0.25">
      <c r="I106" s="1394"/>
    </row>
    <row r="107" spans="8:9" x14ac:dyDescent="0.25">
      <c r="I107" s="1394"/>
    </row>
    <row r="108" spans="8:9" x14ac:dyDescent="0.25">
      <c r="H108" s="982"/>
      <c r="I108" s="1394"/>
    </row>
    <row r="109" spans="8:9" x14ac:dyDescent="0.25">
      <c r="I109" s="1394"/>
    </row>
    <row r="110" spans="8:9" x14ac:dyDescent="0.25">
      <c r="I110" s="1394"/>
    </row>
    <row r="111" spans="8:9" x14ac:dyDescent="0.25">
      <c r="H111" s="982"/>
      <c r="I111" s="1394"/>
    </row>
    <row r="112" spans="8:9" x14ac:dyDescent="0.25">
      <c r="I112" s="1394"/>
    </row>
    <row r="113" spans="8:9" x14ac:dyDescent="0.25">
      <c r="I113" s="1394"/>
    </row>
    <row r="114" spans="8:9" x14ac:dyDescent="0.25">
      <c r="I114" s="1394"/>
    </row>
    <row r="115" spans="8:9" x14ac:dyDescent="0.25">
      <c r="I115" s="1394"/>
    </row>
    <row r="116" spans="8:9" x14ac:dyDescent="0.25">
      <c r="I116" s="1394"/>
    </row>
    <row r="117" spans="8:9" x14ac:dyDescent="0.25">
      <c r="H117" s="982"/>
      <c r="I117" s="1394"/>
    </row>
    <row r="118" spans="8:9" x14ac:dyDescent="0.25">
      <c r="I118" s="1394"/>
    </row>
    <row r="119" spans="8:9" x14ac:dyDescent="0.25">
      <c r="I119" s="1394"/>
    </row>
    <row r="120" spans="8:9" x14ac:dyDescent="0.25">
      <c r="I120" s="1394"/>
    </row>
    <row r="121" spans="8:9" x14ac:dyDescent="0.25">
      <c r="H121" s="982"/>
      <c r="I121" s="1394"/>
    </row>
    <row r="122" spans="8:9" x14ac:dyDescent="0.25">
      <c r="I122" s="1394"/>
    </row>
    <row r="123" spans="8:9" x14ac:dyDescent="0.25">
      <c r="I123" s="1394"/>
    </row>
    <row r="124" spans="8:9" x14ac:dyDescent="0.25">
      <c r="I124" s="1394"/>
    </row>
    <row r="125" spans="8:9" x14ac:dyDescent="0.25">
      <c r="H125" s="982"/>
      <c r="I125" s="1394"/>
    </row>
    <row r="126" spans="8:9" x14ac:dyDescent="0.25">
      <c r="I126" s="1394"/>
    </row>
    <row r="127" spans="8:9" x14ac:dyDescent="0.25">
      <c r="I127" s="1394"/>
    </row>
    <row r="128" spans="8:9" x14ac:dyDescent="0.25">
      <c r="H128" s="982"/>
      <c r="I128" s="1394"/>
    </row>
    <row r="129" spans="8:9" x14ac:dyDescent="0.25">
      <c r="I129" s="1394"/>
    </row>
    <row r="130" spans="8:9" x14ac:dyDescent="0.25">
      <c r="I130" s="1394"/>
    </row>
    <row r="131" spans="8:9" x14ac:dyDescent="0.25">
      <c r="H131" s="982"/>
      <c r="I131" s="1394"/>
    </row>
    <row r="132" spans="8:9" x14ac:dyDescent="0.25">
      <c r="I132" s="1394"/>
    </row>
    <row r="133" spans="8:9" x14ac:dyDescent="0.25">
      <c r="I133" s="1394"/>
    </row>
    <row r="134" spans="8:9" x14ac:dyDescent="0.25">
      <c r="I134" s="1394"/>
    </row>
    <row r="135" spans="8:9" x14ac:dyDescent="0.25">
      <c r="H135" s="982"/>
      <c r="I135" s="1394"/>
    </row>
    <row r="136" spans="8:9" x14ac:dyDescent="0.25">
      <c r="I136" s="1394"/>
    </row>
    <row r="137" spans="8:9" x14ac:dyDescent="0.25">
      <c r="I137" s="1394"/>
    </row>
    <row r="138" spans="8:9" x14ac:dyDescent="0.25">
      <c r="H138" s="982"/>
      <c r="I138" s="1394"/>
    </row>
    <row r="139" spans="8:9" x14ac:dyDescent="0.25">
      <c r="I139" s="1394"/>
    </row>
    <row r="140" spans="8:9" x14ac:dyDescent="0.25">
      <c r="I140" s="1394"/>
    </row>
    <row r="141" spans="8:9" x14ac:dyDescent="0.25">
      <c r="I141" s="1394"/>
    </row>
    <row r="142" spans="8:9" x14ac:dyDescent="0.25">
      <c r="H142" s="982"/>
      <c r="I142" s="1394"/>
    </row>
    <row r="143" spans="8:9" x14ac:dyDescent="0.25">
      <c r="I143" s="1394"/>
    </row>
    <row r="144" spans="8:9" x14ac:dyDescent="0.25">
      <c r="I144" s="1394"/>
    </row>
    <row r="145" spans="8:9" x14ac:dyDescent="0.25">
      <c r="I145" s="1394"/>
    </row>
    <row r="146" spans="8:9" x14ac:dyDescent="0.25">
      <c r="I146" s="1394"/>
    </row>
    <row r="147" spans="8:9" x14ac:dyDescent="0.25">
      <c r="H147" s="982"/>
      <c r="I147" s="1394"/>
    </row>
    <row r="148" spans="8:9" x14ac:dyDescent="0.25">
      <c r="I148" s="1394"/>
    </row>
    <row r="149" spans="8:9" x14ac:dyDescent="0.25">
      <c r="I149" s="1394"/>
    </row>
    <row r="150" spans="8:9" x14ac:dyDescent="0.25">
      <c r="H150" s="982"/>
      <c r="I150" s="1394"/>
    </row>
    <row r="151" spans="8:9" x14ac:dyDescent="0.25">
      <c r="I151" s="1394"/>
    </row>
    <row r="152" spans="8:9" x14ac:dyDescent="0.25">
      <c r="I152" s="1394"/>
    </row>
    <row r="153" spans="8:9" x14ac:dyDescent="0.25">
      <c r="H153" s="982"/>
      <c r="I153" s="1394"/>
    </row>
    <row r="154" spans="8:9" x14ac:dyDescent="0.25">
      <c r="I154" s="1394"/>
    </row>
    <row r="155" spans="8:9" x14ac:dyDescent="0.25">
      <c r="I155" s="1394"/>
    </row>
    <row r="156" spans="8:9" x14ac:dyDescent="0.25">
      <c r="H156" s="982"/>
      <c r="I156" s="1394"/>
    </row>
    <row r="157" spans="8:9" x14ac:dyDescent="0.25">
      <c r="I157" s="1394"/>
    </row>
    <row r="158" spans="8:9" x14ac:dyDescent="0.25">
      <c r="I158" s="1394"/>
    </row>
    <row r="159" spans="8:9" x14ac:dyDescent="0.25">
      <c r="I159" s="1394"/>
    </row>
    <row r="160" spans="8:9" x14ac:dyDescent="0.25">
      <c r="I160" s="1394"/>
    </row>
    <row r="161" spans="8:9" x14ac:dyDescent="0.25">
      <c r="H161" s="982"/>
      <c r="I161" s="1394"/>
    </row>
    <row r="162" spans="8:9" x14ac:dyDescent="0.25">
      <c r="I162" s="1394"/>
    </row>
    <row r="163" spans="8:9" x14ac:dyDescent="0.25">
      <c r="I163" s="1394"/>
    </row>
    <row r="164" spans="8:9" x14ac:dyDescent="0.25">
      <c r="I164" s="1394"/>
    </row>
    <row r="165" spans="8:9" x14ac:dyDescent="0.25">
      <c r="H165" s="982"/>
      <c r="I165" s="1394"/>
    </row>
    <row r="166" spans="8:9" x14ac:dyDescent="0.25">
      <c r="H166" s="982"/>
      <c r="I166" s="1395"/>
    </row>
  </sheetData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49"/>
  <sheetViews>
    <sheetView topLeftCell="B23" workbookViewId="0">
      <selection activeCell="H38" sqref="H38"/>
    </sheetView>
  </sheetViews>
  <sheetFormatPr defaultColWidth="8.7109375" defaultRowHeight="15" customHeight="1" outlineLevelCol="1" x14ac:dyDescent="0.25"/>
  <cols>
    <col min="1" max="1" width="50.7109375" style="1396" customWidth="1"/>
    <col min="2" max="2" width="14.85546875" style="1397" bestFit="1" customWidth="1"/>
    <col min="3" max="4" width="16.28515625" style="1397" bestFit="1" customWidth="1"/>
    <col min="5" max="5" width="15.5703125" style="1396" bestFit="1" customWidth="1"/>
    <col min="6" max="6" width="15.42578125" style="1396" customWidth="1"/>
    <col min="7" max="7" width="16.28515625" style="1396" customWidth="1"/>
    <col min="8" max="8" width="15.7109375" style="1396" bestFit="1" customWidth="1"/>
    <col min="9" max="9" width="16.42578125" style="1396" customWidth="1" outlineLevel="1"/>
    <col min="10" max="11" width="22.28515625" style="1396" bestFit="1" customWidth="1" outlineLevel="1"/>
    <col min="12" max="12" width="21.7109375" style="1396" bestFit="1" customWidth="1" outlineLevel="1"/>
    <col min="13" max="13" width="15.7109375" style="1396" bestFit="1" customWidth="1" outlineLevel="1"/>
    <col min="14" max="17" width="21.7109375" style="1396" bestFit="1" customWidth="1" outlineLevel="1"/>
    <col min="18" max="18" width="15.7109375" style="1396" bestFit="1" customWidth="1" outlineLevel="1"/>
    <col min="19" max="22" width="21.7109375" style="1396" bestFit="1" customWidth="1" outlineLevel="1"/>
    <col min="23" max="26" width="21.7109375" style="1396" customWidth="1" outlineLevel="1"/>
    <col min="27" max="27" width="10.85546875" style="1396" customWidth="1"/>
    <col min="28" max="28" width="8.85546875" style="1396" customWidth="1"/>
    <col min="29" max="16384" width="8.7109375" style="1396"/>
  </cols>
  <sheetData>
    <row r="1" spans="1:27" ht="13.5" x14ac:dyDescent="0.25"/>
    <row r="2" spans="1:27" s="1398" customFormat="1" ht="15.75" x14ac:dyDescent="0.3">
      <c r="B2" s="1399" t="s">
        <v>702</v>
      </c>
      <c r="C2" s="1400" t="s">
        <v>703</v>
      </c>
      <c r="D2" s="1401"/>
      <c r="E2" s="1401"/>
    </row>
    <row r="3" spans="1:27" s="1398" customFormat="1" ht="15.75" x14ac:dyDescent="0.3">
      <c r="A3" s="1398" t="s">
        <v>660</v>
      </c>
      <c r="B3" s="1402">
        <v>110000000</v>
      </c>
      <c r="D3" s="1401"/>
      <c r="E3" s="1401"/>
    </row>
    <row r="4" spans="1:27" s="1403" customFormat="1" ht="15.75" x14ac:dyDescent="0.3">
      <c r="A4" s="1403" t="s">
        <v>704</v>
      </c>
      <c r="C4" s="1404">
        <v>20000000</v>
      </c>
      <c r="D4" s="1402"/>
      <c r="E4" s="1402">
        <v>90000000</v>
      </c>
    </row>
    <row r="5" spans="1:27" s="1403" customFormat="1" ht="15.75" x14ac:dyDescent="0.3">
      <c r="A5" s="1403" t="s">
        <v>770</v>
      </c>
      <c r="B5" s="1404">
        <v>30000000</v>
      </c>
      <c r="C5" s="1404"/>
      <c r="D5" s="1402"/>
      <c r="E5" s="1402"/>
    </row>
    <row r="6" spans="1:27" s="1403" customFormat="1" ht="15.75" x14ac:dyDescent="0.3">
      <c r="A6" s="1403" t="s">
        <v>1143</v>
      </c>
      <c r="B6" s="1404">
        <v>15000000</v>
      </c>
      <c r="C6" s="1404"/>
      <c r="D6" s="1402"/>
      <c r="E6" s="1402"/>
    </row>
    <row r="7" spans="1:27" s="1403" customFormat="1" ht="15.75" x14ac:dyDescent="0.3">
      <c r="A7" s="1403" t="s">
        <v>1143</v>
      </c>
      <c r="B7" s="1404">
        <v>2500000</v>
      </c>
      <c r="C7" s="1404"/>
      <c r="D7" s="1402"/>
      <c r="E7" s="1402"/>
    </row>
    <row r="8" spans="1:27" ht="14.25" thickBot="1" x14ac:dyDescent="0.3">
      <c r="A8" s="984"/>
      <c r="B8" s="984"/>
      <c r="C8" s="984"/>
      <c r="D8" s="984"/>
      <c r="E8" s="946"/>
      <c r="F8" s="984"/>
      <c r="G8" s="984"/>
      <c r="H8" s="946"/>
      <c r="I8" s="984"/>
      <c r="J8" s="984"/>
      <c r="K8" s="984"/>
      <c r="L8" s="984"/>
      <c r="M8" s="984"/>
      <c r="N8" s="984"/>
      <c r="O8" s="984"/>
      <c r="P8" s="984"/>
      <c r="Q8" s="984"/>
      <c r="R8" s="984"/>
      <c r="S8" s="984"/>
      <c r="T8" s="984"/>
      <c r="U8" s="984"/>
      <c r="V8" s="984"/>
      <c r="W8" s="984"/>
      <c r="X8" s="984"/>
      <c r="Y8" s="984"/>
      <c r="Z8" s="984"/>
      <c r="AA8" s="984"/>
    </row>
    <row r="9" spans="1:27" ht="15.75" x14ac:dyDescent="0.3">
      <c r="A9" s="1405" t="s">
        <v>661</v>
      </c>
      <c r="B9" s="1406">
        <v>2016</v>
      </c>
      <c r="C9" s="1407">
        <v>2017</v>
      </c>
      <c r="D9" s="1407">
        <v>2018</v>
      </c>
      <c r="E9" s="1408">
        <v>2019</v>
      </c>
      <c r="F9" s="1409">
        <v>2020</v>
      </c>
      <c r="G9" s="1410">
        <v>2021</v>
      </c>
      <c r="H9" s="1408">
        <v>2022</v>
      </c>
      <c r="I9" s="1411">
        <v>2023</v>
      </c>
      <c r="J9" s="1412">
        <v>2024</v>
      </c>
      <c r="K9" s="1412">
        <v>2025</v>
      </c>
      <c r="L9" s="1412">
        <v>2026</v>
      </c>
      <c r="M9" s="1413">
        <v>2027</v>
      </c>
      <c r="N9" s="1413">
        <v>2028</v>
      </c>
      <c r="O9" s="1413">
        <v>2029</v>
      </c>
      <c r="P9" s="1413">
        <v>2030</v>
      </c>
      <c r="Q9" s="1407">
        <v>2031</v>
      </c>
      <c r="R9" s="1407">
        <v>2032</v>
      </c>
      <c r="S9" s="1407">
        <v>2033</v>
      </c>
      <c r="T9" s="1407">
        <v>2034</v>
      </c>
      <c r="U9" s="1407">
        <v>2035</v>
      </c>
      <c r="V9" s="1414">
        <v>2036</v>
      </c>
      <c r="W9" s="1414">
        <v>2037</v>
      </c>
      <c r="X9" s="1414">
        <v>2038</v>
      </c>
      <c r="Y9" s="1414">
        <v>2040</v>
      </c>
      <c r="Z9" s="1414">
        <v>2041</v>
      </c>
      <c r="AA9" s="1415"/>
    </row>
    <row r="10" spans="1:27" s="1397" customFormat="1" ht="13.5" x14ac:dyDescent="0.25">
      <c r="A10" s="1416" t="s">
        <v>662</v>
      </c>
      <c r="B10" s="1417"/>
      <c r="C10" s="922">
        <v>46524.695976266659</v>
      </c>
      <c r="D10" s="922">
        <v>464498.05917600001</v>
      </c>
      <c r="E10" s="1091">
        <f>0.0056*B3*0.25</f>
        <v>154000</v>
      </c>
      <c r="F10" s="1417"/>
      <c r="G10" s="922"/>
      <c r="H10" s="1418"/>
      <c r="I10" s="1417"/>
      <c r="J10" s="922"/>
      <c r="K10" s="922"/>
      <c r="L10" s="922"/>
      <c r="M10" s="922"/>
      <c r="N10" s="922"/>
      <c r="O10" s="922"/>
      <c r="P10" s="922"/>
      <c r="Q10" s="922"/>
      <c r="R10" s="922"/>
      <c r="S10" s="922"/>
      <c r="T10" s="922"/>
      <c r="U10" s="922"/>
      <c r="V10" s="1091"/>
      <c r="W10" s="1091"/>
      <c r="X10" s="1091"/>
      <c r="Y10" s="1091"/>
      <c r="Z10" s="1091"/>
      <c r="AA10" s="984"/>
    </row>
    <row r="11" spans="1:27" s="1397" customFormat="1" ht="13.5" x14ac:dyDescent="0.25">
      <c r="A11" s="1416" t="s">
        <v>663</v>
      </c>
      <c r="B11" s="1417"/>
      <c r="C11" s="922">
        <v>1554732</v>
      </c>
      <c r="D11" s="922">
        <v>454732</v>
      </c>
      <c r="E11" s="1091"/>
      <c r="F11" s="1417"/>
      <c r="G11" s="922"/>
      <c r="H11" s="1418"/>
      <c r="I11" s="1417"/>
      <c r="J11" s="922"/>
      <c r="K11" s="922"/>
      <c r="L11" s="922"/>
      <c r="M11" s="922"/>
      <c r="N11" s="922"/>
      <c r="O11" s="922"/>
      <c r="P11" s="922"/>
      <c r="Q11" s="922"/>
      <c r="R11" s="922"/>
      <c r="S11" s="922"/>
      <c r="T11" s="922"/>
      <c r="U11" s="922"/>
      <c r="V11" s="1091"/>
      <c r="W11" s="1091"/>
      <c r="X11" s="1091"/>
      <c r="Y11" s="1091"/>
      <c r="Z11" s="1091"/>
      <c r="AA11" s="984"/>
    </row>
    <row r="12" spans="1:27" s="1422" customFormat="1" ht="13.5" x14ac:dyDescent="0.25">
      <c r="A12" s="1419" t="s">
        <v>664</v>
      </c>
      <c r="B12" s="1420"/>
      <c r="C12" s="940"/>
      <c r="D12" s="940"/>
      <c r="E12" s="1090">
        <v>1834352</v>
      </c>
      <c r="F12" s="1420">
        <f>0.009*E26</f>
        <v>794571.4439999999</v>
      </c>
      <c r="G12" s="940">
        <f>+'čerpání-úvěr a úroky'!H339</f>
        <v>40714</v>
      </c>
      <c r="H12" s="1421">
        <f>0.00077*G26*12</f>
        <v>721245.31247999996</v>
      </c>
      <c r="I12" s="1420">
        <f>'přepočet úroků'!Q4</f>
        <v>614453.6155800001</v>
      </c>
      <c r="J12" s="940">
        <f>0.009*I26</f>
        <v>610378.81199999992</v>
      </c>
      <c r="K12" s="940">
        <f t="shared" ref="K12:T12" si="0">0.009*J26</f>
        <v>564312.38399999996</v>
      </c>
      <c r="L12" s="940">
        <f t="shared" si="0"/>
        <v>518245.95599999995</v>
      </c>
      <c r="M12" s="940">
        <f t="shared" si="0"/>
        <v>472179.52799999999</v>
      </c>
      <c r="N12" s="940">
        <f t="shared" si="0"/>
        <v>426113.1</v>
      </c>
      <c r="O12" s="940">
        <f t="shared" si="0"/>
        <v>380046.67199999996</v>
      </c>
      <c r="P12" s="940">
        <f t="shared" si="0"/>
        <v>333980.24399999995</v>
      </c>
      <c r="Q12" s="940">
        <f t="shared" si="0"/>
        <v>287913.81599999999</v>
      </c>
      <c r="R12" s="940">
        <f t="shared" si="0"/>
        <v>241847.38799999998</v>
      </c>
      <c r="S12" s="940">
        <f t="shared" si="0"/>
        <v>195780.96</v>
      </c>
      <c r="T12" s="940">
        <f t="shared" si="0"/>
        <v>149714.53199999998</v>
      </c>
      <c r="U12" s="940">
        <f>0.009*T26-2041</f>
        <v>101607.10399999999</v>
      </c>
      <c r="V12" s="1090"/>
      <c r="W12" s="1090"/>
      <c r="X12" s="1090"/>
      <c r="Y12" s="1090"/>
      <c r="Z12" s="1090"/>
      <c r="AA12" s="984"/>
    </row>
    <row r="13" spans="1:27" s="1422" customFormat="1" ht="13.5" x14ac:dyDescent="0.25">
      <c r="A13" s="1419" t="s">
        <v>665</v>
      </c>
      <c r="B13" s="1420"/>
      <c r="C13" s="940"/>
      <c r="D13" s="940"/>
      <c r="E13" s="1090">
        <f>428571*4+C4</f>
        <v>21714284</v>
      </c>
      <c r="F13" s="1420">
        <f>428571*12</f>
        <v>5142852</v>
      </c>
      <c r="G13" s="940">
        <v>5118493</v>
      </c>
      <c r="H13" s="1421">
        <f>426541*12</f>
        <v>5118492</v>
      </c>
      <c r="I13" s="1420">
        <f t="shared" ref="I13:Z13" si="1">426541*12</f>
        <v>5118492</v>
      </c>
      <c r="J13" s="940">
        <f t="shared" si="1"/>
        <v>5118492</v>
      </c>
      <c r="K13" s="940">
        <f t="shared" si="1"/>
        <v>5118492</v>
      </c>
      <c r="L13" s="940">
        <f t="shared" si="1"/>
        <v>5118492</v>
      </c>
      <c r="M13" s="940">
        <f t="shared" si="1"/>
        <v>5118492</v>
      </c>
      <c r="N13" s="940">
        <f t="shared" si="1"/>
        <v>5118492</v>
      </c>
      <c r="O13" s="940">
        <f t="shared" si="1"/>
        <v>5118492</v>
      </c>
      <c r="P13" s="940">
        <f t="shared" si="1"/>
        <v>5118492</v>
      </c>
      <c r="Q13" s="940">
        <f t="shared" si="1"/>
        <v>5118492</v>
      </c>
      <c r="R13" s="940">
        <f t="shared" si="1"/>
        <v>5118492</v>
      </c>
      <c r="S13" s="940">
        <f t="shared" si="1"/>
        <v>5118492</v>
      </c>
      <c r="T13" s="940">
        <f t="shared" si="1"/>
        <v>5118492</v>
      </c>
      <c r="U13" s="940">
        <f t="shared" si="1"/>
        <v>5118492</v>
      </c>
      <c r="V13" s="1090">
        <f t="shared" si="1"/>
        <v>5118492</v>
      </c>
      <c r="W13" s="1090">
        <f t="shared" si="1"/>
        <v>5118492</v>
      </c>
      <c r="X13" s="1090">
        <f t="shared" si="1"/>
        <v>5118492</v>
      </c>
      <c r="Y13" s="1090">
        <f t="shared" si="1"/>
        <v>5118492</v>
      </c>
      <c r="Z13" s="1090">
        <f t="shared" si="1"/>
        <v>5118492</v>
      </c>
      <c r="AA13" s="984"/>
    </row>
    <row r="14" spans="1:27" s="1428" customFormat="1" ht="13.5" x14ac:dyDescent="0.25">
      <c r="A14" s="1423" t="s">
        <v>666</v>
      </c>
      <c r="B14" s="1424"/>
      <c r="C14" s="1425">
        <v>1455000</v>
      </c>
      <c r="D14" s="1425">
        <f t="shared" ref="D14:F14" si="2">+C25*0.0122</f>
        <v>821839.22620000003</v>
      </c>
      <c r="E14" s="1426">
        <f t="shared" si="2"/>
        <v>682648.30379999999</v>
      </c>
      <c r="F14" s="1424">
        <f t="shared" si="2"/>
        <v>543457.38140000007</v>
      </c>
      <c r="G14" s="1425">
        <v>531073.92999999993</v>
      </c>
      <c r="H14" s="1427">
        <f>+G25*0.05</f>
        <v>1136363.2</v>
      </c>
      <c r="I14" s="1424">
        <f>'přepočet úroků'!Q5</f>
        <v>660744.7189199999</v>
      </c>
      <c r="J14" s="1425">
        <f>+I25*0.07</f>
        <v>28635.600000000002</v>
      </c>
      <c r="K14" s="1425"/>
      <c r="L14" s="1425"/>
      <c r="M14" s="1425"/>
      <c r="N14" s="1425"/>
      <c r="O14" s="1425"/>
      <c r="P14" s="1425"/>
      <c r="Q14" s="1425"/>
      <c r="R14" s="1425"/>
      <c r="S14" s="1425"/>
      <c r="T14" s="1425"/>
      <c r="U14" s="1425"/>
      <c r="V14" s="1426"/>
      <c r="W14" s="1426"/>
      <c r="X14" s="1426"/>
      <c r="Y14" s="1426"/>
      <c r="Z14" s="1426"/>
      <c r="AA14" s="984"/>
    </row>
    <row r="15" spans="1:27" s="1428" customFormat="1" ht="13.5" x14ac:dyDescent="0.25">
      <c r="A15" s="1423" t="s">
        <v>667</v>
      </c>
      <c r="B15" s="1424"/>
      <c r="C15" s="1425">
        <v>11409092</v>
      </c>
      <c r="D15" s="1425">
        <v>11409092</v>
      </c>
      <c r="E15" s="1426">
        <f>11409092</f>
        <v>11409092</v>
      </c>
      <c r="F15" s="1424">
        <v>11409092</v>
      </c>
      <c r="G15" s="1425">
        <v>10909092</v>
      </c>
      <c r="H15" s="1427">
        <v>11409092</v>
      </c>
      <c r="I15" s="1424">
        <v>11409092</v>
      </c>
      <c r="J15" s="1425">
        <f>+H25-I15</f>
        <v>409080</v>
      </c>
      <c r="K15" s="1425"/>
      <c r="L15" s="1425"/>
      <c r="M15" s="1425"/>
      <c r="N15" s="1425"/>
      <c r="O15" s="1425"/>
      <c r="P15" s="1425"/>
      <c r="Q15" s="1425"/>
      <c r="R15" s="1425"/>
      <c r="S15" s="1425"/>
      <c r="T15" s="1425"/>
      <c r="U15" s="1425"/>
      <c r="V15" s="1426"/>
      <c r="W15" s="1426"/>
      <c r="X15" s="1426"/>
      <c r="Y15" s="1426"/>
      <c r="Z15" s="1426"/>
      <c r="AA15" s="984"/>
    </row>
    <row r="16" spans="1:27" s="1397" customFormat="1" ht="13.5" hidden="1" x14ac:dyDescent="0.25">
      <c r="A16" s="1416" t="s">
        <v>668</v>
      </c>
      <c r="B16" s="1417"/>
      <c r="C16" s="922">
        <v>3600000</v>
      </c>
      <c r="D16" s="922">
        <v>3640000</v>
      </c>
      <c r="E16" s="1091">
        <v>1500000</v>
      </c>
      <c r="F16" s="1417">
        <v>1500000</v>
      </c>
      <c r="G16" s="922"/>
      <c r="H16" s="1091"/>
      <c r="I16" s="1417"/>
      <c r="J16" s="922"/>
      <c r="K16" s="922"/>
      <c r="L16" s="922"/>
      <c r="M16" s="922"/>
      <c r="N16" s="922"/>
      <c r="O16" s="922"/>
      <c r="P16" s="922"/>
      <c r="Q16" s="922"/>
      <c r="R16" s="922"/>
      <c r="S16" s="922"/>
      <c r="T16" s="922"/>
      <c r="U16" s="922"/>
      <c r="V16" s="1091"/>
      <c r="W16" s="1091"/>
      <c r="X16" s="1091"/>
      <c r="Y16" s="1091"/>
      <c r="Z16" s="1091"/>
      <c r="AA16" s="984"/>
    </row>
    <row r="17" spans="1:27" s="1434" customFormat="1" ht="13.5" x14ac:dyDescent="0.25">
      <c r="A17" s="1429" t="s">
        <v>772</v>
      </c>
      <c r="B17" s="1430"/>
      <c r="C17" s="1431"/>
      <c r="D17" s="1431"/>
      <c r="E17" s="1432">
        <f>+B5*0.0251</f>
        <v>753000</v>
      </c>
      <c r="F17" s="1430">
        <f>+E27*0.0251</f>
        <v>753000</v>
      </c>
      <c r="G17" s="1431">
        <v>142294</v>
      </c>
      <c r="H17" s="1432">
        <f>+G27*0.0044*4</f>
        <v>498113.08800000005</v>
      </c>
      <c r="I17" s="1430">
        <f>'přepočet úroků'!Q6</f>
        <v>501513.52415999991</v>
      </c>
      <c r="J17" s="1431">
        <f t="shared" ref="J17:V17" si="3">+I27*0.0044*4</f>
        <v>428343.87200000003</v>
      </c>
      <c r="K17" s="1431">
        <f t="shared" si="3"/>
        <v>398423.87200000003</v>
      </c>
      <c r="L17" s="1431">
        <f t="shared" si="3"/>
        <v>368503.87200000003</v>
      </c>
      <c r="M17" s="1431">
        <f t="shared" si="3"/>
        <v>338583.87200000003</v>
      </c>
      <c r="N17" s="1431">
        <f t="shared" si="3"/>
        <v>308663.87200000003</v>
      </c>
      <c r="O17" s="1431">
        <f t="shared" si="3"/>
        <v>278743.87200000003</v>
      </c>
      <c r="P17" s="1431">
        <f t="shared" si="3"/>
        <v>248823.872</v>
      </c>
      <c r="Q17" s="1431">
        <f t="shared" si="3"/>
        <v>218903.872</v>
      </c>
      <c r="R17" s="1431">
        <f t="shared" si="3"/>
        <v>188983.872</v>
      </c>
      <c r="S17" s="1431">
        <f t="shared" si="3"/>
        <v>159063.872</v>
      </c>
      <c r="T17" s="1431">
        <f t="shared" si="3"/>
        <v>129143.872</v>
      </c>
      <c r="U17" s="1431">
        <f t="shared" si="3"/>
        <v>0</v>
      </c>
      <c r="V17" s="1432">
        <f t="shared" si="3"/>
        <v>0</v>
      </c>
      <c r="W17" s="1432"/>
      <c r="X17" s="1432"/>
      <c r="Y17" s="1432"/>
      <c r="Z17" s="1432"/>
      <c r="AA17" s="1433"/>
    </row>
    <row r="18" spans="1:27" s="1434" customFormat="1" ht="12" customHeight="1" x14ac:dyDescent="0.25">
      <c r="A18" s="1429" t="s">
        <v>773</v>
      </c>
      <c r="B18" s="1430"/>
      <c r="C18" s="1431"/>
      <c r="D18" s="1431"/>
      <c r="E18" s="1432"/>
      <c r="F18" s="1430"/>
      <c r="G18" s="1431">
        <v>1698120</v>
      </c>
      <c r="H18" s="1432">
        <f>566040*4</f>
        <v>2264160</v>
      </c>
      <c r="I18" s="1430">
        <v>1700000</v>
      </c>
      <c r="J18" s="1431">
        <v>1700000</v>
      </c>
      <c r="K18" s="1431">
        <v>1700000</v>
      </c>
      <c r="L18" s="1431">
        <v>1700000</v>
      </c>
      <c r="M18" s="1431">
        <v>1700000</v>
      </c>
      <c r="N18" s="1431">
        <v>1700000</v>
      </c>
      <c r="O18" s="1431">
        <v>1700000</v>
      </c>
      <c r="P18" s="1431">
        <v>1700000</v>
      </c>
      <c r="Q18" s="1431">
        <v>1700000</v>
      </c>
      <c r="R18" s="1431">
        <v>1700000</v>
      </c>
      <c r="S18" s="1431">
        <v>1700000</v>
      </c>
      <c r="T18" s="1431">
        <f>2264160-1132200</f>
        <v>1131960</v>
      </c>
      <c r="U18" s="1431"/>
      <c r="V18" s="1432"/>
      <c r="W18" s="1432"/>
      <c r="X18" s="1432"/>
      <c r="Y18" s="1432"/>
      <c r="Z18" s="1432"/>
      <c r="AA18" s="1433"/>
    </row>
    <row r="19" spans="1:27" s="1422" customFormat="1" ht="12" customHeight="1" x14ac:dyDescent="0.25">
      <c r="A19" s="1851" t="s">
        <v>1139</v>
      </c>
      <c r="B19" s="1852"/>
      <c r="C19" s="1523"/>
      <c r="D19" s="1523"/>
      <c r="E19" s="1853"/>
      <c r="F19" s="1852">
        <v>135000</v>
      </c>
      <c r="G19" s="1523">
        <v>40714</v>
      </c>
      <c r="H19" s="1853">
        <f>+G28*0.006*10.06</f>
        <v>843832.8</v>
      </c>
      <c r="I19" s="1852">
        <f>'přepočet úroků'!Q7</f>
        <v>1017849.6</v>
      </c>
      <c r="J19" s="1523">
        <f t="shared" ref="J19:Z19" si="4">+I28*0.006*12</f>
        <v>902880</v>
      </c>
      <c r="K19" s="1523">
        <f t="shared" si="4"/>
        <v>851040</v>
      </c>
      <c r="L19" s="1523">
        <f t="shared" si="4"/>
        <v>799200</v>
      </c>
      <c r="M19" s="1523">
        <f t="shared" si="4"/>
        <v>747360</v>
      </c>
      <c r="N19" s="1523">
        <f t="shared" si="4"/>
        <v>695520</v>
      </c>
      <c r="O19" s="1523">
        <f t="shared" si="4"/>
        <v>643680</v>
      </c>
      <c r="P19" s="1523">
        <f t="shared" si="4"/>
        <v>591840</v>
      </c>
      <c r="Q19" s="1523">
        <f t="shared" si="4"/>
        <v>540000</v>
      </c>
      <c r="R19" s="1523">
        <f t="shared" si="4"/>
        <v>488160</v>
      </c>
      <c r="S19" s="1523">
        <f t="shared" si="4"/>
        <v>436320</v>
      </c>
      <c r="T19" s="1523">
        <f t="shared" si="4"/>
        <v>384480</v>
      </c>
      <c r="U19" s="1523">
        <f t="shared" si="4"/>
        <v>324000</v>
      </c>
      <c r="V19" s="1853">
        <f t="shared" si="4"/>
        <v>263520</v>
      </c>
      <c r="W19" s="1853">
        <f t="shared" si="4"/>
        <v>203040</v>
      </c>
      <c r="X19" s="1853">
        <f t="shared" si="4"/>
        <v>142560</v>
      </c>
      <c r="Y19" s="1853">
        <f t="shared" si="4"/>
        <v>82080</v>
      </c>
      <c r="Z19" s="1853">
        <f t="shared" si="4"/>
        <v>61920</v>
      </c>
      <c r="AA19" s="884"/>
    </row>
    <row r="20" spans="1:27" s="1422" customFormat="1" ht="12" customHeight="1" x14ac:dyDescent="0.25">
      <c r="A20" s="1851" t="s">
        <v>1140</v>
      </c>
      <c r="B20" s="1852"/>
      <c r="C20" s="1523"/>
      <c r="D20" s="1523"/>
      <c r="E20" s="1853"/>
      <c r="F20" s="1852">
        <v>420000</v>
      </c>
      <c r="G20" s="1523">
        <v>600000</v>
      </c>
      <c r="H20" s="1853">
        <v>831000</v>
      </c>
      <c r="I20" s="1852">
        <v>720000</v>
      </c>
      <c r="J20" s="1523">
        <v>720000</v>
      </c>
      <c r="K20" s="1523">
        <v>720000</v>
      </c>
      <c r="L20" s="1523">
        <v>720000</v>
      </c>
      <c r="M20" s="1523">
        <v>720000</v>
      </c>
      <c r="N20" s="1523">
        <v>720000</v>
      </c>
      <c r="O20" s="1523">
        <v>720000</v>
      </c>
      <c r="P20" s="1523">
        <v>720000</v>
      </c>
      <c r="Q20" s="1523">
        <v>720000</v>
      </c>
      <c r="R20" s="1523">
        <v>720000</v>
      </c>
      <c r="S20" s="1523">
        <v>720000</v>
      </c>
      <c r="T20" s="1523">
        <f>12*70000</f>
        <v>840000</v>
      </c>
      <c r="U20" s="1523">
        <v>840000</v>
      </c>
      <c r="V20" s="1853">
        <v>840000</v>
      </c>
      <c r="W20" s="1853">
        <v>840000</v>
      </c>
      <c r="X20" s="1853">
        <v>840000</v>
      </c>
      <c r="Y20" s="1853">
        <f>4*70000</f>
        <v>280000</v>
      </c>
      <c r="Z20" s="1853">
        <v>20000</v>
      </c>
      <c r="AA20" s="884"/>
    </row>
    <row r="21" spans="1:27" s="1440" customFormat="1" ht="12" customHeight="1" x14ac:dyDescent="0.25">
      <c r="A21" s="1435" t="s">
        <v>1142</v>
      </c>
      <c r="B21" s="1436"/>
      <c r="C21" s="1437"/>
      <c r="D21" s="1437"/>
      <c r="E21" s="1438"/>
      <c r="F21" s="1436">
        <f>2500000*0.009</f>
        <v>22500</v>
      </c>
      <c r="G21" s="1437">
        <v>6748</v>
      </c>
      <c r="H21" s="1438">
        <f>+G29*0.00685*12</f>
        <v>184948.35600000003</v>
      </c>
      <c r="I21" s="1436">
        <f>'přepočet úroků'!Q8</f>
        <v>157983.56159999999</v>
      </c>
      <c r="J21" s="1437">
        <f t="shared" ref="J21:V21" si="5">+I29*0.00685*12</f>
        <v>157546.16399999999</v>
      </c>
      <c r="K21" s="1437">
        <f t="shared" si="5"/>
        <v>143845.068</v>
      </c>
      <c r="L21" s="1437">
        <f t="shared" si="5"/>
        <v>130143.97200000001</v>
      </c>
      <c r="M21" s="1437">
        <f t="shared" si="5"/>
        <v>116442.876</v>
      </c>
      <c r="N21" s="1437">
        <f t="shared" si="5"/>
        <v>102741.78</v>
      </c>
      <c r="O21" s="1437">
        <f t="shared" si="5"/>
        <v>89040.683999999994</v>
      </c>
      <c r="P21" s="1437">
        <f t="shared" si="5"/>
        <v>75339.588000000003</v>
      </c>
      <c r="Q21" s="1437">
        <f t="shared" si="5"/>
        <v>61638.491999999998</v>
      </c>
      <c r="R21" s="1437">
        <f t="shared" si="5"/>
        <v>47937.396000000001</v>
      </c>
      <c r="S21" s="1437">
        <f t="shared" si="5"/>
        <v>34236.300000000003</v>
      </c>
      <c r="T21" s="1437">
        <f t="shared" si="5"/>
        <v>20535.204000000002</v>
      </c>
      <c r="U21" s="1437">
        <f t="shared" si="5"/>
        <v>6834.1080000000002</v>
      </c>
      <c r="V21" s="1438">
        <f t="shared" si="5"/>
        <v>0</v>
      </c>
      <c r="W21" s="1438"/>
      <c r="X21" s="1438"/>
      <c r="Y21" s="1438"/>
      <c r="Z21" s="1438"/>
      <c r="AA21" s="1439"/>
    </row>
    <row r="22" spans="1:27" s="1440" customFormat="1" ht="12" customHeight="1" x14ac:dyDescent="0.25">
      <c r="A22" s="1435" t="s">
        <v>1141</v>
      </c>
      <c r="B22" s="1436"/>
      <c r="C22" s="1437"/>
      <c r="D22" s="1437"/>
      <c r="E22" s="1438"/>
      <c r="F22" s="1436">
        <f>13890*6</f>
        <v>83340</v>
      </c>
      <c r="G22" s="1437">
        <v>166680</v>
      </c>
      <c r="H22" s="1438">
        <f>13890*12</f>
        <v>166680</v>
      </c>
      <c r="I22" s="1436">
        <v>166680</v>
      </c>
      <c r="J22" s="1437">
        <v>166680</v>
      </c>
      <c r="K22" s="1437">
        <v>166680</v>
      </c>
      <c r="L22" s="1437">
        <v>166680</v>
      </c>
      <c r="M22" s="1437">
        <v>166680</v>
      </c>
      <c r="N22" s="1437">
        <v>166680</v>
      </c>
      <c r="O22" s="1437">
        <v>166680</v>
      </c>
      <c r="P22" s="1437">
        <v>166680</v>
      </c>
      <c r="Q22" s="1437">
        <v>166680</v>
      </c>
      <c r="R22" s="1437">
        <v>166680</v>
      </c>
      <c r="S22" s="1437">
        <v>166680</v>
      </c>
      <c r="T22" s="1437">
        <v>166680</v>
      </c>
      <c r="U22" s="1437">
        <f>13890*5+13690</f>
        <v>83140</v>
      </c>
      <c r="V22" s="1438"/>
      <c r="W22" s="1438"/>
      <c r="X22" s="1438"/>
      <c r="Y22" s="1438"/>
      <c r="Z22" s="1438"/>
      <c r="AA22" s="1439"/>
    </row>
    <row r="23" spans="1:27" s="1445" customFormat="1" ht="16.5" thickBot="1" x14ac:dyDescent="0.35">
      <c r="A23" s="1441" t="s">
        <v>653</v>
      </c>
      <c r="B23" s="1442">
        <f>SUM(B10:B22)</f>
        <v>0</v>
      </c>
      <c r="C23" s="1443">
        <f>SUM(C10:C22)</f>
        <v>18065348.695976265</v>
      </c>
      <c r="D23" s="1443">
        <f t="shared" ref="D23:V23" si="6">SUM(D10:D22)</f>
        <v>16790161.285376001</v>
      </c>
      <c r="E23" s="1444">
        <f t="shared" si="6"/>
        <v>38047376.303800002</v>
      </c>
      <c r="F23" s="1442">
        <f>SUM(F10:F22)</f>
        <v>20803812.825400002</v>
      </c>
      <c r="G23" s="1443">
        <f>SUM(G10:G22)</f>
        <v>19253928.93</v>
      </c>
      <c r="H23" s="1444">
        <f t="shared" si="6"/>
        <v>23173926.756479997</v>
      </c>
      <c r="I23" s="1442">
        <f t="shared" si="6"/>
        <v>22066809.020260002</v>
      </c>
      <c r="J23" s="1443">
        <f t="shared" si="6"/>
        <v>10242036.448000001</v>
      </c>
      <c r="K23" s="1443">
        <f t="shared" si="6"/>
        <v>9662793.324000001</v>
      </c>
      <c r="L23" s="1443">
        <f t="shared" si="6"/>
        <v>9521265.8000000007</v>
      </c>
      <c r="M23" s="1443">
        <f t="shared" si="6"/>
        <v>9379738.2760000005</v>
      </c>
      <c r="N23" s="1443">
        <f t="shared" si="6"/>
        <v>9238210.7519999985</v>
      </c>
      <c r="O23" s="1443">
        <f t="shared" si="6"/>
        <v>9096683.2280000001</v>
      </c>
      <c r="P23" s="1443">
        <f t="shared" si="6"/>
        <v>8955155.7039999999</v>
      </c>
      <c r="Q23" s="1443">
        <f t="shared" si="6"/>
        <v>8813628.1800000016</v>
      </c>
      <c r="R23" s="1443">
        <f t="shared" si="6"/>
        <v>8672100.6560000014</v>
      </c>
      <c r="S23" s="1443">
        <f t="shared" si="6"/>
        <v>8530573.1319999993</v>
      </c>
      <c r="T23" s="1443">
        <f t="shared" si="6"/>
        <v>7941005.608</v>
      </c>
      <c r="U23" s="1443">
        <f t="shared" si="6"/>
        <v>6474073.2120000003</v>
      </c>
      <c r="V23" s="1444">
        <f t="shared" si="6"/>
        <v>6222012</v>
      </c>
      <c r="W23" s="1444">
        <f t="shared" ref="W23" si="7">SUM(W10:W22)</f>
        <v>6161532</v>
      </c>
      <c r="X23" s="1444">
        <f t="shared" ref="X23" si="8">SUM(X10:X22)</f>
        <v>6101052</v>
      </c>
      <c r="Y23" s="1444">
        <f t="shared" ref="Y23" si="9">SUM(Y10:Y22)</f>
        <v>5480572</v>
      </c>
      <c r="Z23" s="1444">
        <f t="shared" ref="Z23" si="10">SUM(Z10:Z22)</f>
        <v>5200412</v>
      </c>
      <c r="AA23" s="984"/>
    </row>
    <row r="24" spans="1:27" s="1397" customFormat="1" ht="14.25" customHeight="1" thickBot="1" x14ac:dyDescent="0.3">
      <c r="A24" s="1446"/>
      <c r="B24" s="946"/>
      <c r="C24" s="946"/>
      <c r="D24" s="946"/>
      <c r="E24" s="984"/>
      <c r="F24" s="946">
        <f>+F10+F12+F14+F17+F19+F21</f>
        <v>2248528.8254</v>
      </c>
      <c r="G24" s="946"/>
      <c r="H24" s="946"/>
      <c r="I24" s="946"/>
      <c r="J24" s="946"/>
      <c r="K24" s="946"/>
      <c r="L24" s="946"/>
      <c r="M24" s="946"/>
      <c r="N24" s="946"/>
      <c r="O24" s="946"/>
      <c r="P24" s="946"/>
      <c r="Q24" s="946"/>
      <c r="R24" s="946"/>
      <c r="S24" s="946"/>
      <c r="T24" s="946"/>
      <c r="U24" s="946"/>
      <c r="V24" s="946"/>
      <c r="W24" s="946"/>
      <c r="X24" s="946"/>
      <c r="Y24" s="946"/>
      <c r="Z24" s="946"/>
      <c r="AA24" s="984"/>
    </row>
    <row r="25" spans="1:27" s="1397" customFormat="1" ht="13.5" x14ac:dyDescent="0.25">
      <c r="A25" s="1447" t="s">
        <v>669</v>
      </c>
      <c r="B25" s="1448">
        <v>78720000</v>
      </c>
      <c r="C25" s="1449">
        <f>66590908+772963</f>
        <v>67363871</v>
      </c>
      <c r="D25" s="1449">
        <f>+C25-C15</f>
        <v>55954779</v>
      </c>
      <c r="E25" s="1450">
        <f>+D25-D15</f>
        <v>44545687</v>
      </c>
      <c r="F25" s="1448">
        <f>+E25-E15</f>
        <v>33136595</v>
      </c>
      <c r="G25" s="1449">
        <v>22727264</v>
      </c>
      <c r="H25" s="1451">
        <v>11818172</v>
      </c>
      <c r="I25" s="1448">
        <f>+H25-H15</f>
        <v>409080</v>
      </c>
      <c r="J25" s="1449"/>
      <c r="K25" s="1449"/>
      <c r="L25" s="1449"/>
      <c r="M25" s="1449"/>
      <c r="N25" s="1449"/>
      <c r="O25" s="1449"/>
      <c r="P25" s="1449"/>
      <c r="Q25" s="1449"/>
      <c r="R25" s="1449"/>
      <c r="S25" s="1449"/>
      <c r="T25" s="1449"/>
      <c r="U25" s="1449"/>
      <c r="V25" s="1450"/>
      <c r="W25" s="1450"/>
      <c r="X25" s="1450"/>
      <c r="Y25" s="1450"/>
      <c r="Z25" s="1450"/>
      <c r="AA25" s="984"/>
    </row>
    <row r="26" spans="1:27" s="1397" customFormat="1" ht="13.5" x14ac:dyDescent="0.25">
      <c r="A26" s="1452" t="s">
        <v>670</v>
      </c>
      <c r="B26" s="1453"/>
      <c r="C26" s="922">
        <v>46370129</v>
      </c>
      <c r="D26" s="922">
        <v>110000000</v>
      </c>
      <c r="E26" s="1091">
        <f>B3-E13</f>
        <v>88285716</v>
      </c>
      <c r="F26" s="1417">
        <f>E26-F13</f>
        <v>83142864</v>
      </c>
      <c r="G26" s="922">
        <v>78056852</v>
      </c>
      <c r="H26" s="1418">
        <v>72938360</v>
      </c>
      <c r="I26" s="1417">
        <f>H26-I13</f>
        <v>67819868</v>
      </c>
      <c r="J26" s="922">
        <f t="shared" ref="J26:V26" si="11">I26-J13</f>
        <v>62701376</v>
      </c>
      <c r="K26" s="922">
        <f t="shared" si="11"/>
        <v>57582884</v>
      </c>
      <c r="L26" s="922">
        <f t="shared" si="11"/>
        <v>52464392</v>
      </c>
      <c r="M26" s="922">
        <f t="shared" si="11"/>
        <v>47345900</v>
      </c>
      <c r="N26" s="922">
        <f t="shared" si="11"/>
        <v>42227408</v>
      </c>
      <c r="O26" s="922">
        <f t="shared" si="11"/>
        <v>37108916</v>
      </c>
      <c r="P26" s="922">
        <f t="shared" si="11"/>
        <v>31990424</v>
      </c>
      <c r="Q26" s="922">
        <f t="shared" si="11"/>
        <v>26871932</v>
      </c>
      <c r="R26" s="922">
        <f t="shared" si="11"/>
        <v>21753440</v>
      </c>
      <c r="S26" s="922">
        <f t="shared" si="11"/>
        <v>16634948</v>
      </c>
      <c r="T26" s="922">
        <f t="shared" si="11"/>
        <v>11516456</v>
      </c>
      <c r="U26" s="922">
        <f t="shared" si="11"/>
        <v>6397964</v>
      </c>
      <c r="V26" s="1091">
        <f t="shared" si="11"/>
        <v>1279472</v>
      </c>
      <c r="W26" s="1091"/>
      <c r="X26" s="1091"/>
      <c r="Y26" s="1091"/>
      <c r="Z26" s="1091"/>
      <c r="AA26" s="984"/>
    </row>
    <row r="27" spans="1:27" s="1397" customFormat="1" ht="13.5" x14ac:dyDescent="0.25">
      <c r="A27" s="1416" t="s">
        <v>769</v>
      </c>
      <c r="B27" s="1417"/>
      <c r="C27" s="922"/>
      <c r="D27" s="1093"/>
      <c r="E27" s="1094">
        <f>+B5-E18</f>
        <v>30000000</v>
      </c>
      <c r="F27" s="1454">
        <f>+E27-F18</f>
        <v>30000000</v>
      </c>
      <c r="G27" s="1093">
        <v>28301880</v>
      </c>
      <c r="H27" s="1455">
        <v>26037720</v>
      </c>
      <c r="I27" s="1454">
        <f t="shared" ref="I27:O27" si="12">+H27-I18</f>
        <v>24337720</v>
      </c>
      <c r="J27" s="1093">
        <f t="shared" si="12"/>
        <v>22637720</v>
      </c>
      <c r="K27" s="1093">
        <f t="shared" si="12"/>
        <v>20937720</v>
      </c>
      <c r="L27" s="1093">
        <f t="shared" si="12"/>
        <v>19237720</v>
      </c>
      <c r="M27" s="1093">
        <f t="shared" si="12"/>
        <v>17537720</v>
      </c>
      <c r="N27" s="1093">
        <f t="shared" si="12"/>
        <v>15837720</v>
      </c>
      <c r="O27" s="1093">
        <f t="shared" si="12"/>
        <v>14137720</v>
      </c>
      <c r="P27" s="1093">
        <f t="shared" ref="P27" si="13">+O27-P18</f>
        <v>12437720</v>
      </c>
      <c r="Q27" s="1093">
        <f t="shared" ref="Q27" si="14">+P27-Q18</f>
        <v>10737720</v>
      </c>
      <c r="R27" s="1093">
        <f t="shared" ref="R27" si="15">+Q27-R18</f>
        <v>9037720</v>
      </c>
      <c r="S27" s="1093">
        <f t="shared" ref="S27" si="16">+R27-S18</f>
        <v>7337720</v>
      </c>
      <c r="T27" s="1093"/>
      <c r="U27" s="1093"/>
      <c r="V27" s="1094"/>
      <c r="W27" s="1094"/>
      <c r="X27" s="1094"/>
      <c r="Y27" s="1094"/>
      <c r="Z27" s="1094"/>
      <c r="AA27" s="984"/>
    </row>
    <row r="28" spans="1:27" s="1397" customFormat="1" ht="13.5" x14ac:dyDescent="0.25">
      <c r="A28" s="1416" t="s">
        <v>1144</v>
      </c>
      <c r="B28" s="1417"/>
      <c r="C28" s="1456"/>
      <c r="D28" s="1093"/>
      <c r="E28" s="1094"/>
      <c r="F28" s="1454">
        <f>+B6-F20</f>
        <v>14580000</v>
      </c>
      <c r="G28" s="1093">
        <v>13980000</v>
      </c>
      <c r="H28" s="1455">
        <v>13260000</v>
      </c>
      <c r="I28" s="1454">
        <f t="shared" ref="I28:Z28" si="17">+H28-I20</f>
        <v>12540000</v>
      </c>
      <c r="J28" s="1093">
        <f t="shared" si="17"/>
        <v>11820000</v>
      </c>
      <c r="K28" s="1093">
        <f t="shared" si="17"/>
        <v>11100000</v>
      </c>
      <c r="L28" s="1093">
        <f t="shared" si="17"/>
        <v>10380000</v>
      </c>
      <c r="M28" s="1093">
        <f t="shared" si="17"/>
        <v>9660000</v>
      </c>
      <c r="N28" s="1093">
        <f t="shared" si="17"/>
        <v>8940000</v>
      </c>
      <c r="O28" s="1093">
        <f t="shared" si="17"/>
        <v>8220000</v>
      </c>
      <c r="P28" s="1093">
        <f t="shared" si="17"/>
        <v>7500000</v>
      </c>
      <c r="Q28" s="1093">
        <f t="shared" si="17"/>
        <v>6780000</v>
      </c>
      <c r="R28" s="1093">
        <f t="shared" si="17"/>
        <v>6060000</v>
      </c>
      <c r="S28" s="1093">
        <f t="shared" si="17"/>
        <v>5340000</v>
      </c>
      <c r="T28" s="1093">
        <f t="shared" si="17"/>
        <v>4500000</v>
      </c>
      <c r="U28" s="1093">
        <f t="shared" si="17"/>
        <v>3660000</v>
      </c>
      <c r="V28" s="1094">
        <f t="shared" si="17"/>
        <v>2820000</v>
      </c>
      <c r="W28" s="1094">
        <f t="shared" si="17"/>
        <v>1980000</v>
      </c>
      <c r="X28" s="1094">
        <f t="shared" si="17"/>
        <v>1140000</v>
      </c>
      <c r="Y28" s="1094">
        <f t="shared" si="17"/>
        <v>860000</v>
      </c>
      <c r="Z28" s="1094">
        <f t="shared" si="17"/>
        <v>840000</v>
      </c>
      <c r="AA28" s="984"/>
    </row>
    <row r="29" spans="1:27" s="1397" customFormat="1" ht="13.5" x14ac:dyDescent="0.25">
      <c r="A29" s="1457" t="s">
        <v>1144</v>
      </c>
      <c r="B29" s="1458"/>
      <c r="C29" s="1093"/>
      <c r="D29" s="1093"/>
      <c r="E29" s="1094"/>
      <c r="F29" s="1454">
        <f>+B7-F22</f>
        <v>2416660</v>
      </c>
      <c r="G29" s="1093">
        <v>2249980</v>
      </c>
      <c r="H29" s="1455">
        <v>2083300</v>
      </c>
      <c r="I29" s="1454">
        <f t="shared" ref="I29:Z29" si="18">+H29-I22</f>
        <v>1916620</v>
      </c>
      <c r="J29" s="1093">
        <f t="shared" si="18"/>
        <v>1749940</v>
      </c>
      <c r="K29" s="1093">
        <f t="shared" si="18"/>
        <v>1583260</v>
      </c>
      <c r="L29" s="1093">
        <f t="shared" si="18"/>
        <v>1416580</v>
      </c>
      <c r="M29" s="1093">
        <f t="shared" si="18"/>
        <v>1249900</v>
      </c>
      <c r="N29" s="1093">
        <f t="shared" si="18"/>
        <v>1083220</v>
      </c>
      <c r="O29" s="1093">
        <f t="shared" si="18"/>
        <v>916540</v>
      </c>
      <c r="P29" s="1093">
        <f t="shared" si="18"/>
        <v>749860</v>
      </c>
      <c r="Q29" s="1093">
        <f t="shared" si="18"/>
        <v>583180</v>
      </c>
      <c r="R29" s="1093">
        <f t="shared" si="18"/>
        <v>416500</v>
      </c>
      <c r="S29" s="1093">
        <f t="shared" si="18"/>
        <v>249820</v>
      </c>
      <c r="T29" s="1093">
        <f t="shared" si="18"/>
        <v>83140</v>
      </c>
      <c r="U29" s="1093">
        <f t="shared" si="18"/>
        <v>0</v>
      </c>
      <c r="V29" s="1094">
        <f t="shared" si="18"/>
        <v>0</v>
      </c>
      <c r="W29" s="1094">
        <f t="shared" si="18"/>
        <v>0</v>
      </c>
      <c r="X29" s="1094">
        <f t="shared" si="18"/>
        <v>0</v>
      </c>
      <c r="Y29" s="1094">
        <f t="shared" si="18"/>
        <v>0</v>
      </c>
      <c r="Z29" s="1094">
        <f t="shared" si="18"/>
        <v>0</v>
      </c>
      <c r="AA29" s="984"/>
    </row>
    <row r="30" spans="1:27" s="1445" customFormat="1" ht="16.5" thickBot="1" x14ac:dyDescent="0.35">
      <c r="A30" s="1459" t="s">
        <v>779</v>
      </c>
      <c r="B30" s="1460">
        <f>SUM(B25:B29)</f>
        <v>78720000</v>
      </c>
      <c r="C30" s="1461">
        <f t="shared" ref="C30:Z30" si="19">SUM(C25:C29)</f>
        <v>113734000</v>
      </c>
      <c r="D30" s="1461">
        <f t="shared" si="19"/>
        <v>165954779</v>
      </c>
      <c r="E30" s="1462">
        <f t="shared" si="19"/>
        <v>162831403</v>
      </c>
      <c r="F30" s="1460">
        <f t="shared" si="19"/>
        <v>163276119</v>
      </c>
      <c r="G30" s="1461">
        <f t="shared" si="19"/>
        <v>145315976</v>
      </c>
      <c r="H30" s="1462">
        <f t="shared" si="19"/>
        <v>126137552</v>
      </c>
      <c r="I30" s="1460">
        <f t="shared" si="19"/>
        <v>107023288</v>
      </c>
      <c r="J30" s="1461">
        <f t="shared" si="19"/>
        <v>98909036</v>
      </c>
      <c r="K30" s="1461">
        <f t="shared" si="19"/>
        <v>91203864</v>
      </c>
      <c r="L30" s="1461">
        <f t="shared" si="19"/>
        <v>83498692</v>
      </c>
      <c r="M30" s="1461">
        <f t="shared" si="19"/>
        <v>75793520</v>
      </c>
      <c r="N30" s="1461">
        <f t="shared" si="19"/>
        <v>68088348</v>
      </c>
      <c r="O30" s="1461">
        <f t="shared" si="19"/>
        <v>60383176</v>
      </c>
      <c r="P30" s="1461">
        <f t="shared" si="19"/>
        <v>52678004</v>
      </c>
      <c r="Q30" s="1461">
        <f t="shared" si="19"/>
        <v>44972832</v>
      </c>
      <c r="R30" s="1461">
        <f t="shared" si="19"/>
        <v>37267660</v>
      </c>
      <c r="S30" s="1461">
        <f t="shared" si="19"/>
        <v>29562488</v>
      </c>
      <c r="T30" s="1461">
        <f t="shared" si="19"/>
        <v>16099596</v>
      </c>
      <c r="U30" s="1461">
        <f t="shared" si="19"/>
        <v>10057964</v>
      </c>
      <c r="V30" s="1462">
        <f t="shared" si="19"/>
        <v>4099472</v>
      </c>
      <c r="W30" s="1462">
        <f t="shared" si="19"/>
        <v>1980000</v>
      </c>
      <c r="X30" s="1462">
        <f t="shared" si="19"/>
        <v>1140000</v>
      </c>
      <c r="Y30" s="1462">
        <f t="shared" si="19"/>
        <v>860000</v>
      </c>
      <c r="Z30" s="1462">
        <f t="shared" si="19"/>
        <v>840000</v>
      </c>
      <c r="AA30" s="984"/>
    </row>
    <row r="31" spans="1:27" ht="16.5" customHeight="1" thickBot="1" x14ac:dyDescent="0.3">
      <c r="A31" s="984"/>
      <c r="B31" s="984"/>
      <c r="C31" s="946"/>
      <c r="D31" s="984"/>
      <c r="E31" s="984"/>
      <c r="F31" s="946"/>
      <c r="G31" s="946"/>
      <c r="H31" s="946"/>
      <c r="I31" s="946"/>
      <c r="J31" s="946"/>
      <c r="K31" s="946"/>
      <c r="L31" s="946"/>
      <c r="M31" s="946"/>
      <c r="N31" s="946"/>
      <c r="O31" s="946"/>
      <c r="P31" s="946"/>
      <c r="Q31" s="946"/>
      <c r="R31" s="946"/>
      <c r="S31" s="946"/>
      <c r="T31" s="946"/>
      <c r="U31" s="946"/>
      <c r="V31" s="946"/>
      <c r="W31" s="946"/>
      <c r="X31" s="946"/>
      <c r="Y31" s="946"/>
      <c r="Z31" s="946"/>
      <c r="AA31" s="984"/>
    </row>
    <row r="32" spans="1:27" s="1467" customFormat="1" ht="15.75" x14ac:dyDescent="0.3">
      <c r="A32" s="1405" t="s">
        <v>671</v>
      </c>
      <c r="B32" s="1463"/>
      <c r="C32" s="1464">
        <v>151878635</v>
      </c>
      <c r="D32" s="1464">
        <v>144286267</v>
      </c>
      <c r="E32" s="1465">
        <f>+'Souhrn příjmů a výdajů 2023'!H6+'Souhrn příjmů a výdajů 2023'!H30+'Souhrn příjmů a výdajů 2023'!H80+'Souhrn příjmů a výdajů 2023'!H85</f>
        <v>247259406</v>
      </c>
      <c r="F32" s="1466">
        <v>173585654</v>
      </c>
      <c r="G32" s="1464">
        <v>177598199</v>
      </c>
      <c r="H32" s="1465">
        <f>'Souhrn příjmů a výdajů 2023'!H116</f>
        <v>262059406</v>
      </c>
      <c r="I32" s="1466">
        <f>+H32*1.005</f>
        <v>263369703.02999997</v>
      </c>
      <c r="J32" s="1464">
        <f t="shared" ref="J32:Z32" si="20">+I32*1.005</f>
        <v>264686551.54514995</v>
      </c>
      <c r="K32" s="1464">
        <f t="shared" si="20"/>
        <v>266009984.30287567</v>
      </c>
      <c r="L32" s="1464">
        <f t="shared" si="20"/>
        <v>267340034.22439003</v>
      </c>
      <c r="M32" s="1464">
        <f t="shared" si="20"/>
        <v>268676734.39551193</v>
      </c>
      <c r="N32" s="1464">
        <f t="shared" si="20"/>
        <v>270020118.06748945</v>
      </c>
      <c r="O32" s="1464">
        <f t="shared" si="20"/>
        <v>271370218.65782684</v>
      </c>
      <c r="P32" s="1464">
        <f t="shared" si="20"/>
        <v>272727069.75111592</v>
      </c>
      <c r="Q32" s="1464">
        <f t="shared" si="20"/>
        <v>274090705.09987146</v>
      </c>
      <c r="R32" s="1464">
        <f t="shared" si="20"/>
        <v>275461158.6253708</v>
      </c>
      <c r="S32" s="1464">
        <f t="shared" si="20"/>
        <v>276838464.41849762</v>
      </c>
      <c r="T32" s="1464">
        <f t="shared" si="20"/>
        <v>278222656.7405901</v>
      </c>
      <c r="U32" s="1464">
        <f t="shared" si="20"/>
        <v>279613770.02429301</v>
      </c>
      <c r="V32" s="1465">
        <f t="shared" si="20"/>
        <v>281011838.87441444</v>
      </c>
      <c r="W32" s="1465">
        <f t="shared" si="20"/>
        <v>282416898.0687865</v>
      </c>
      <c r="X32" s="1465">
        <f t="shared" si="20"/>
        <v>283828982.55913043</v>
      </c>
      <c r="Y32" s="1465">
        <f t="shared" si="20"/>
        <v>285248127.47192603</v>
      </c>
      <c r="Z32" s="1465">
        <f t="shared" si="20"/>
        <v>286674368.10928565</v>
      </c>
      <c r="AA32" s="984"/>
    </row>
    <row r="33" spans="1:27" ht="16.5" thickBot="1" x14ac:dyDescent="0.35">
      <c r="A33" s="1468" t="s">
        <v>672</v>
      </c>
      <c r="B33" s="1469"/>
      <c r="C33" s="1470">
        <f>+C23/C32</f>
        <v>0.11894595112720274</v>
      </c>
      <c r="D33" s="1470">
        <f>+D23/D32</f>
        <v>0.11636700868680733</v>
      </c>
      <c r="E33" s="1471">
        <f t="shared" ref="E33:V33" si="21">+E23/E32</f>
        <v>0.15387635568371463</v>
      </c>
      <c r="F33" s="1472">
        <f t="shared" si="21"/>
        <v>0.11984753547317915</v>
      </c>
      <c r="G33" s="1470">
        <f t="shared" si="21"/>
        <v>0.10841286138267651</v>
      </c>
      <c r="H33" s="1471">
        <f>+H23/H32</f>
        <v>8.8430051453600556E-2</v>
      </c>
      <c r="I33" s="1472">
        <f t="shared" si="21"/>
        <v>8.3786436960618854E-2</v>
      </c>
      <c r="J33" s="1470">
        <f t="shared" si="21"/>
        <v>3.8694963488739721E-2</v>
      </c>
      <c r="K33" s="1470">
        <f t="shared" si="21"/>
        <v>3.6324927236558398E-2</v>
      </c>
      <c r="L33" s="1470">
        <f t="shared" si="21"/>
        <v>3.5614814771843681E-2</v>
      </c>
      <c r="M33" s="1470">
        <f t="shared" si="21"/>
        <v>3.4910868993190666E-2</v>
      </c>
      <c r="N33" s="1470">
        <f t="shared" si="21"/>
        <v>3.4213046117145166E-2</v>
      </c>
      <c r="O33" s="1470">
        <f t="shared" si="21"/>
        <v>3.3521302643272327E-2</v>
      </c>
      <c r="P33" s="1470">
        <f t="shared" si="21"/>
        <v>3.2835595352424155E-2</v>
      </c>
      <c r="Q33" s="1470">
        <f t="shared" si="21"/>
        <v>3.2155881305017425E-2</v>
      </c>
      <c r="R33" s="1470">
        <f t="shared" si="21"/>
        <v>3.1482117839321665E-2</v>
      </c>
      <c r="S33" s="1470">
        <f t="shared" si="21"/>
        <v>3.0814262569757299E-2</v>
      </c>
      <c r="T33" s="1470">
        <f t="shared" si="21"/>
        <v>2.8541908488078502E-2</v>
      </c>
      <c r="U33" s="1470">
        <f t="shared" si="21"/>
        <v>2.3153627989914549E-2</v>
      </c>
      <c r="V33" s="1471">
        <f t="shared" si="21"/>
        <v>2.2141458612285184E-2</v>
      </c>
      <c r="W33" s="1471">
        <f t="shared" ref="W33:Z33" si="22">+W23/W32</f>
        <v>2.1817150610085927E-2</v>
      </c>
      <c r="X33" s="1471">
        <f t="shared" si="22"/>
        <v>2.1495521510841342E-2</v>
      </c>
      <c r="Y33" s="1471">
        <f t="shared" si="22"/>
        <v>1.9213349614501482E-2</v>
      </c>
      <c r="Z33" s="1471">
        <f t="shared" si="22"/>
        <v>1.814048473987568E-2</v>
      </c>
      <c r="AA33" s="984"/>
    </row>
    <row r="34" spans="1:27" ht="16.5" hidden="1" thickBot="1" x14ac:dyDescent="0.35">
      <c r="A34" s="1473" t="s">
        <v>673</v>
      </c>
      <c r="B34" s="1474"/>
      <c r="C34" s="1475">
        <f>C30/C32</f>
        <v>0.74884792057816429</v>
      </c>
      <c r="D34" s="1475">
        <f t="shared" ref="D34:V34" si="23">D30/D32</f>
        <v>1.1501772306577174</v>
      </c>
      <c r="E34" s="1476">
        <f t="shared" si="23"/>
        <v>0.65854482801758407</v>
      </c>
      <c r="F34" s="1474">
        <f t="shared" si="23"/>
        <v>0.9406083696294395</v>
      </c>
      <c r="G34" s="1475">
        <f t="shared" si="23"/>
        <v>0.81822888305303143</v>
      </c>
      <c r="H34" s="1476">
        <f t="shared" si="23"/>
        <v>0.48133190075230498</v>
      </c>
      <c r="I34" s="1474">
        <f t="shared" si="23"/>
        <v>0.40636142566409461</v>
      </c>
      <c r="J34" s="1475">
        <f t="shared" si="23"/>
        <v>0.37368364740332566</v>
      </c>
      <c r="K34" s="1475">
        <f t="shared" si="23"/>
        <v>0.34285879997705804</v>
      </c>
      <c r="L34" s="1475">
        <f t="shared" si="23"/>
        <v>0.31233141808426623</v>
      </c>
      <c r="M34" s="1475">
        <f t="shared" si="23"/>
        <v>0.2820993048412832</v>
      </c>
      <c r="N34" s="1475">
        <f t="shared" si="23"/>
        <v>0.25216027786115491</v>
      </c>
      <c r="O34" s="1475">
        <f t="shared" si="23"/>
        <v>0.22251216916377139</v>
      </c>
      <c r="P34" s="1475">
        <f t="shared" si="23"/>
        <v>0.19315282508653309</v>
      </c>
      <c r="Q34" s="1475">
        <f t="shared" si="23"/>
        <v>0.16408010619554969</v>
      </c>
      <c r="R34" s="1475">
        <f t="shared" si="23"/>
        <v>0.13529188719736815</v>
      </c>
      <c r="S34" s="1475">
        <f t="shared" si="23"/>
        <v>0.10678605685122675</v>
      </c>
      <c r="T34" s="1475">
        <f t="shared" si="23"/>
        <v>5.7865869690874885E-2</v>
      </c>
      <c r="U34" s="1475">
        <f t="shared" si="23"/>
        <v>3.5970918024266683E-2</v>
      </c>
      <c r="V34" s="1476">
        <f t="shared" si="23"/>
        <v>1.4588253706393038E-2</v>
      </c>
      <c r="W34" s="1477"/>
      <c r="X34" s="1477"/>
      <c r="Y34" s="1477"/>
      <c r="Z34" s="1477"/>
      <c r="AA34" s="984"/>
    </row>
    <row r="35" spans="1:27" ht="14.25" thickBot="1" x14ac:dyDescent="0.3">
      <c r="A35" s="984"/>
      <c r="B35" s="984"/>
      <c r="C35" s="984"/>
      <c r="D35" s="984"/>
      <c r="E35" s="984"/>
      <c r="F35" s="984"/>
      <c r="G35" s="984"/>
      <c r="H35" s="984"/>
      <c r="I35" s="984"/>
      <c r="J35" s="984"/>
      <c r="K35" s="984"/>
      <c r="L35" s="984"/>
      <c r="M35" s="984"/>
      <c r="N35" s="984"/>
      <c r="O35" s="984"/>
      <c r="P35" s="984"/>
      <c r="Q35" s="984"/>
      <c r="R35" s="984"/>
      <c r="S35" s="984"/>
      <c r="T35" s="984"/>
      <c r="U35" s="984"/>
      <c r="V35" s="984"/>
      <c r="W35" s="984"/>
      <c r="X35" s="984"/>
      <c r="Y35" s="984"/>
      <c r="Z35" s="984"/>
      <c r="AA35" s="984"/>
    </row>
    <row r="36" spans="1:27" s="1467" customFormat="1" ht="16.5" thickBot="1" x14ac:dyDescent="0.35">
      <c r="A36" s="1478" t="s">
        <v>674</v>
      </c>
      <c r="B36" s="1415"/>
      <c r="C36" s="1479"/>
      <c r="D36" s="1479"/>
      <c r="E36" s="1479"/>
      <c r="F36" s="1479"/>
      <c r="G36" s="1479"/>
      <c r="H36" s="1479"/>
      <c r="I36" s="1479"/>
      <c r="J36" s="1480"/>
      <c r="K36" s="1480"/>
      <c r="L36" s="1480"/>
      <c r="M36" s="1480"/>
      <c r="N36" s="1480"/>
      <c r="O36" s="1480"/>
      <c r="P36" s="1480"/>
      <c r="Q36" s="1480"/>
      <c r="R36" s="1480"/>
      <c r="S36" s="1480"/>
      <c r="T36" s="1480"/>
      <c r="U36" s="1480"/>
      <c r="V36" s="1480"/>
      <c r="W36" s="1480"/>
      <c r="X36" s="1480"/>
      <c r="Y36" s="1480"/>
      <c r="Z36" s="1480"/>
      <c r="AA36" s="984"/>
    </row>
    <row r="37" spans="1:27" ht="13.5" x14ac:dyDescent="0.25">
      <c r="A37" s="1481" t="s">
        <v>675</v>
      </c>
      <c r="B37" s="1482">
        <v>143084000</v>
      </c>
      <c r="C37" s="1448">
        <v>146553000</v>
      </c>
      <c r="D37" s="1448">
        <f>+C37*1.05</f>
        <v>153880650</v>
      </c>
      <c r="E37" s="1483">
        <v>155370596.25999999</v>
      </c>
      <c r="F37" s="1448">
        <v>173000000</v>
      </c>
      <c r="G37" s="1448">
        <v>179926851</v>
      </c>
      <c r="H37" s="1483">
        <v>190968692</v>
      </c>
      <c r="I37" s="1447">
        <f>+H37</f>
        <v>190968692</v>
      </c>
      <c r="J37" s="1448">
        <f>+I37</f>
        <v>190968692</v>
      </c>
      <c r="K37" s="1448">
        <f t="shared" ref="K37:V37" si="24">+J37*1.02</f>
        <v>194788065.84</v>
      </c>
      <c r="L37" s="1448">
        <f t="shared" si="24"/>
        <v>198683827.1568</v>
      </c>
      <c r="M37" s="1448">
        <f t="shared" si="24"/>
        <v>202657503.699936</v>
      </c>
      <c r="N37" s="1448">
        <f t="shared" si="24"/>
        <v>206710653.77393472</v>
      </c>
      <c r="O37" s="1448">
        <f t="shared" si="24"/>
        <v>210844866.84941342</v>
      </c>
      <c r="P37" s="1448">
        <f t="shared" si="24"/>
        <v>215061764.1864017</v>
      </c>
      <c r="Q37" s="1448">
        <f t="shared" si="24"/>
        <v>219362999.47012973</v>
      </c>
      <c r="R37" s="1448">
        <f t="shared" si="24"/>
        <v>223750259.45953232</v>
      </c>
      <c r="S37" s="1448">
        <f t="shared" si="24"/>
        <v>228225264.64872298</v>
      </c>
      <c r="T37" s="1448">
        <f t="shared" si="24"/>
        <v>232789769.94169745</v>
      </c>
      <c r="U37" s="1448">
        <f t="shared" si="24"/>
        <v>237445565.34053141</v>
      </c>
      <c r="V37" s="1483">
        <f t="shared" si="24"/>
        <v>242194476.64734206</v>
      </c>
      <c r="W37" s="918"/>
      <c r="X37" s="918"/>
      <c r="Y37" s="918"/>
      <c r="Z37" s="918"/>
      <c r="AA37" s="984"/>
    </row>
    <row r="38" spans="1:27" s="1490" customFormat="1" ht="16.5" thickBot="1" x14ac:dyDescent="0.35">
      <c r="A38" s="1484" t="s">
        <v>673</v>
      </c>
      <c r="B38" s="1485">
        <f>+B30/B37</f>
        <v>0.55016633585865649</v>
      </c>
      <c r="C38" s="1485">
        <f>+C30/C37</f>
        <v>0.776060537825906</v>
      </c>
      <c r="D38" s="1485">
        <f>+D30/D37</f>
        <v>1.0784642448546975</v>
      </c>
      <c r="E38" s="1486">
        <f t="shared" ref="E38:V38" si="25">+E30/E37</f>
        <v>1.048019425294056</v>
      </c>
      <c r="F38" s="1487">
        <f t="shared" si="25"/>
        <v>0.94379259537572258</v>
      </c>
      <c r="G38" s="1485">
        <f t="shared" si="25"/>
        <v>0.80763918888348685</v>
      </c>
      <c r="H38" s="1486">
        <f t="shared" si="25"/>
        <v>0.66051430042784187</v>
      </c>
      <c r="I38" s="1488">
        <f t="shared" si="25"/>
        <v>0.56042321324586541</v>
      </c>
      <c r="J38" s="1485">
        <f t="shared" si="25"/>
        <v>0.51793325368746834</v>
      </c>
      <c r="K38" s="1485">
        <f t="shared" si="25"/>
        <v>0.46822100525868643</v>
      </c>
      <c r="L38" s="1485">
        <f t="shared" si="25"/>
        <v>0.4202591282586044</v>
      </c>
      <c r="M38" s="1485">
        <f t="shared" si="25"/>
        <v>0.37399809341490442</v>
      </c>
      <c r="N38" s="1485">
        <f t="shared" si="25"/>
        <v>0.32938964081872413</v>
      </c>
      <c r="O38" s="1485">
        <f t="shared" si="25"/>
        <v>0.28638674918809381</v>
      </c>
      <c r="P38" s="1485">
        <f t="shared" si="25"/>
        <v>0.24494360584869981</v>
      </c>
      <c r="Q38" s="1485">
        <f t="shared" si="25"/>
        <v>0.20501557741566107</v>
      </c>
      <c r="R38" s="1485">
        <f t="shared" si="25"/>
        <v>0.16655918116036986</v>
      </c>
      <c r="S38" s="1485">
        <f t="shared" si="25"/>
        <v>0.12953205704680257</v>
      </c>
      <c r="T38" s="1485">
        <f t="shared" si="25"/>
        <v>6.915937931478762E-2</v>
      </c>
      <c r="U38" s="1485">
        <f t="shared" si="25"/>
        <v>4.2359030734372402E-2</v>
      </c>
      <c r="V38" s="1486">
        <f t="shared" si="25"/>
        <v>1.6926364534601741E-2</v>
      </c>
      <c r="W38" s="1489"/>
      <c r="X38" s="1489"/>
      <c r="Y38" s="1489"/>
      <c r="Z38" s="1489"/>
      <c r="AA38" s="984"/>
    </row>
    <row r="39" spans="1:27" ht="13.5" x14ac:dyDescent="0.25">
      <c r="A39" s="984"/>
      <c r="B39" s="984"/>
      <c r="C39" s="984"/>
      <c r="D39" s="984"/>
      <c r="E39" s="984"/>
      <c r="F39" s="984"/>
      <c r="G39" s="984"/>
      <c r="H39" s="984"/>
      <c r="I39" s="984"/>
      <c r="J39" s="984"/>
      <c r="K39" s="984"/>
      <c r="L39" s="984"/>
      <c r="M39" s="984"/>
      <c r="N39" s="984"/>
      <c r="O39" s="984"/>
      <c r="P39" s="984"/>
      <c r="Q39" s="984"/>
      <c r="R39" s="984"/>
      <c r="S39" s="984"/>
      <c r="T39" s="984"/>
      <c r="U39" s="984"/>
      <c r="V39" s="984"/>
      <c r="W39" s="984"/>
      <c r="X39" s="984"/>
      <c r="Y39" s="984"/>
      <c r="Z39" s="984"/>
      <c r="AA39" s="984"/>
    </row>
    <row r="40" spans="1:27" ht="14.25" hidden="1" thickBot="1" x14ac:dyDescent="0.3">
      <c r="A40" s="984"/>
      <c r="B40" s="946"/>
      <c r="C40" s="946"/>
      <c r="D40" s="946"/>
      <c r="E40" s="984"/>
      <c r="F40" s="984"/>
      <c r="G40" s="984"/>
      <c r="H40" s="984"/>
      <c r="I40" s="984"/>
      <c r="J40" s="984"/>
      <c r="K40" s="984"/>
      <c r="L40" s="984"/>
      <c r="M40" s="984"/>
      <c r="N40" s="984"/>
      <c r="O40" s="984"/>
      <c r="P40" s="984"/>
      <c r="Q40" s="984"/>
      <c r="R40" s="984"/>
      <c r="S40" s="984"/>
      <c r="T40" s="984"/>
      <c r="U40" s="984"/>
      <c r="V40" s="984"/>
      <c r="W40" s="984"/>
      <c r="X40" s="984"/>
      <c r="Y40" s="984"/>
      <c r="Z40" s="984"/>
      <c r="AA40" s="984"/>
    </row>
    <row r="41" spans="1:27" s="1496" customFormat="1" ht="14.25" hidden="1" thickBot="1" x14ac:dyDescent="0.3">
      <c r="A41" s="1089" t="s">
        <v>687</v>
      </c>
      <c r="B41" s="1491">
        <v>2016</v>
      </c>
      <c r="C41" s="1492">
        <v>2017</v>
      </c>
      <c r="D41" s="1493"/>
      <c r="E41" s="1494"/>
      <c r="F41" s="1494"/>
      <c r="G41" s="1495"/>
      <c r="H41" s="1492">
        <v>2018</v>
      </c>
      <c r="I41" s="1493"/>
      <c r="J41" s="1494"/>
      <c r="K41" s="1494"/>
      <c r="L41" s="1495"/>
      <c r="M41" s="1492">
        <v>2019</v>
      </c>
      <c r="N41" s="1493"/>
      <c r="O41" s="1494"/>
      <c r="P41" s="1494"/>
      <c r="Q41" s="1495"/>
      <c r="R41" s="1492">
        <v>2020</v>
      </c>
      <c r="S41" s="1493"/>
      <c r="T41" s="1493"/>
      <c r="U41" s="1494"/>
      <c r="V41" s="1495"/>
      <c r="W41" s="1089"/>
      <c r="X41" s="1089"/>
      <c r="Y41" s="1089"/>
      <c r="Z41" s="1089"/>
      <c r="AA41" s="1089"/>
    </row>
    <row r="42" spans="1:27" ht="14.25" hidden="1" thickBot="1" x14ac:dyDescent="0.3">
      <c r="A42" s="984"/>
      <c r="B42" s="1497"/>
      <c r="C42" s="1498"/>
      <c r="D42" s="1499" t="s">
        <v>682</v>
      </c>
      <c r="E42" s="1500" t="s">
        <v>683</v>
      </c>
      <c r="F42" s="1501" t="s">
        <v>684</v>
      </c>
      <c r="G42" s="1502" t="s">
        <v>685</v>
      </c>
      <c r="H42" s="1498"/>
      <c r="I42" s="1499" t="s">
        <v>682</v>
      </c>
      <c r="J42" s="1500" t="s">
        <v>683</v>
      </c>
      <c r="K42" s="1501" t="s">
        <v>684</v>
      </c>
      <c r="L42" s="1502" t="s">
        <v>685</v>
      </c>
      <c r="M42" s="1498"/>
      <c r="N42" s="1499" t="s">
        <v>682</v>
      </c>
      <c r="O42" s="1500" t="s">
        <v>683</v>
      </c>
      <c r="P42" s="1501" t="s">
        <v>684</v>
      </c>
      <c r="Q42" s="1502" t="s">
        <v>685</v>
      </c>
      <c r="R42" s="1498"/>
      <c r="S42" s="1503" t="s">
        <v>682</v>
      </c>
      <c r="T42" s="1499" t="s">
        <v>683</v>
      </c>
      <c r="U42" s="1501" t="s">
        <v>684</v>
      </c>
      <c r="V42" s="1502" t="s">
        <v>685</v>
      </c>
      <c r="W42" s="1504"/>
      <c r="X42" s="1504"/>
      <c r="Y42" s="1504"/>
      <c r="Z42" s="1504"/>
      <c r="AA42" s="1504"/>
    </row>
    <row r="43" spans="1:27" ht="17.25" hidden="1" thickBot="1" x14ac:dyDescent="0.35">
      <c r="A43" s="1505" t="s">
        <v>680</v>
      </c>
      <c r="B43" s="1506">
        <f>+B44/B45</f>
        <v>1.9308936727538348</v>
      </c>
      <c r="C43" s="1507" t="e">
        <f>+C44/C45</f>
        <v>#REF!</v>
      </c>
      <c r="D43" s="1506">
        <f>+D44/D45</f>
        <v>4.9398583634734905</v>
      </c>
      <c r="E43" s="1506">
        <f>+E44/E45</f>
        <v>2.4384532659623654</v>
      </c>
      <c r="F43" s="1506">
        <f>+F44/F45</f>
        <v>3.4125864367604826</v>
      </c>
      <c r="G43" s="1506" t="e">
        <f t="shared" ref="G43:V43" si="26">+G44/G45</f>
        <v>#DIV/0!</v>
      </c>
      <c r="H43" s="1506">
        <f t="shared" si="26"/>
        <v>2.2329426360337914</v>
      </c>
      <c r="I43" s="1506" t="e">
        <f t="shared" si="26"/>
        <v>#DIV/0!</v>
      </c>
      <c r="J43" s="1506" t="e">
        <f t="shared" si="26"/>
        <v>#DIV/0!</v>
      </c>
      <c r="K43" s="1506" t="e">
        <f t="shared" si="26"/>
        <v>#DIV/0!</v>
      </c>
      <c r="L43" s="1506" t="e">
        <f t="shared" si="26"/>
        <v>#DIV/0!</v>
      </c>
      <c r="M43" s="1506">
        <f t="shared" si="26"/>
        <v>0</v>
      </c>
      <c r="N43" s="1506" t="e">
        <f t="shared" si="26"/>
        <v>#DIV/0!</v>
      </c>
      <c r="O43" s="1506" t="e">
        <f t="shared" si="26"/>
        <v>#DIV/0!</v>
      </c>
      <c r="P43" s="1506" t="e">
        <f t="shared" si="26"/>
        <v>#DIV/0!</v>
      </c>
      <c r="Q43" s="1506" t="e">
        <f t="shared" si="26"/>
        <v>#DIV/0!</v>
      </c>
      <c r="R43" s="1506">
        <f t="shared" si="26"/>
        <v>0</v>
      </c>
      <c r="S43" s="1506" t="e">
        <f t="shared" si="26"/>
        <v>#DIV/0!</v>
      </c>
      <c r="T43" s="1506" t="e">
        <f t="shared" si="26"/>
        <v>#DIV/0!</v>
      </c>
      <c r="U43" s="1506" t="e">
        <f t="shared" si="26"/>
        <v>#DIV/0!</v>
      </c>
      <c r="V43" s="1506" t="e">
        <f t="shared" si="26"/>
        <v>#DIV/0!</v>
      </c>
      <c r="W43" s="1508"/>
      <c r="X43" s="1508"/>
      <c r="Y43" s="1508"/>
      <c r="Z43" s="1508"/>
      <c r="AA43" s="1508"/>
    </row>
    <row r="44" spans="1:27" ht="16.5" hidden="1" x14ac:dyDescent="0.3">
      <c r="A44" s="1509" t="s">
        <v>686</v>
      </c>
      <c r="B44" s="1510">
        <f>5400000+21033934.38</f>
        <v>26433934.379999999</v>
      </c>
      <c r="C44" s="1510" t="e">
        <f>27000000+#REF!+#REF!</f>
        <v>#REF!</v>
      </c>
      <c r="D44" s="1511">
        <v>17050672</v>
      </c>
      <c r="E44" s="1512">
        <v>23737750</v>
      </c>
      <c r="F44" s="1512">
        <v>39324288</v>
      </c>
      <c r="G44" s="1513"/>
      <c r="H44" s="1511">
        <v>37491467</v>
      </c>
      <c r="I44" s="1514"/>
      <c r="J44" s="1512"/>
      <c r="K44" s="1512"/>
      <c r="L44" s="1513"/>
      <c r="M44" s="1511"/>
      <c r="N44" s="1514"/>
      <c r="O44" s="1512"/>
      <c r="P44" s="1512"/>
      <c r="Q44" s="1513"/>
      <c r="R44" s="1511"/>
      <c r="S44" s="1515"/>
      <c r="T44" s="1514"/>
      <c r="U44" s="1512"/>
      <c r="V44" s="1513"/>
      <c r="W44" s="946"/>
      <c r="X44" s="946"/>
      <c r="Y44" s="946"/>
      <c r="Z44" s="946"/>
      <c r="AA44" s="946"/>
    </row>
    <row r="45" spans="1:27" ht="17.25" hidden="1" thickBot="1" x14ac:dyDescent="0.35">
      <c r="A45" s="1516" t="s">
        <v>681</v>
      </c>
      <c r="B45" s="1517">
        <f>2281000+11409000</f>
        <v>13690000</v>
      </c>
      <c r="C45" s="1518">
        <f>+C10+C11+C14+C15</f>
        <v>14465348.695976267</v>
      </c>
      <c r="D45" s="1519">
        <v>3451652</v>
      </c>
      <c r="E45" s="1520">
        <v>9734757</v>
      </c>
      <c r="F45" s="1520">
        <v>11523309</v>
      </c>
      <c r="G45" s="1521"/>
      <c r="H45" s="1518">
        <f>+D23</f>
        <v>16790161.285376001</v>
      </c>
      <c r="I45" s="1519"/>
      <c r="J45" s="1520"/>
      <c r="K45" s="1520"/>
      <c r="L45" s="1521"/>
      <c r="M45" s="1518">
        <f>+E23</f>
        <v>38047376.303800002</v>
      </c>
      <c r="N45" s="1519"/>
      <c r="O45" s="1520"/>
      <c r="P45" s="1520"/>
      <c r="Q45" s="1521"/>
      <c r="R45" s="1518">
        <f>F23</f>
        <v>20803812.825400002</v>
      </c>
      <c r="S45" s="1522"/>
      <c r="T45" s="1519"/>
      <c r="U45" s="1520"/>
      <c r="V45" s="1521"/>
      <c r="W45" s="946"/>
      <c r="X45" s="946"/>
      <c r="Y45" s="946"/>
      <c r="Z45" s="946"/>
      <c r="AA45" s="946"/>
    </row>
    <row r="46" spans="1:27" ht="13.5" hidden="1" x14ac:dyDescent="0.25">
      <c r="A46" s="984"/>
      <c r="B46" s="984"/>
      <c r="C46" s="984"/>
      <c r="D46" s="984"/>
      <c r="E46" s="984"/>
      <c r="F46" s="984"/>
      <c r="G46" s="984"/>
      <c r="H46" s="984"/>
      <c r="I46" s="984"/>
      <c r="J46" s="984"/>
      <c r="K46" s="984"/>
      <c r="L46" s="984"/>
      <c r="M46" s="984"/>
      <c r="N46" s="984"/>
      <c r="O46" s="984"/>
      <c r="P46" s="984"/>
      <c r="Q46" s="984"/>
      <c r="R46" s="984"/>
      <c r="S46" s="984"/>
      <c r="T46" s="984"/>
      <c r="U46" s="984"/>
      <c r="V46" s="984"/>
      <c r="W46" s="984"/>
      <c r="X46" s="984"/>
      <c r="Y46" s="984"/>
      <c r="Z46" s="984"/>
      <c r="AA46" s="984"/>
    </row>
    <row r="47" spans="1:27" ht="13.5" x14ac:dyDescent="0.25"/>
    <row r="48" spans="1:27" ht="13.5" x14ac:dyDescent="0.25"/>
    <row r="49" ht="13.5" x14ac:dyDescent="0.25"/>
  </sheetData>
  <sheetProtection algorithmName="SHA-512" hashValue="kzhvgSwpNYr9jAqBHb8Eec1DHqPsZEhHw9BWJ2DHUOEkKZaHxlBkTlqZqIDijHmn7IDRB0/I1mhoAROBbTuc3g==" saltValue="/jEYJghGVxnM9m728+EDIg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238</v>
      </c>
      <c r="C5" s="22"/>
      <c r="D5" s="47"/>
      <c r="F5" s="48" t="s">
        <v>585</v>
      </c>
      <c r="H5" s="49"/>
      <c r="J5" s="48" t="s">
        <v>585</v>
      </c>
      <c r="L5" s="49"/>
      <c r="N5" s="46" t="s">
        <v>585</v>
      </c>
      <c r="O5" s="22"/>
      <c r="P5" s="47"/>
      <c r="R5" s="50"/>
      <c r="S5" s="49"/>
      <c r="T5" s="49"/>
    </row>
    <row r="6" spans="2:20" x14ac:dyDescent="0.2">
      <c r="B6" s="40"/>
      <c r="C6" s="35" t="s">
        <v>586</v>
      </c>
      <c r="D6" s="51">
        <v>3565331</v>
      </c>
      <c r="F6" s="40"/>
      <c r="G6" t="s">
        <v>586</v>
      </c>
      <c r="H6" s="51">
        <v>3565331</v>
      </c>
      <c r="J6" s="40"/>
      <c r="K6" t="s">
        <v>587</v>
      </c>
      <c r="L6" s="51"/>
      <c r="M6" s="9"/>
      <c r="N6" s="40"/>
      <c r="O6" t="s">
        <v>586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588</v>
      </c>
      <c r="D7" s="51">
        <v>7550000</v>
      </c>
      <c r="F7" s="40"/>
      <c r="G7" t="s">
        <v>588</v>
      </c>
      <c r="H7" s="51"/>
      <c r="J7" s="40"/>
      <c r="K7" t="s">
        <v>588</v>
      </c>
      <c r="L7" s="51"/>
      <c r="M7" s="9"/>
      <c r="N7" s="40"/>
      <c r="O7" t="s">
        <v>588</v>
      </c>
      <c r="P7" s="51">
        <f>+'Výdaje kapitol celkem'!$CW$34+'Výdaje kapitol celkem'!$CZ$34+'Výdaje kapitol celkem'!$DC$34</f>
        <v>6370000</v>
      </c>
      <c r="R7" s="52">
        <f>+'Výdaje kapitol celkem'!$CW$34+'Výdaje kapitol celkem'!$CZ$34+'Výdaje kapitol celkem'!$DC$34</f>
        <v>6370000</v>
      </c>
      <c r="S7" s="51">
        <f>+'Výdaje kapitol celkem'!$CW$34+'Výdaje kapitol celkem'!$CZ$34+'Výdaje kapitol celkem'!$DC$34</f>
        <v>6370000</v>
      </c>
      <c r="T7" s="51">
        <f>+'Výdaje kapitol celkem'!$CW$34+'Výdaje kapitol celkem'!$CZ$34+'Výdaje kapitol celkem'!$DC$34</f>
        <v>6370000</v>
      </c>
    </row>
    <row r="8" spans="2:20" x14ac:dyDescent="0.2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celkem'!$BZ$52</f>
        <v>4392100</v>
      </c>
      <c r="R8" s="52">
        <f>+'Výdaje kapitol celkem'!$BZ$52</f>
        <v>4392100</v>
      </c>
      <c r="S8" s="51">
        <f>+'Výdaje kapitol celkem'!$BZ$52</f>
        <v>4392100</v>
      </c>
      <c r="T8" s="51">
        <f>+'Výdaje kapitol celkem'!$BZ$52</f>
        <v>4392100</v>
      </c>
    </row>
    <row r="9" spans="2:20" x14ac:dyDescent="0.2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548</v>
      </c>
      <c r="D10" s="51">
        <v>115974</v>
      </c>
      <c r="F10" s="40"/>
      <c r="G10" t="s">
        <v>548</v>
      </c>
      <c r="H10" s="51"/>
      <c r="J10" s="40"/>
      <c r="K10" t="s">
        <v>548</v>
      </c>
      <c r="L10" s="51"/>
      <c r="M10" s="9"/>
      <c r="N10" s="40"/>
      <c r="O10" t="s">
        <v>548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589</v>
      </c>
      <c r="H11" s="51">
        <v>0</v>
      </c>
      <c r="J11" s="40"/>
      <c r="K11" t="s">
        <v>590</v>
      </c>
      <c r="L11" s="51"/>
      <c r="M11" s="9"/>
      <c r="N11" s="40"/>
      <c r="O11" t="s">
        <v>591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487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488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496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497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579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30279416</v>
      </c>
      <c r="R18" s="64">
        <f>SUM(R6:R11)</f>
        <v>29421600</v>
      </c>
      <c r="S18" s="64">
        <f>SUM(S6:S11)</f>
        <v>29421600</v>
      </c>
      <c r="T18" s="64">
        <f>SUM(T6:T11)</f>
        <v>27971600</v>
      </c>
    </row>
    <row r="19" spans="2:20" s="54" customFormat="1" ht="15" x14ac:dyDescent="0.25">
      <c r="B19" s="53"/>
      <c r="C19" s="12" t="s">
        <v>592</v>
      </c>
      <c r="D19" s="55">
        <v>2823671</v>
      </c>
      <c r="F19" s="53"/>
      <c r="G19" s="12" t="s">
        <v>592</v>
      </c>
      <c r="H19" s="65"/>
      <c r="J19" s="53"/>
      <c r="K19" s="12" t="s">
        <v>592</v>
      </c>
      <c r="L19" s="65"/>
      <c r="N19" s="53"/>
      <c r="O19" s="12" t="s">
        <v>592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">
      <c r="B22" s="40"/>
      <c r="C22" t="s">
        <v>588</v>
      </c>
      <c r="D22" s="51">
        <v>3959122</v>
      </c>
      <c r="F22" s="40"/>
      <c r="G22" t="s">
        <v>593</v>
      </c>
      <c r="H22" s="67">
        <v>4381411.66</v>
      </c>
      <c r="J22" s="40"/>
      <c r="K22" t="s">
        <v>593</v>
      </c>
      <c r="L22" s="51">
        <v>5442000</v>
      </c>
      <c r="M22" s="9"/>
      <c r="N22" s="40"/>
      <c r="O22" t="s">
        <v>588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593</v>
      </c>
      <c r="D23" s="51">
        <v>5190031.75</v>
      </c>
      <c r="F23" s="40"/>
      <c r="G23" t="s">
        <v>548</v>
      </c>
      <c r="H23" s="51"/>
      <c r="J23" s="40"/>
      <c r="K23" t="s">
        <v>548</v>
      </c>
      <c r="L23" s="51">
        <v>153740</v>
      </c>
      <c r="M23" s="9"/>
      <c r="N23" s="40"/>
      <c r="O23" t="s">
        <v>593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548</v>
      </c>
      <c r="D24" s="51">
        <v>177731</v>
      </c>
      <c r="F24" s="40"/>
      <c r="G24" t="s">
        <v>588</v>
      </c>
      <c r="H24" s="51"/>
      <c r="J24" s="40"/>
      <c r="K24" t="s">
        <v>158</v>
      </c>
      <c r="L24" s="51">
        <v>2772765.1</v>
      </c>
      <c r="M24" s="9"/>
      <c r="N24" s="40"/>
      <c r="O24" t="s">
        <v>548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594</v>
      </c>
      <c r="D27" s="68">
        <f>D25-D18</f>
        <v>-10413033.25</v>
      </c>
      <c r="F27" s="48" t="s">
        <v>594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-17679416</v>
      </c>
      <c r="R27" s="70">
        <f>R25-R18</f>
        <v>-16821600</v>
      </c>
      <c r="S27" s="68">
        <f>S25-S18</f>
        <v>-16821600</v>
      </c>
      <c r="T27" s="68">
        <f>T25-T18</f>
        <v>-15371600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595</v>
      </c>
      <c r="K29" t="s">
        <v>596</v>
      </c>
      <c r="O29" s="9"/>
    </row>
    <row r="30" spans="2:20" x14ac:dyDescent="0.2">
      <c r="G30" t="s">
        <v>597</v>
      </c>
      <c r="K30" t="s">
        <v>598</v>
      </c>
      <c r="P30" s="9"/>
    </row>
    <row r="31" spans="2:20" x14ac:dyDescent="0.2">
      <c r="C31" t="s">
        <v>599</v>
      </c>
      <c r="K31" t="s">
        <v>600</v>
      </c>
      <c r="P31" s="9">
        <f>P27-D27</f>
        <v>-7266382.75</v>
      </c>
      <c r="Q31" t="s">
        <v>601</v>
      </c>
    </row>
    <row r="32" spans="2:20" x14ac:dyDescent="0.2">
      <c r="C32" t="s">
        <v>602</v>
      </c>
      <c r="P32" s="9">
        <f>P19-D19</f>
        <v>781329</v>
      </c>
      <c r="Q32" t="s">
        <v>603</v>
      </c>
    </row>
    <row r="33" spans="3:17" x14ac:dyDescent="0.2">
      <c r="P33" s="9"/>
    </row>
    <row r="34" spans="3:17" x14ac:dyDescent="0.2">
      <c r="C34" t="s">
        <v>5</v>
      </c>
      <c r="P34" s="9">
        <f>P31-P32</f>
        <v>-8047711.75</v>
      </c>
      <c r="Q34" t="s">
        <v>604</v>
      </c>
    </row>
    <row r="35" spans="3:17" x14ac:dyDescent="0.2">
      <c r="P35" s="9"/>
      <c r="Q35" t="s">
        <v>605</v>
      </c>
    </row>
    <row r="36" spans="3:17" x14ac:dyDescent="0.2">
      <c r="P36" s="9"/>
      <c r="Q36" t="s">
        <v>606</v>
      </c>
    </row>
    <row r="37" spans="3:17" x14ac:dyDescent="0.2">
      <c r="C37" t="s">
        <v>607</v>
      </c>
      <c r="P37" s="9">
        <f>SUM(P34:P36)</f>
        <v>-8047711.75</v>
      </c>
    </row>
    <row r="38" spans="3:17" x14ac:dyDescent="0.2">
      <c r="P38" s="9"/>
    </row>
    <row r="39" spans="3:17" x14ac:dyDescent="0.2">
      <c r="C39" t="s">
        <v>608</v>
      </c>
      <c r="P39" s="9"/>
      <c r="Q39" t="s">
        <v>609</v>
      </c>
    </row>
    <row r="40" spans="3:17" x14ac:dyDescent="0.2">
      <c r="P40" s="9"/>
      <c r="Q40" t="s">
        <v>610</v>
      </c>
    </row>
    <row r="41" spans="3:17" x14ac:dyDescent="0.2">
      <c r="D41" s="76"/>
      <c r="E41" s="76"/>
      <c r="P41" s="9"/>
    </row>
    <row r="42" spans="3:17" ht="15" x14ac:dyDescent="0.25">
      <c r="C42" t="s">
        <v>611</v>
      </c>
      <c r="P42" s="69">
        <f>SUM(P37:P40)</f>
        <v>-8047711.75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301</v>
      </c>
    </row>
    <row r="3" spans="1:8" x14ac:dyDescent="0.2">
      <c r="C3" s="2752" t="s">
        <v>299</v>
      </c>
      <c r="D3" s="2752"/>
      <c r="E3" s="2752"/>
      <c r="F3" s="2752" t="s">
        <v>300</v>
      </c>
      <c r="G3" s="2752"/>
      <c r="H3" s="2752"/>
    </row>
    <row r="4" spans="1:8" x14ac:dyDescent="0.2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2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302</v>
      </c>
      <c r="C6" s="3"/>
      <c r="D6" s="3"/>
      <c r="E6" s="3"/>
      <c r="F6" s="3"/>
      <c r="G6" s="3"/>
      <c r="H6" s="3"/>
    </row>
    <row r="7" spans="1:8" x14ac:dyDescent="0.2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308</v>
      </c>
      <c r="C14" s="3"/>
      <c r="D14" s="3"/>
      <c r="E14" s="3"/>
      <c r="F14" s="3"/>
      <c r="G14" s="3"/>
      <c r="H14" s="3"/>
    </row>
    <row r="15" spans="1:8" x14ac:dyDescent="0.2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311</v>
      </c>
      <c r="C17" s="3"/>
      <c r="D17" s="3"/>
      <c r="E17" s="3"/>
      <c r="F17" s="3"/>
      <c r="G17" s="3"/>
      <c r="H17" s="3"/>
    </row>
    <row r="18" spans="1:8" x14ac:dyDescent="0.2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322</v>
      </c>
    </row>
    <row r="29" spans="1:8" s="7" customFormat="1" x14ac:dyDescent="0.2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2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336</v>
      </c>
      <c r="C40" s="3">
        <f>C39*200000</f>
        <v>15691999.999999998</v>
      </c>
    </row>
    <row r="41" spans="1:7" x14ac:dyDescent="0.2">
      <c r="B41" s="1" t="s">
        <v>337</v>
      </c>
      <c r="C41" s="3">
        <f>'Příjmy kapitol celkem'!L35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334</v>
      </c>
    </row>
    <row r="44" spans="1:7" x14ac:dyDescent="0.2">
      <c r="C44" s="1">
        <v>1800000</v>
      </c>
      <c r="D44" s="1" t="s">
        <v>335</v>
      </c>
    </row>
    <row r="45" spans="1:7" x14ac:dyDescent="0.2">
      <c r="C45" s="1">
        <v>2636000</v>
      </c>
      <c r="D45" s="1" t="s">
        <v>273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59"/>
  <sheetViews>
    <sheetView workbookViewId="0"/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57" t="s">
        <v>364</v>
      </c>
    </row>
    <row r="4" spans="1:5" ht="15" x14ac:dyDescent="0.25">
      <c r="A4" s="1658" t="s">
        <v>1465</v>
      </c>
      <c r="B4" s="1658" t="s">
        <v>1466</v>
      </c>
      <c r="C4" s="1658" t="s">
        <v>1467</v>
      </c>
      <c r="D4" s="24" t="s">
        <v>244</v>
      </c>
      <c r="E4" s="32" t="s">
        <v>712</v>
      </c>
    </row>
    <row r="5" spans="1:5" ht="15" x14ac:dyDescent="0.25">
      <c r="A5" s="1658">
        <v>2010</v>
      </c>
      <c r="B5" s="1661">
        <v>238168726.00999999</v>
      </c>
      <c r="C5" s="1661">
        <v>49911430.859999999</v>
      </c>
      <c r="D5" s="1662">
        <f>+B5+C5</f>
        <v>288080156.87</v>
      </c>
      <c r="E5" s="32">
        <v>40270000</v>
      </c>
    </row>
    <row r="6" spans="1:5" ht="15" x14ac:dyDescent="0.25">
      <c r="A6" s="1658">
        <v>2011</v>
      </c>
      <c r="B6" s="1661">
        <v>183417746.77000001</v>
      </c>
      <c r="C6" s="1661">
        <v>213650113.03</v>
      </c>
      <c r="D6" s="1662">
        <f t="shared" ref="D6:D16" si="0">+B6+C6</f>
        <v>397067859.80000001</v>
      </c>
      <c r="E6" s="32">
        <v>41290000</v>
      </c>
    </row>
    <row r="7" spans="1:5" ht="15" x14ac:dyDescent="0.25">
      <c r="A7" s="1658">
        <v>2012</v>
      </c>
      <c r="B7" s="1661">
        <v>150974012.31</v>
      </c>
      <c r="C7" s="1661">
        <v>131055186.18000001</v>
      </c>
      <c r="D7" s="1662">
        <f t="shared" si="0"/>
        <v>282029198.49000001</v>
      </c>
      <c r="E7" s="32">
        <v>59790000</v>
      </c>
    </row>
    <row r="8" spans="1:5" ht="15" x14ac:dyDescent="0.25">
      <c r="A8" s="1658">
        <v>2013</v>
      </c>
      <c r="B8" s="1661">
        <v>198083339.37</v>
      </c>
      <c r="C8" s="1661">
        <v>102889487.55</v>
      </c>
      <c r="D8" s="1662">
        <f t="shared" si="0"/>
        <v>300972826.92000002</v>
      </c>
      <c r="E8" s="32">
        <v>50090000</v>
      </c>
    </row>
    <row r="9" spans="1:5" ht="15" x14ac:dyDescent="0.25">
      <c r="A9" s="1658">
        <v>2014</v>
      </c>
      <c r="B9" s="1661">
        <v>173340475.68000001</v>
      </c>
      <c r="C9" s="1661">
        <v>64060545.32</v>
      </c>
      <c r="D9" s="1662">
        <f t="shared" si="0"/>
        <v>237401021</v>
      </c>
      <c r="E9" s="32">
        <v>62040000</v>
      </c>
    </row>
    <row r="10" spans="1:5" ht="15" x14ac:dyDescent="0.25">
      <c r="A10" s="1658">
        <v>2015</v>
      </c>
      <c r="B10" s="1661">
        <v>189048082.78</v>
      </c>
      <c r="C10" s="1661">
        <v>70979205.209999993</v>
      </c>
      <c r="D10" s="1662">
        <f t="shared" si="0"/>
        <v>260027287.99000001</v>
      </c>
      <c r="E10" s="32">
        <v>63471425</v>
      </c>
    </row>
    <row r="11" spans="1:5" ht="15" x14ac:dyDescent="0.25">
      <c r="A11" s="1658">
        <v>2016</v>
      </c>
      <c r="B11" s="1661">
        <v>197413591.31</v>
      </c>
      <c r="C11" s="1661">
        <v>26846390.129999999</v>
      </c>
      <c r="D11" s="1662">
        <f t="shared" si="0"/>
        <v>224259981.44</v>
      </c>
      <c r="E11" s="32">
        <f>SUM(RUD!O5:O9)</f>
        <v>72282381.450000003</v>
      </c>
    </row>
    <row r="12" spans="1:5" ht="15" x14ac:dyDescent="0.25">
      <c r="A12" s="1658">
        <v>2017</v>
      </c>
      <c r="B12" s="1661">
        <v>259213194.28999999</v>
      </c>
      <c r="C12" s="1661">
        <v>85157680.609999999</v>
      </c>
      <c r="D12" s="1662">
        <f t="shared" si="0"/>
        <v>344370874.89999998</v>
      </c>
      <c r="E12" s="32">
        <f>SUM(RUD!O17:O21)</f>
        <v>78017523.840000004</v>
      </c>
    </row>
    <row r="13" spans="1:5" ht="15" x14ac:dyDescent="0.25">
      <c r="A13" s="1658">
        <v>2018</v>
      </c>
      <c r="B13" s="1661">
        <v>294356038.32999998</v>
      </c>
      <c r="C13" s="1661">
        <v>95600175.219999999</v>
      </c>
      <c r="D13" s="1662">
        <f t="shared" si="0"/>
        <v>389956213.54999995</v>
      </c>
      <c r="E13" s="32">
        <f>SUM(RUD!O29:O33)</f>
        <v>90256550.030000001</v>
      </c>
    </row>
    <row r="14" spans="1:5" ht="15" x14ac:dyDescent="0.25">
      <c r="A14" s="1658">
        <v>2019</v>
      </c>
      <c r="B14" s="1661">
        <v>322354603.16000003</v>
      </c>
      <c r="C14" s="1661">
        <v>70423849.030000001</v>
      </c>
      <c r="D14" s="1662">
        <f t="shared" si="0"/>
        <v>392778452.19000006</v>
      </c>
      <c r="E14" s="32">
        <f>SUM(RUD!O41:O45)</f>
        <v>100045890</v>
      </c>
    </row>
    <row r="15" spans="1:5" ht="15" x14ac:dyDescent="0.25">
      <c r="A15" s="1658">
        <v>2020</v>
      </c>
      <c r="B15" s="1661">
        <v>291430645.30000001</v>
      </c>
      <c r="C15" s="1661">
        <v>44359598.890000001</v>
      </c>
      <c r="D15" s="1662">
        <f t="shared" si="0"/>
        <v>335790244.19</v>
      </c>
      <c r="E15" s="32">
        <f>SUM(RUD!O53:O57)</f>
        <v>93326325</v>
      </c>
    </row>
    <row r="16" spans="1:5" ht="15" x14ac:dyDescent="0.25">
      <c r="A16" s="1659" t="s">
        <v>1468</v>
      </c>
      <c r="B16" s="1661">
        <v>290519526.38999999</v>
      </c>
      <c r="C16" s="1661">
        <v>22739926.59</v>
      </c>
      <c r="D16" s="1662">
        <f t="shared" si="0"/>
        <v>313259452.97999996</v>
      </c>
      <c r="E16" s="32">
        <v>104206791</v>
      </c>
    </row>
    <row r="19" spans="1:2" ht="15" x14ac:dyDescent="0.25">
      <c r="A19" s="1658" t="s">
        <v>1465</v>
      </c>
      <c r="B19" s="1658" t="s">
        <v>1469</v>
      </c>
    </row>
    <row r="20" spans="1:2" ht="15" x14ac:dyDescent="0.25">
      <c r="A20" s="1658">
        <v>2010</v>
      </c>
      <c r="B20" s="31">
        <f>+D5/E5</f>
        <v>7.1537163364787686</v>
      </c>
    </row>
    <row r="21" spans="1:2" ht="15" x14ac:dyDescent="0.25">
      <c r="A21" s="1658">
        <v>2011</v>
      </c>
      <c r="B21" s="31">
        <f t="shared" ref="B21:B31" si="1">+D6/E6</f>
        <v>9.6165623589246803</v>
      </c>
    </row>
    <row r="22" spans="1:2" ht="15" x14ac:dyDescent="0.25">
      <c r="A22" s="1658">
        <v>2012</v>
      </c>
      <c r="B22" s="31">
        <f t="shared" si="1"/>
        <v>4.7169961279478176</v>
      </c>
    </row>
    <row r="23" spans="1:2" ht="15" x14ac:dyDescent="0.25">
      <c r="A23" s="1658">
        <v>2013</v>
      </c>
      <c r="B23" s="31">
        <f t="shared" si="1"/>
        <v>6.0086409846276707</v>
      </c>
    </row>
    <row r="24" spans="1:2" ht="15" x14ac:dyDescent="0.25">
      <c r="A24" s="1658">
        <v>2014</v>
      </c>
      <c r="B24" s="31">
        <f t="shared" si="1"/>
        <v>3.8265799645390071</v>
      </c>
    </row>
    <row r="25" spans="1:2" ht="15" x14ac:dyDescent="0.25">
      <c r="A25" s="1658">
        <v>2015</v>
      </c>
      <c r="B25" s="31">
        <f t="shared" si="1"/>
        <v>4.0967614637610552</v>
      </c>
    </row>
    <row r="26" spans="1:2" ht="15" x14ac:dyDescent="0.25">
      <c r="A26" s="1658">
        <v>2016</v>
      </c>
      <c r="B26" s="31">
        <f t="shared" si="1"/>
        <v>3.1025538580951109</v>
      </c>
    </row>
    <row r="27" spans="1:2" ht="15" x14ac:dyDescent="0.25">
      <c r="A27" s="1658">
        <v>2017</v>
      </c>
      <c r="B27" s="31">
        <f t="shared" si="1"/>
        <v>4.4140195426638131</v>
      </c>
    </row>
    <row r="28" spans="1:2" ht="15" x14ac:dyDescent="0.25">
      <c r="A28" s="1658">
        <v>2018</v>
      </c>
      <c r="B28" s="31">
        <f t="shared" si="1"/>
        <v>4.3205309024152152</v>
      </c>
    </row>
    <row r="29" spans="1:2" ht="15" x14ac:dyDescent="0.25">
      <c r="A29" s="1658">
        <v>2019</v>
      </c>
      <c r="B29" s="31">
        <f t="shared" si="1"/>
        <v>3.9259828883525354</v>
      </c>
    </row>
    <row r="30" spans="1:2" ht="15" x14ac:dyDescent="0.25">
      <c r="A30" s="1658">
        <v>2020</v>
      </c>
      <c r="B30" s="31">
        <f t="shared" si="1"/>
        <v>3.5980227892826595</v>
      </c>
    </row>
    <row r="31" spans="1:2" ht="15" x14ac:dyDescent="0.25">
      <c r="A31" s="1658">
        <v>2021</v>
      </c>
      <c r="B31" s="31">
        <f t="shared" si="1"/>
        <v>3.0061328054905747</v>
      </c>
    </row>
    <row r="41" spans="2:20" x14ac:dyDescent="0.2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75" x14ac:dyDescent="0.2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75" x14ac:dyDescent="0.2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75" x14ac:dyDescent="0.2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75" x14ac:dyDescent="0.2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75" x14ac:dyDescent="0.2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">
      <c r="B75" s="9" t="e">
        <f>SUM(B71:B74)</f>
        <v>#REF!</v>
      </c>
    </row>
    <row r="98" spans="1:13" ht="15.75" x14ac:dyDescent="0.25">
      <c r="H98" s="4"/>
    </row>
    <row r="99" spans="1:13" ht="15.75" x14ac:dyDescent="0.2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75" x14ac:dyDescent="0.2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576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">
      <c r="A104" s="33">
        <v>2013</v>
      </c>
    </row>
    <row r="105" spans="1:13" x14ac:dyDescent="0.2">
      <c r="A105" s="33">
        <v>2012</v>
      </c>
    </row>
    <row r="123" spans="8:22" ht="15.75" x14ac:dyDescent="0.2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75" x14ac:dyDescent="0.25">
      <c r="I130" s="34" t="s">
        <v>240</v>
      </c>
      <c r="J130" s="34" t="s">
        <v>115</v>
      </c>
      <c r="K130" s="34"/>
    </row>
    <row r="131" spans="1:22" x14ac:dyDescent="0.2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">
      <c r="I140"/>
      <c r="K140"/>
      <c r="L140"/>
      <c r="M140"/>
      <c r="N140"/>
      <c r="O140"/>
      <c r="Q140"/>
      <c r="T140"/>
      <c r="V140"/>
    </row>
    <row r="141" spans="1:22" x14ac:dyDescent="0.2">
      <c r="I141"/>
      <c r="K141"/>
      <c r="L141"/>
      <c r="M141"/>
      <c r="N141"/>
      <c r="O141"/>
      <c r="Q141"/>
      <c r="T141"/>
      <c r="V141"/>
    </row>
    <row r="142" spans="1:22" x14ac:dyDescent="0.2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">
      <c r="A143" s="33" t="s">
        <v>559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">
      <c r="A144" s="33" t="s">
        <v>555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">
      <c r="A145" s="33" t="s">
        <v>556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">
      <c r="G146" s="32"/>
      <c r="I146"/>
      <c r="K146"/>
      <c r="L146"/>
      <c r="M146"/>
      <c r="N146"/>
      <c r="O146"/>
      <c r="Q146"/>
      <c r="T146"/>
      <c r="V146"/>
    </row>
    <row r="147" spans="1:22" x14ac:dyDescent="0.2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">
      <c r="A148" s="33" t="s">
        <v>557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558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">
      <c r="I150"/>
      <c r="K150"/>
      <c r="L150"/>
      <c r="M150"/>
      <c r="N150"/>
      <c r="O150"/>
      <c r="Q150"/>
      <c r="T150"/>
      <c r="V150"/>
    </row>
    <row r="151" spans="1:22" x14ac:dyDescent="0.2">
      <c r="B151" s="32"/>
      <c r="E151"/>
      <c r="G151" s="32"/>
      <c r="N151"/>
      <c r="Q151"/>
      <c r="V151"/>
    </row>
    <row r="153" spans="1:22" x14ac:dyDescent="0.2">
      <c r="A153" s="1660"/>
    </row>
    <row r="154" spans="1:22" x14ac:dyDescent="0.2">
      <c r="A154" s="1660"/>
    </row>
    <row r="155" spans="1:22" x14ac:dyDescent="0.2">
      <c r="A155" s="1660"/>
    </row>
    <row r="156" spans="1:22" x14ac:dyDescent="0.2">
      <c r="A156" s="1660"/>
    </row>
    <row r="157" spans="1:22" x14ac:dyDescent="0.2">
      <c r="A157" s="1660"/>
    </row>
    <row r="158" spans="1:22" x14ac:dyDescent="0.2">
      <c r="A158" s="1660"/>
    </row>
    <row r="159" spans="1:22" x14ac:dyDescent="0.2">
      <c r="A159" s="166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287</v>
      </c>
      <c r="C4" s="15"/>
      <c r="D4" s="16">
        <f>'Výdaje kapitol celkem'!S44</f>
        <v>19700000</v>
      </c>
      <c r="E4" s="16">
        <v>9659037</v>
      </c>
      <c r="F4" s="16">
        <v>9659037</v>
      </c>
    </row>
    <row r="5" spans="1:9" ht="15" x14ac:dyDescent="0.25">
      <c r="B5" s="2753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54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267</v>
      </c>
      <c r="D7" s="9">
        <v>2900000</v>
      </c>
      <c r="E7" s="9"/>
      <c r="F7" s="9"/>
    </row>
    <row r="8" spans="1:9" x14ac:dyDescent="0.2">
      <c r="B8"/>
      <c r="C8" t="s">
        <v>268</v>
      </c>
      <c r="D8" s="9">
        <v>500000</v>
      </c>
      <c r="E8" s="9"/>
      <c r="F8" s="9"/>
    </row>
    <row r="9" spans="1:9" x14ac:dyDescent="0.2">
      <c r="B9"/>
      <c r="C9" t="s">
        <v>269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5" x14ac:dyDescent="0.2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">
      <c r="B13"/>
      <c r="C13" t="s">
        <v>272</v>
      </c>
      <c r="D13" s="9">
        <v>5200000</v>
      </c>
      <c r="E13" s="9"/>
      <c r="F13" s="9"/>
    </row>
    <row r="14" spans="1:9" ht="15" x14ac:dyDescent="0.25">
      <c r="B14"/>
      <c r="C14" s="12" t="s">
        <v>270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289</v>
      </c>
      <c r="D17" s="9"/>
      <c r="E17" s="9"/>
      <c r="F17" s="9"/>
    </row>
    <row r="18" spans="1:6" x14ac:dyDescent="0.2">
      <c r="B18" t="s">
        <v>290</v>
      </c>
      <c r="D18" s="9"/>
      <c r="E18" s="9"/>
      <c r="F18" s="9"/>
    </row>
    <row r="19" spans="1:6" x14ac:dyDescent="0.2">
      <c r="B19" t="s">
        <v>291</v>
      </c>
      <c r="D19" s="9"/>
      <c r="E19" s="9"/>
      <c r="F19" s="9"/>
    </row>
    <row r="20" spans="1:6" x14ac:dyDescent="0.2">
      <c r="B20" t="s">
        <v>292</v>
      </c>
      <c r="D20" s="9"/>
      <c r="E20" s="9"/>
      <c r="F20" s="9"/>
    </row>
    <row r="21" spans="1:6" x14ac:dyDescent="0.2">
      <c r="B21" t="s">
        <v>293</v>
      </c>
      <c r="D21" s="9"/>
      <c r="E21" s="9"/>
      <c r="F21" s="9"/>
    </row>
    <row r="22" spans="1:6" x14ac:dyDescent="0.2">
      <c r="B22" t="s">
        <v>294</v>
      </c>
      <c r="D22" s="9"/>
      <c r="E22" s="9"/>
      <c r="F22" s="9"/>
    </row>
    <row r="23" spans="1:6" x14ac:dyDescent="0.2">
      <c r="B23" t="s">
        <v>329</v>
      </c>
      <c r="D23" s="9"/>
      <c r="E23" s="9"/>
      <c r="F23" s="9"/>
    </row>
    <row r="24" spans="1:6" x14ac:dyDescent="0.2">
      <c r="B24" t="s">
        <v>330</v>
      </c>
      <c r="D24" s="9"/>
      <c r="E24" s="9"/>
      <c r="F24" s="9"/>
    </row>
    <row r="25" spans="1:6" x14ac:dyDescent="0.2">
      <c r="B25" t="s">
        <v>331</v>
      </c>
      <c r="D25" s="9"/>
      <c r="E25" s="9"/>
      <c r="F25" s="9"/>
    </row>
    <row r="26" spans="1:6" x14ac:dyDescent="0.2">
      <c r="B26" t="s">
        <v>332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275</v>
      </c>
      <c r="D31" s="9"/>
      <c r="E31" s="9"/>
      <c r="F31" s="9"/>
    </row>
    <row r="32" spans="1:6" x14ac:dyDescent="0.2">
      <c r="B32"/>
      <c r="C32" t="s">
        <v>276</v>
      </c>
      <c r="D32" s="9"/>
      <c r="E32" s="9"/>
      <c r="F32" s="9"/>
    </row>
    <row r="33" spans="1:6" x14ac:dyDescent="0.2">
      <c r="B33"/>
      <c r="C33" t="s">
        <v>277</v>
      </c>
      <c r="D33" s="9"/>
      <c r="E33" s="9"/>
      <c r="F33" s="9"/>
    </row>
    <row r="34" spans="1:6" x14ac:dyDescent="0.2">
      <c r="B34"/>
      <c r="C34" t="s">
        <v>278</v>
      </c>
      <c r="D34" s="9"/>
      <c r="E34" s="9"/>
      <c r="F34" s="9"/>
    </row>
    <row r="35" spans="1:6" x14ac:dyDescent="0.2">
      <c r="B35"/>
      <c r="C35" t="s">
        <v>279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223</v>
      </c>
      <c r="B3" s="89"/>
      <c r="C3" s="101" t="s">
        <v>2</v>
      </c>
      <c r="D3" s="97" t="s">
        <v>612</v>
      </c>
      <c r="E3" s="95" t="s">
        <v>613</v>
      </c>
      <c r="F3" s="95" t="s">
        <v>614</v>
      </c>
      <c r="G3" s="95" t="s">
        <v>615</v>
      </c>
      <c r="H3" s="95" t="s">
        <v>616</v>
      </c>
      <c r="I3" s="95" t="s">
        <v>190</v>
      </c>
      <c r="J3" s="95" t="s">
        <v>191</v>
      </c>
      <c r="K3" s="95" t="s">
        <v>617</v>
      </c>
      <c r="L3" s="95" t="s">
        <v>618</v>
      </c>
      <c r="M3" s="95" t="s">
        <v>619</v>
      </c>
      <c r="N3" s="95" t="s">
        <v>620</v>
      </c>
      <c r="O3" s="96" t="s">
        <v>621</v>
      </c>
      <c r="P3" s="82" t="s">
        <v>237</v>
      </c>
    </row>
    <row r="4" spans="1:16" ht="15.75" x14ac:dyDescent="0.25">
      <c r="A4" s="90" t="s">
        <v>13</v>
      </c>
      <c r="B4" s="91">
        <v>1111</v>
      </c>
      <c r="C4" s="102">
        <f>'Souhrn příjmů a výdajů 2023'!H7</f>
        <v>24855312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-24855312</v>
      </c>
    </row>
    <row r="5" spans="1:16" ht="15.75" x14ac:dyDescent="0.25">
      <c r="A5" s="77" t="s">
        <v>14</v>
      </c>
      <c r="B5" s="88">
        <v>1112</v>
      </c>
      <c r="C5" s="103">
        <f>'Souhrn příjmů a výdajů 2023'!H8</f>
        <v>1716548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-1716548</v>
      </c>
    </row>
    <row r="6" spans="1:16" ht="15.75" x14ac:dyDescent="0.25">
      <c r="A6" s="77" t="s">
        <v>15</v>
      </c>
      <c r="B6" s="88">
        <v>1121</v>
      </c>
      <c r="C6" s="103">
        <f>'Souhrn příjmů a výdajů 2023'!H11</f>
        <v>4953190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-4953190</v>
      </c>
    </row>
    <row r="7" spans="1:16" ht="15.75" x14ac:dyDescent="0.25">
      <c r="A7" s="77" t="s">
        <v>482</v>
      </c>
      <c r="B7" s="88">
        <v>1113</v>
      </c>
      <c r="C7" s="103">
        <f>'Souhrn příjmů a výdajů 2023'!H12</f>
        <v>35922921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-35922921</v>
      </c>
    </row>
    <row r="8" spans="1:16" ht="15.75" x14ac:dyDescent="0.25">
      <c r="A8" s="77" t="s">
        <v>16</v>
      </c>
      <c r="B8" s="88">
        <v>1211</v>
      </c>
      <c r="C8" s="103">
        <f>'Souhrn příjmů a výdajů 2023'!H14</f>
        <v>80505412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-80505412</v>
      </c>
    </row>
    <row r="9" spans="1:16" ht="15.75" x14ac:dyDescent="0.25">
      <c r="A9" s="77" t="s">
        <v>18</v>
      </c>
      <c r="B9" s="88" t="s">
        <v>17</v>
      </c>
      <c r="C9" s="103">
        <f>'Souhrn příjmů a výdajů 2023'!H15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2023'!H16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75" x14ac:dyDescent="0.25">
      <c r="A12" s="77" t="s">
        <v>21</v>
      </c>
      <c r="B12" s="88">
        <v>1341</v>
      </c>
      <c r="C12" s="103">
        <f>'Souhrn příjmů a výdajů 2023'!H17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2023'!H18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2023'!H19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2023'!H20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2023'!H21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2023'!H22</f>
        <v>2500000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-2500000</v>
      </c>
    </row>
    <row r="18" spans="1:16" ht="15.75" x14ac:dyDescent="0.25">
      <c r="A18" s="77" t="s">
        <v>481</v>
      </c>
      <c r="B18" s="88" t="s">
        <v>26</v>
      </c>
      <c r="C18" s="103">
        <f>'Souhrn příjmů a výdajů 2023'!H23</f>
        <v>5000000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-5000000</v>
      </c>
    </row>
    <row r="19" spans="1:16" ht="15.75" x14ac:dyDescent="0.25">
      <c r="A19" s="77" t="s">
        <v>483</v>
      </c>
      <c r="B19" s="88">
        <v>1381</v>
      </c>
      <c r="C19" s="103">
        <f>'Souhrn příjmů a výdajů 2023'!H26</f>
        <v>3100000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-3100000</v>
      </c>
    </row>
    <row r="20" spans="1:16" ht="15.75" x14ac:dyDescent="0.25">
      <c r="A20" s="77" t="s">
        <v>29</v>
      </c>
      <c r="B20" s="88">
        <v>1381</v>
      </c>
      <c r="C20" s="103">
        <f>'Souhrn příjmů a výdajů 2023'!H25</f>
        <v>1000000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-1000000</v>
      </c>
    </row>
    <row r="21" spans="1:16" ht="15.75" x14ac:dyDescent="0.25">
      <c r="A21" s="77" t="s">
        <v>31</v>
      </c>
      <c r="B21" s="88" t="s">
        <v>30</v>
      </c>
      <c r="C21" s="103">
        <f>'Souhrn příjmů a výdajů 2023'!H24</f>
        <v>1500000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-1500000</v>
      </c>
    </row>
    <row r="22" spans="1:16" ht="16.5" thickBot="1" x14ac:dyDescent="0.3">
      <c r="A22" s="78" t="s">
        <v>32</v>
      </c>
      <c r="B22" s="89">
        <v>1511</v>
      </c>
      <c r="C22" s="104">
        <f>'Souhrn příjmů a výdajů 2023'!H27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804</v>
      </c>
      <c r="C2" s="10"/>
    </row>
    <row r="4" spans="1:4" ht="15" x14ac:dyDescent="0.25">
      <c r="A4" s="1668" t="s">
        <v>805</v>
      </c>
      <c r="B4" s="1668" t="s">
        <v>806</v>
      </c>
      <c r="C4" s="1669" t="s">
        <v>494</v>
      </c>
      <c r="D4" s="1668" t="s">
        <v>807</v>
      </c>
    </row>
    <row r="5" spans="1:4" x14ac:dyDescent="0.2">
      <c r="C5" s="1670"/>
    </row>
    <row r="6" spans="1:4" x14ac:dyDescent="0.2">
      <c r="B6" t="s">
        <v>808</v>
      </c>
      <c r="C6" s="1678" t="s">
        <v>809</v>
      </c>
      <c r="D6" s="1672" t="s">
        <v>810</v>
      </c>
    </row>
    <row r="7" spans="1:4" x14ac:dyDescent="0.2">
      <c r="B7" t="s">
        <v>1489</v>
      </c>
      <c r="C7" s="1678" t="s">
        <v>811</v>
      </c>
      <c r="D7" s="1672" t="s">
        <v>812</v>
      </c>
    </row>
    <row r="8" spans="1:4" x14ac:dyDescent="0.2">
      <c r="B8" t="s">
        <v>813</v>
      </c>
      <c r="C8" s="1678" t="s">
        <v>814</v>
      </c>
      <c r="D8" s="1672" t="s">
        <v>815</v>
      </c>
    </row>
    <row r="9" spans="1:4" ht="15" x14ac:dyDescent="0.25">
      <c r="A9" s="1679">
        <v>43374</v>
      </c>
      <c r="B9" s="1680" t="s">
        <v>816</v>
      </c>
      <c r="C9" s="1681" t="s">
        <v>817</v>
      </c>
      <c r="D9" s="1682" t="s">
        <v>818</v>
      </c>
    </row>
    <row r="10" spans="1:4" x14ac:dyDescent="0.2">
      <c r="B10" t="s">
        <v>808</v>
      </c>
      <c r="C10" s="1678" t="s">
        <v>819</v>
      </c>
      <c r="D10" s="1672" t="s">
        <v>820</v>
      </c>
    </row>
    <row r="11" spans="1:4" x14ac:dyDescent="0.2">
      <c r="B11" t="s">
        <v>1489</v>
      </c>
      <c r="C11" s="1678" t="s">
        <v>811</v>
      </c>
      <c r="D11" s="1672" t="s">
        <v>821</v>
      </c>
    </row>
    <row r="12" spans="1:4" x14ac:dyDescent="0.2">
      <c r="B12" t="s">
        <v>822</v>
      </c>
      <c r="C12" s="1678" t="s">
        <v>814</v>
      </c>
      <c r="D12" s="1672" t="s">
        <v>815</v>
      </c>
    </row>
    <row r="13" spans="1:4" ht="15" x14ac:dyDescent="0.25">
      <c r="A13" s="1679">
        <v>43405</v>
      </c>
      <c r="B13" s="1680" t="s">
        <v>816</v>
      </c>
      <c r="C13" s="1683" t="s">
        <v>823</v>
      </c>
      <c r="D13" s="1684" t="s">
        <v>824</v>
      </c>
    </row>
    <row r="14" spans="1:4" x14ac:dyDescent="0.2">
      <c r="B14" t="s">
        <v>808</v>
      </c>
      <c r="C14" s="1678" t="s">
        <v>825</v>
      </c>
      <c r="D14" s="1672" t="s">
        <v>826</v>
      </c>
    </row>
    <row r="15" spans="1:4" x14ac:dyDescent="0.2">
      <c r="B15" t="s">
        <v>1489</v>
      </c>
      <c r="C15" s="1678" t="s">
        <v>827</v>
      </c>
      <c r="D15" s="1672" t="s">
        <v>828</v>
      </c>
    </row>
    <row r="16" spans="1:4" x14ac:dyDescent="0.2">
      <c r="B16" t="s">
        <v>822</v>
      </c>
      <c r="C16" s="1678" t="s">
        <v>829</v>
      </c>
      <c r="D16" s="1672" t="s">
        <v>815</v>
      </c>
    </row>
    <row r="17" spans="1:4" ht="15" x14ac:dyDescent="0.25">
      <c r="A17" s="1685">
        <v>43465</v>
      </c>
      <c r="B17" s="1686" t="s">
        <v>816</v>
      </c>
      <c r="C17" s="1687" t="s">
        <v>830</v>
      </c>
      <c r="D17" s="1688" t="s">
        <v>831</v>
      </c>
    </row>
    <row r="18" spans="1:4" x14ac:dyDescent="0.2">
      <c r="B18" t="s">
        <v>808</v>
      </c>
      <c r="C18" s="1678" t="s">
        <v>832</v>
      </c>
      <c r="D18" s="1672" t="s">
        <v>833</v>
      </c>
    </row>
    <row r="19" spans="1:4" x14ac:dyDescent="0.2">
      <c r="B19" t="s">
        <v>1489</v>
      </c>
      <c r="C19" s="1678" t="s">
        <v>834</v>
      </c>
      <c r="D19" s="1672" t="s">
        <v>835</v>
      </c>
    </row>
    <row r="20" spans="1:4" x14ac:dyDescent="0.2">
      <c r="B20" t="s">
        <v>822</v>
      </c>
      <c r="C20" s="1678" t="s">
        <v>829</v>
      </c>
      <c r="D20" s="1672" t="s">
        <v>815</v>
      </c>
    </row>
    <row r="21" spans="1:4" ht="15" x14ac:dyDescent="0.25">
      <c r="A21" s="1679">
        <v>43496</v>
      </c>
      <c r="B21" s="1680" t="s">
        <v>816</v>
      </c>
      <c r="C21" s="1681" t="s">
        <v>836</v>
      </c>
      <c r="D21" s="1682" t="s">
        <v>837</v>
      </c>
    </row>
    <row r="22" spans="1:4" x14ac:dyDescent="0.2">
      <c r="B22" t="s">
        <v>808</v>
      </c>
      <c r="C22" s="1678" t="s">
        <v>838</v>
      </c>
      <c r="D22" s="1672" t="s">
        <v>839</v>
      </c>
    </row>
    <row r="23" spans="1:4" x14ac:dyDescent="0.2">
      <c r="B23" t="s">
        <v>1489</v>
      </c>
      <c r="C23" s="1678" t="s">
        <v>834</v>
      </c>
      <c r="D23" s="1672" t="s">
        <v>840</v>
      </c>
    </row>
    <row r="24" spans="1:4" x14ac:dyDescent="0.2">
      <c r="B24" t="s">
        <v>822</v>
      </c>
      <c r="C24" s="1678" t="s">
        <v>829</v>
      </c>
      <c r="D24" s="1672" t="s">
        <v>815</v>
      </c>
    </row>
    <row r="25" spans="1:4" ht="15" x14ac:dyDescent="0.25">
      <c r="A25" s="1679">
        <v>43524</v>
      </c>
      <c r="B25" s="1680" t="s">
        <v>816</v>
      </c>
      <c r="C25" s="1681" t="s">
        <v>841</v>
      </c>
      <c r="D25" s="1682" t="s">
        <v>842</v>
      </c>
    </row>
    <row r="26" spans="1:4" x14ac:dyDescent="0.2">
      <c r="B26" t="s">
        <v>808</v>
      </c>
      <c r="C26" s="1678" t="s">
        <v>843</v>
      </c>
      <c r="D26" s="1672" t="s">
        <v>844</v>
      </c>
    </row>
    <row r="27" spans="1:4" x14ac:dyDescent="0.2">
      <c r="B27" t="s">
        <v>1489</v>
      </c>
      <c r="C27" s="1678" t="s">
        <v>834</v>
      </c>
      <c r="D27" s="1672" t="s">
        <v>845</v>
      </c>
    </row>
    <row r="28" spans="1:4" x14ac:dyDescent="0.2">
      <c r="B28" t="s">
        <v>822</v>
      </c>
      <c r="C28" s="1678" t="s">
        <v>846</v>
      </c>
      <c r="D28" s="1672" t="s">
        <v>815</v>
      </c>
    </row>
    <row r="29" spans="1:4" ht="15" x14ac:dyDescent="0.25">
      <c r="A29" s="1679">
        <v>43555</v>
      </c>
      <c r="B29" s="1680" t="s">
        <v>816</v>
      </c>
      <c r="C29" s="1683" t="s">
        <v>847</v>
      </c>
      <c r="D29" s="1684" t="s">
        <v>848</v>
      </c>
    </row>
    <row r="30" spans="1:4" x14ac:dyDescent="0.2">
      <c r="B30" t="s">
        <v>808</v>
      </c>
      <c r="C30" s="1678" t="s">
        <v>849</v>
      </c>
      <c r="D30" s="1672" t="s">
        <v>850</v>
      </c>
    </row>
    <row r="31" spans="1:4" x14ac:dyDescent="0.2">
      <c r="B31" t="s">
        <v>1489</v>
      </c>
      <c r="C31" s="1678" t="s">
        <v>851</v>
      </c>
      <c r="D31" s="1672" t="s">
        <v>852</v>
      </c>
    </row>
    <row r="32" spans="1:4" x14ac:dyDescent="0.2">
      <c r="B32" t="s">
        <v>822</v>
      </c>
      <c r="C32" s="1672" t="s">
        <v>846</v>
      </c>
      <c r="D32" s="1672" t="s">
        <v>815</v>
      </c>
    </row>
    <row r="33" spans="1:5" ht="15" x14ac:dyDescent="0.25">
      <c r="A33" s="1679">
        <v>43585</v>
      </c>
      <c r="B33" s="1680" t="s">
        <v>816</v>
      </c>
      <c r="C33" s="1683" t="s">
        <v>853</v>
      </c>
      <c r="D33" s="1684" t="s">
        <v>854</v>
      </c>
    </row>
    <row r="34" spans="1:5" x14ac:dyDescent="0.2">
      <c r="B34" t="s">
        <v>808</v>
      </c>
      <c r="C34" s="1672" t="s">
        <v>855</v>
      </c>
      <c r="D34" s="1672" t="s">
        <v>856</v>
      </c>
    </row>
    <row r="35" spans="1:5" x14ac:dyDescent="0.2">
      <c r="B35" t="s">
        <v>1489</v>
      </c>
      <c r="C35" s="1672" t="s">
        <v>857</v>
      </c>
      <c r="D35" s="1672" t="s">
        <v>858</v>
      </c>
    </row>
    <row r="36" spans="1:5" x14ac:dyDescent="0.2">
      <c r="B36" t="s">
        <v>1472</v>
      </c>
      <c r="C36" s="1672" t="s">
        <v>859</v>
      </c>
      <c r="D36" s="1672" t="s">
        <v>815</v>
      </c>
      <c r="E36" t="s">
        <v>1263</v>
      </c>
    </row>
    <row r="37" spans="1:5" ht="15" x14ac:dyDescent="0.25">
      <c r="A37" s="1689"/>
      <c r="B37" s="1690" t="s">
        <v>822</v>
      </c>
      <c r="C37" s="1691" t="s">
        <v>846</v>
      </c>
      <c r="D37" s="1691" t="s">
        <v>815</v>
      </c>
    </row>
    <row r="38" spans="1:5" x14ac:dyDescent="0.2">
      <c r="A38" s="1692">
        <v>43616</v>
      </c>
      <c r="B38" s="1673" t="s">
        <v>816</v>
      </c>
      <c r="C38" s="1674" t="s">
        <v>860</v>
      </c>
      <c r="D38" s="1693" t="s">
        <v>861</v>
      </c>
    </row>
    <row r="39" spans="1:5" x14ac:dyDescent="0.2">
      <c r="B39" t="s">
        <v>808</v>
      </c>
      <c r="C39" s="1672" t="s">
        <v>982</v>
      </c>
      <c r="D39" s="1672" t="s">
        <v>983</v>
      </c>
    </row>
    <row r="40" spans="1:5" x14ac:dyDescent="0.2">
      <c r="B40" t="s">
        <v>1471</v>
      </c>
      <c r="C40" s="1672" t="s">
        <v>984</v>
      </c>
      <c r="D40" s="1672" t="s">
        <v>985</v>
      </c>
    </row>
    <row r="41" spans="1:5" ht="15" x14ac:dyDescent="0.25">
      <c r="A41" s="1689"/>
      <c r="B41" s="1690" t="s">
        <v>1472</v>
      </c>
      <c r="C41" s="1691" t="s">
        <v>986</v>
      </c>
      <c r="D41" s="1691" t="s">
        <v>815</v>
      </c>
    </row>
    <row r="42" spans="1:5" x14ac:dyDescent="0.2">
      <c r="B42" t="s">
        <v>822</v>
      </c>
      <c r="C42" s="1672" t="s">
        <v>987</v>
      </c>
      <c r="D42" s="1672" t="s">
        <v>815</v>
      </c>
    </row>
    <row r="43" spans="1:5" x14ac:dyDescent="0.2">
      <c r="A43" s="1694" t="s">
        <v>862</v>
      </c>
      <c r="B43" s="1673"/>
      <c r="C43" s="1674" t="s">
        <v>988</v>
      </c>
      <c r="D43" s="1693" t="s">
        <v>989</v>
      </c>
    </row>
    <row r="44" spans="1:5" x14ac:dyDescent="0.2">
      <c r="B44" t="s">
        <v>808</v>
      </c>
      <c r="C44" s="1672" t="s">
        <v>990</v>
      </c>
      <c r="D44" s="1672" t="s">
        <v>991</v>
      </c>
    </row>
    <row r="45" spans="1:5" x14ac:dyDescent="0.2">
      <c r="B45" t="s">
        <v>1490</v>
      </c>
      <c r="C45" s="1672" t="s">
        <v>984</v>
      </c>
      <c r="D45" s="1672" t="s">
        <v>992</v>
      </c>
    </row>
    <row r="46" spans="1:5" x14ac:dyDescent="0.2">
      <c r="B46" t="s">
        <v>1472</v>
      </c>
      <c r="C46" s="1672" t="s">
        <v>993</v>
      </c>
      <c r="D46" s="1672" t="s">
        <v>815</v>
      </c>
    </row>
    <row r="47" spans="1:5" x14ac:dyDescent="0.2">
      <c r="B47" t="s">
        <v>822</v>
      </c>
      <c r="C47" s="1672" t="s">
        <v>987</v>
      </c>
      <c r="D47" s="1672" t="s">
        <v>815</v>
      </c>
    </row>
    <row r="48" spans="1:5" x14ac:dyDescent="0.2">
      <c r="A48" s="1692">
        <v>43677</v>
      </c>
      <c r="B48" s="1673" t="s">
        <v>816</v>
      </c>
      <c r="C48" s="1674" t="s">
        <v>994</v>
      </c>
      <c r="D48" s="1693" t="s">
        <v>995</v>
      </c>
    </row>
    <row r="49" spans="1:4" x14ac:dyDescent="0.2">
      <c r="B49" t="s">
        <v>808</v>
      </c>
      <c r="C49" s="1672" t="s">
        <v>996</v>
      </c>
      <c r="D49" s="1672" t="s">
        <v>997</v>
      </c>
    </row>
    <row r="50" spans="1:4" x14ac:dyDescent="0.2">
      <c r="B50" t="s">
        <v>1491</v>
      </c>
      <c r="C50" s="1672" t="s">
        <v>998</v>
      </c>
      <c r="D50" s="1672" t="s">
        <v>999</v>
      </c>
    </row>
    <row r="51" spans="1:4" x14ac:dyDescent="0.2">
      <c r="B51" t="s">
        <v>1492</v>
      </c>
      <c r="C51" s="1672" t="s">
        <v>1000</v>
      </c>
      <c r="D51" s="1672" t="s">
        <v>815</v>
      </c>
    </row>
    <row r="52" spans="1:4" x14ac:dyDescent="0.2">
      <c r="B52" t="s">
        <v>822</v>
      </c>
      <c r="C52" s="1672" t="s">
        <v>987</v>
      </c>
      <c r="D52" s="1672" t="s">
        <v>815</v>
      </c>
    </row>
    <row r="53" spans="1:4" x14ac:dyDescent="0.2">
      <c r="A53" s="1677">
        <v>43708</v>
      </c>
      <c r="B53" s="1673" t="s">
        <v>816</v>
      </c>
      <c r="C53" s="1674" t="s">
        <v>1001</v>
      </c>
      <c r="D53" s="1674" t="s">
        <v>1002</v>
      </c>
    </row>
    <row r="54" spans="1:4" x14ac:dyDescent="0.2">
      <c r="B54" t="s">
        <v>808</v>
      </c>
      <c r="C54" s="1672" t="s">
        <v>1003</v>
      </c>
      <c r="D54" s="1672" t="s">
        <v>1004</v>
      </c>
    </row>
    <row r="55" spans="1:4" x14ac:dyDescent="0.2">
      <c r="B55" t="s">
        <v>1471</v>
      </c>
      <c r="C55" s="1672" t="s">
        <v>1005</v>
      </c>
      <c r="D55" s="1672" t="s">
        <v>1006</v>
      </c>
    </row>
    <row r="56" spans="1:4" x14ac:dyDescent="0.2">
      <c r="B56" t="s">
        <v>1472</v>
      </c>
      <c r="C56" s="1672" t="s">
        <v>1007</v>
      </c>
      <c r="D56" s="1672" t="s">
        <v>1008</v>
      </c>
    </row>
    <row r="57" spans="1:4" x14ac:dyDescent="0.2">
      <c r="B57" t="s">
        <v>822</v>
      </c>
      <c r="C57" s="1672" t="s">
        <v>1009</v>
      </c>
      <c r="D57" s="1672" t="s">
        <v>815</v>
      </c>
    </row>
    <row r="58" spans="1:4" x14ac:dyDescent="0.2">
      <c r="A58" s="1673" t="s">
        <v>1010</v>
      </c>
      <c r="B58" s="1673"/>
      <c r="C58" s="1674" t="s">
        <v>1011</v>
      </c>
      <c r="D58" s="1674">
        <v>286953.67</v>
      </c>
    </row>
    <row r="59" spans="1:4" x14ac:dyDescent="0.2">
      <c r="B59" t="s">
        <v>808</v>
      </c>
      <c r="C59" s="1672" t="s">
        <v>1012</v>
      </c>
      <c r="D59" s="1672" t="s">
        <v>1013</v>
      </c>
    </row>
    <row r="60" spans="1:4" x14ac:dyDescent="0.2">
      <c r="B60" t="s">
        <v>1471</v>
      </c>
      <c r="C60" s="1672" t="s">
        <v>1014</v>
      </c>
      <c r="D60" s="1672" t="s">
        <v>1015</v>
      </c>
    </row>
    <row r="61" spans="1:4" x14ac:dyDescent="0.2">
      <c r="B61" t="s">
        <v>1472</v>
      </c>
      <c r="C61" s="1672" t="s">
        <v>1007</v>
      </c>
      <c r="D61" s="1672" t="s">
        <v>815</v>
      </c>
    </row>
    <row r="62" spans="1:4" x14ac:dyDescent="0.2">
      <c r="B62" t="s">
        <v>822</v>
      </c>
      <c r="C62" s="1672" t="s">
        <v>1009</v>
      </c>
      <c r="D62" s="1672" t="s">
        <v>815</v>
      </c>
    </row>
    <row r="63" spans="1:4" x14ac:dyDescent="0.2">
      <c r="A63" s="1673" t="s">
        <v>1016</v>
      </c>
      <c r="B63" s="1673"/>
      <c r="C63" s="1674" t="s">
        <v>1017</v>
      </c>
      <c r="D63" s="1674" t="s">
        <v>1018</v>
      </c>
    </row>
    <row r="64" spans="1:4" x14ac:dyDescent="0.2">
      <c r="B64" t="s">
        <v>808</v>
      </c>
      <c r="C64" s="1672" t="s">
        <v>1019</v>
      </c>
      <c r="D64" s="1672" t="s">
        <v>1020</v>
      </c>
    </row>
    <row r="65" spans="1:4" x14ac:dyDescent="0.2">
      <c r="B65" t="s">
        <v>1471</v>
      </c>
      <c r="C65" s="1672" t="s">
        <v>1021</v>
      </c>
      <c r="D65" s="1672" t="s">
        <v>1022</v>
      </c>
    </row>
    <row r="66" spans="1:4" x14ac:dyDescent="0.2">
      <c r="B66" t="s">
        <v>1472</v>
      </c>
      <c r="C66" s="1672" t="s">
        <v>1007</v>
      </c>
      <c r="D66" s="1672" t="s">
        <v>815</v>
      </c>
    </row>
    <row r="67" spans="1:4" x14ac:dyDescent="0.2">
      <c r="B67" t="s">
        <v>822</v>
      </c>
      <c r="C67" s="1672" t="s">
        <v>1009</v>
      </c>
      <c r="D67" s="1672" t="s">
        <v>815</v>
      </c>
    </row>
    <row r="68" spans="1:4" x14ac:dyDescent="0.2">
      <c r="A68" s="1673" t="s">
        <v>1023</v>
      </c>
      <c r="B68" s="1673"/>
      <c r="C68" s="1674" t="s">
        <v>1024</v>
      </c>
      <c r="D68" s="1674" t="s">
        <v>1025</v>
      </c>
    </row>
    <row r="69" spans="1:4" x14ac:dyDescent="0.2">
      <c r="B69" t="s">
        <v>808</v>
      </c>
      <c r="C69" s="1672" t="s">
        <v>1019</v>
      </c>
      <c r="D69" s="1672" t="s">
        <v>1026</v>
      </c>
    </row>
    <row r="70" spans="1:4" x14ac:dyDescent="0.2">
      <c r="B70" t="s">
        <v>1471</v>
      </c>
      <c r="C70" s="1672" t="s">
        <v>1021</v>
      </c>
      <c r="D70" s="1672" t="s">
        <v>1027</v>
      </c>
    </row>
    <row r="71" spans="1:4" x14ac:dyDescent="0.2">
      <c r="B71" t="s">
        <v>1472</v>
      </c>
      <c r="C71" s="1672" t="s">
        <v>1007</v>
      </c>
      <c r="D71" s="1672" t="s">
        <v>1028</v>
      </c>
    </row>
    <row r="72" spans="1:4" x14ac:dyDescent="0.2">
      <c r="B72" t="s">
        <v>822</v>
      </c>
      <c r="C72" s="1672" t="s">
        <v>815</v>
      </c>
      <c r="D72" s="1672" t="s">
        <v>815</v>
      </c>
    </row>
    <row r="73" spans="1:4" x14ac:dyDescent="0.2">
      <c r="A73" s="1675" t="s">
        <v>1029</v>
      </c>
      <c r="B73" s="1675"/>
      <c r="C73" s="1676" t="s">
        <v>1030</v>
      </c>
      <c r="D73" s="1676" t="s">
        <v>1031</v>
      </c>
    </row>
    <row r="74" spans="1:4" x14ac:dyDescent="0.2">
      <c r="B74" t="s">
        <v>808</v>
      </c>
      <c r="C74" s="1672" t="s">
        <v>1032</v>
      </c>
      <c r="D74" s="1672" t="s">
        <v>1033</v>
      </c>
    </row>
    <row r="75" spans="1:4" x14ac:dyDescent="0.2">
      <c r="B75" t="s">
        <v>1471</v>
      </c>
      <c r="C75" s="1672" t="s">
        <v>1034</v>
      </c>
      <c r="D75" s="1672" t="s">
        <v>1035</v>
      </c>
    </row>
    <row r="76" spans="1:4" x14ac:dyDescent="0.2">
      <c r="B76" t="s">
        <v>1472</v>
      </c>
      <c r="C76" s="1672" t="s">
        <v>1007</v>
      </c>
      <c r="D76" s="1672" t="s">
        <v>815</v>
      </c>
    </row>
    <row r="77" spans="1:4" x14ac:dyDescent="0.2">
      <c r="A77" s="1673" t="s">
        <v>1036</v>
      </c>
      <c r="B77" s="1673"/>
      <c r="C77" s="1674" t="s">
        <v>1037</v>
      </c>
      <c r="D77" s="1674" t="s">
        <v>1038</v>
      </c>
    </row>
    <row r="78" spans="1:4" x14ac:dyDescent="0.2">
      <c r="B78" t="s">
        <v>808</v>
      </c>
      <c r="C78" s="1672" t="s">
        <v>1039</v>
      </c>
      <c r="D78" s="1672" t="s">
        <v>1040</v>
      </c>
    </row>
    <row r="79" spans="1:4" x14ac:dyDescent="0.2">
      <c r="B79" t="s">
        <v>1471</v>
      </c>
      <c r="C79" s="1672" t="s">
        <v>1041</v>
      </c>
      <c r="D79" s="1672" t="s">
        <v>1042</v>
      </c>
    </row>
    <row r="80" spans="1:4" x14ac:dyDescent="0.2">
      <c r="B80" t="s">
        <v>1472</v>
      </c>
      <c r="C80" s="1672" t="s">
        <v>1007</v>
      </c>
      <c r="D80" s="1672" t="s">
        <v>815</v>
      </c>
    </row>
    <row r="81" spans="1:4" x14ac:dyDescent="0.2">
      <c r="A81" s="1673" t="s">
        <v>1043</v>
      </c>
      <c r="B81" s="1673"/>
      <c r="C81" s="1674" t="s">
        <v>1044</v>
      </c>
      <c r="D81" s="1674" t="s">
        <v>1045</v>
      </c>
    </row>
    <row r="82" spans="1:4" x14ac:dyDescent="0.2">
      <c r="B82" t="s">
        <v>808</v>
      </c>
      <c r="C82" s="1672" t="s">
        <v>1116</v>
      </c>
      <c r="D82" s="1672" t="s">
        <v>1117</v>
      </c>
    </row>
    <row r="83" spans="1:4" x14ac:dyDescent="0.2">
      <c r="B83" t="s">
        <v>1471</v>
      </c>
      <c r="C83" s="1672" t="s">
        <v>1118</v>
      </c>
      <c r="D83" s="1672" t="s">
        <v>1119</v>
      </c>
    </row>
    <row r="84" spans="1:4" x14ac:dyDescent="0.2">
      <c r="B84" t="s">
        <v>1472</v>
      </c>
      <c r="C84" s="1672" t="s">
        <v>1007</v>
      </c>
      <c r="D84" s="1672" t="s">
        <v>1120</v>
      </c>
    </row>
    <row r="85" spans="1:4" x14ac:dyDescent="0.2">
      <c r="A85" s="1673" t="s">
        <v>1121</v>
      </c>
      <c r="B85" s="1673"/>
      <c r="C85" s="1674" t="s">
        <v>1122</v>
      </c>
      <c r="D85" s="1674" t="s">
        <v>1123</v>
      </c>
    </row>
    <row r="86" spans="1:4" x14ac:dyDescent="0.2">
      <c r="B86" t="s">
        <v>808</v>
      </c>
      <c r="C86" s="1672" t="s">
        <v>1124</v>
      </c>
      <c r="D86" s="1672" t="s">
        <v>1125</v>
      </c>
    </row>
    <row r="87" spans="1:4" x14ac:dyDescent="0.2">
      <c r="B87" t="s">
        <v>1471</v>
      </c>
      <c r="C87" s="1672" t="s">
        <v>1126</v>
      </c>
      <c r="D87" s="1672" t="s">
        <v>1127</v>
      </c>
    </row>
    <row r="88" spans="1:4" x14ac:dyDescent="0.2">
      <c r="B88" t="s">
        <v>1472</v>
      </c>
      <c r="C88" s="1672" t="s">
        <v>1007</v>
      </c>
      <c r="D88" s="1672" t="s">
        <v>815</v>
      </c>
    </row>
    <row r="89" spans="1:4" x14ac:dyDescent="0.2">
      <c r="A89" s="1677">
        <v>43951</v>
      </c>
      <c r="B89" s="1673" t="s">
        <v>816</v>
      </c>
      <c r="C89" s="1674" t="s">
        <v>1128</v>
      </c>
      <c r="D89" s="1674" t="s">
        <v>1129</v>
      </c>
    </row>
    <row r="90" spans="1:4" x14ac:dyDescent="0.2">
      <c r="B90" t="s">
        <v>808</v>
      </c>
      <c r="C90" s="1672" t="s">
        <v>1130</v>
      </c>
      <c r="D90" s="1672" t="s">
        <v>1131</v>
      </c>
    </row>
    <row r="91" spans="1:4" x14ac:dyDescent="0.2">
      <c r="B91" t="s">
        <v>1493</v>
      </c>
      <c r="C91" s="1672" t="s">
        <v>1132</v>
      </c>
      <c r="D91" s="1672" t="s">
        <v>1133</v>
      </c>
    </row>
    <row r="92" spans="1:4" x14ac:dyDescent="0.2">
      <c r="B92" t="s">
        <v>1472</v>
      </c>
      <c r="C92" s="1672" t="s">
        <v>1007</v>
      </c>
      <c r="D92" s="1672" t="s">
        <v>815</v>
      </c>
    </row>
    <row r="93" spans="1:4" x14ac:dyDescent="0.2">
      <c r="A93" s="1673" t="s">
        <v>1134</v>
      </c>
      <c r="B93" s="1673"/>
      <c r="C93" s="1674" t="s">
        <v>1135</v>
      </c>
      <c r="D93" s="1674" t="s">
        <v>1136</v>
      </c>
    </row>
    <row r="94" spans="1:4" x14ac:dyDescent="0.2">
      <c r="B94" t="s">
        <v>808</v>
      </c>
      <c r="C94" s="1672" t="s">
        <v>1145</v>
      </c>
      <c r="D94" s="1672" t="s">
        <v>1146</v>
      </c>
    </row>
    <row r="95" spans="1:4" x14ac:dyDescent="0.2">
      <c r="B95" t="s">
        <v>1471</v>
      </c>
      <c r="C95" s="1672" t="s">
        <v>1147</v>
      </c>
      <c r="D95" s="1672" t="s">
        <v>1148</v>
      </c>
    </row>
    <row r="96" spans="1:4" x14ac:dyDescent="0.2">
      <c r="B96" t="s">
        <v>1494</v>
      </c>
      <c r="C96" s="1672" t="s">
        <v>1007</v>
      </c>
      <c r="D96" s="1672" t="s">
        <v>1149</v>
      </c>
    </row>
    <row r="97" spans="1:5" x14ac:dyDescent="0.2">
      <c r="A97" s="1673" t="s">
        <v>1150</v>
      </c>
      <c r="B97" s="1673"/>
      <c r="C97" s="1674" t="s">
        <v>1151</v>
      </c>
      <c r="D97" s="1674" t="s">
        <v>1152</v>
      </c>
    </row>
    <row r="98" spans="1:5" x14ac:dyDescent="0.2">
      <c r="A98" t="s">
        <v>1264</v>
      </c>
      <c r="B98" t="s">
        <v>808</v>
      </c>
      <c r="C98" s="1672" t="s">
        <v>1265</v>
      </c>
      <c r="D98" s="1672" t="s">
        <v>1266</v>
      </c>
    </row>
    <row r="99" spans="1:5" x14ac:dyDescent="0.2">
      <c r="A99" t="s">
        <v>1267</v>
      </c>
      <c r="B99" t="s">
        <v>1490</v>
      </c>
      <c r="C99" s="1672" t="s">
        <v>1268</v>
      </c>
      <c r="D99" s="1672" t="s">
        <v>1269</v>
      </c>
    </row>
    <row r="100" spans="1:5" x14ac:dyDescent="0.2">
      <c r="B100" t="s">
        <v>1472</v>
      </c>
      <c r="C100" s="1672" t="s">
        <v>1007</v>
      </c>
      <c r="D100" s="1672" t="s">
        <v>815</v>
      </c>
    </row>
    <row r="101" spans="1:5" x14ac:dyDescent="0.2">
      <c r="A101" t="s">
        <v>1270</v>
      </c>
      <c r="B101" t="s">
        <v>1473</v>
      </c>
      <c r="C101" s="1672" t="s">
        <v>1271</v>
      </c>
      <c r="D101" s="1672" t="s">
        <v>1272</v>
      </c>
      <c r="E101" t="s">
        <v>1273</v>
      </c>
    </row>
    <row r="102" spans="1:5" x14ac:dyDescent="0.2">
      <c r="A102" t="s">
        <v>1274</v>
      </c>
      <c r="B102" t="s">
        <v>1474</v>
      </c>
      <c r="C102" s="1672" t="s">
        <v>1275</v>
      </c>
      <c r="D102" s="1672" t="s">
        <v>1276</v>
      </c>
      <c r="E102" t="s">
        <v>1277</v>
      </c>
    </row>
    <row r="103" spans="1:5" x14ac:dyDescent="0.2">
      <c r="A103" s="1673" t="s">
        <v>1278</v>
      </c>
      <c r="B103" s="1673"/>
      <c r="C103" s="1674" t="s">
        <v>1279</v>
      </c>
      <c r="D103" s="1674" t="s">
        <v>1280</v>
      </c>
    </row>
    <row r="104" spans="1:5" x14ac:dyDescent="0.2">
      <c r="A104" t="s">
        <v>1264</v>
      </c>
      <c r="B104" t="s">
        <v>808</v>
      </c>
      <c r="C104" s="1672" t="s">
        <v>1281</v>
      </c>
      <c r="D104" s="1672" t="s">
        <v>1282</v>
      </c>
    </row>
    <row r="105" spans="1:5" x14ac:dyDescent="0.2">
      <c r="A105" t="s">
        <v>1267</v>
      </c>
      <c r="B105" t="s">
        <v>1471</v>
      </c>
      <c r="C105" s="1672" t="s">
        <v>1283</v>
      </c>
      <c r="D105" s="1672" t="s">
        <v>1284</v>
      </c>
    </row>
    <row r="106" spans="1:5" x14ac:dyDescent="0.2">
      <c r="B106" t="s">
        <v>1472</v>
      </c>
      <c r="C106" s="1672" t="s">
        <v>1007</v>
      </c>
      <c r="D106" s="1672" t="s">
        <v>815</v>
      </c>
    </row>
    <row r="107" spans="1:5" x14ac:dyDescent="0.2">
      <c r="A107" t="s">
        <v>1270</v>
      </c>
      <c r="B107" t="s">
        <v>1473</v>
      </c>
      <c r="C107" s="1672" t="s">
        <v>1285</v>
      </c>
      <c r="D107" s="1672" t="s">
        <v>1286</v>
      </c>
    </row>
    <row r="108" spans="1:5" x14ac:dyDescent="0.2">
      <c r="A108" t="s">
        <v>1274</v>
      </c>
      <c r="B108" t="s">
        <v>1474</v>
      </c>
      <c r="C108" s="1672" t="s">
        <v>1287</v>
      </c>
      <c r="D108" s="1672" t="s">
        <v>1288</v>
      </c>
    </row>
    <row r="109" spans="1:5" x14ac:dyDescent="0.2">
      <c r="A109" s="1673" t="s">
        <v>1289</v>
      </c>
      <c r="B109" s="1673"/>
      <c r="C109" s="1674" t="s">
        <v>1290</v>
      </c>
      <c r="D109" s="1674" t="s">
        <v>1291</v>
      </c>
    </row>
    <row r="110" spans="1:5" x14ac:dyDescent="0.2">
      <c r="A110" t="s">
        <v>1264</v>
      </c>
      <c r="B110" t="s">
        <v>808</v>
      </c>
      <c r="C110" s="1672" t="s">
        <v>1292</v>
      </c>
      <c r="D110" s="1672" t="s">
        <v>1293</v>
      </c>
    </row>
    <row r="111" spans="1:5" x14ac:dyDescent="0.2">
      <c r="A111" t="s">
        <v>1267</v>
      </c>
      <c r="B111" t="s">
        <v>1471</v>
      </c>
      <c r="C111" s="1672" t="s">
        <v>1294</v>
      </c>
      <c r="D111" s="1672" t="s">
        <v>1295</v>
      </c>
    </row>
    <row r="112" spans="1:5" x14ac:dyDescent="0.2">
      <c r="B112" t="s">
        <v>1472</v>
      </c>
      <c r="C112" s="1672" t="s">
        <v>1007</v>
      </c>
      <c r="D112" s="1672" t="s">
        <v>1149</v>
      </c>
    </row>
    <row r="113" spans="1:6" x14ac:dyDescent="0.2">
      <c r="A113" t="s">
        <v>1270</v>
      </c>
      <c r="B113" t="s">
        <v>1473</v>
      </c>
      <c r="D113" s="1672" t="s">
        <v>1296</v>
      </c>
    </row>
    <row r="114" spans="1:6" x14ac:dyDescent="0.2">
      <c r="A114" t="s">
        <v>1274</v>
      </c>
      <c r="B114" t="s">
        <v>1474</v>
      </c>
      <c r="D114" s="1672" t="s">
        <v>1297</v>
      </c>
    </row>
    <row r="115" spans="1:6" x14ac:dyDescent="0.2">
      <c r="A115" s="1673" t="s">
        <v>1298</v>
      </c>
      <c r="B115" s="1673"/>
      <c r="C115" s="1673"/>
      <c r="D115" s="1674" t="s">
        <v>1299</v>
      </c>
    </row>
    <row r="116" spans="1:6" x14ac:dyDescent="0.2">
      <c r="A116" t="s">
        <v>1264</v>
      </c>
      <c r="B116" t="s">
        <v>808</v>
      </c>
      <c r="C116" s="1672" t="s">
        <v>1300</v>
      </c>
      <c r="D116" s="1672" t="s">
        <v>1301</v>
      </c>
    </row>
    <row r="117" spans="1:6" x14ac:dyDescent="0.2">
      <c r="A117" t="s">
        <v>1267</v>
      </c>
      <c r="B117" t="s">
        <v>1471</v>
      </c>
      <c r="C117" s="1672" t="s">
        <v>1302</v>
      </c>
      <c r="D117" s="1672" t="s">
        <v>1303</v>
      </c>
    </row>
    <row r="118" spans="1:6" x14ac:dyDescent="0.2">
      <c r="B118" t="s">
        <v>1472</v>
      </c>
      <c r="C118" s="1672" t="s">
        <v>1007</v>
      </c>
      <c r="D118" s="1672" t="s">
        <v>815</v>
      </c>
    </row>
    <row r="119" spans="1:6" x14ac:dyDescent="0.2">
      <c r="A119" t="s">
        <v>1270</v>
      </c>
      <c r="B119" t="s">
        <v>1473</v>
      </c>
      <c r="D119" s="1672" t="s">
        <v>1304</v>
      </c>
    </row>
    <row r="120" spans="1:6" x14ac:dyDescent="0.2">
      <c r="A120" t="s">
        <v>1274</v>
      </c>
      <c r="B120" t="s">
        <v>1474</v>
      </c>
      <c r="D120" s="1672" t="s">
        <v>1305</v>
      </c>
    </row>
    <row r="121" spans="1:6" x14ac:dyDescent="0.2">
      <c r="A121" s="1673" t="s">
        <v>1306</v>
      </c>
      <c r="B121" s="1673"/>
      <c r="C121" s="1673"/>
      <c r="D121" s="1674" t="s">
        <v>1307</v>
      </c>
    </row>
    <row r="122" spans="1:6" x14ac:dyDescent="0.2">
      <c r="A122" t="s">
        <v>1264</v>
      </c>
      <c r="B122" t="s">
        <v>808</v>
      </c>
      <c r="C122" s="1672" t="s">
        <v>1308</v>
      </c>
      <c r="D122" s="1672" t="s">
        <v>1309</v>
      </c>
    </row>
    <row r="123" spans="1:6" x14ac:dyDescent="0.2">
      <c r="A123" t="s">
        <v>1267</v>
      </c>
      <c r="B123" t="s">
        <v>1471</v>
      </c>
      <c r="C123" s="1672" t="s">
        <v>1310</v>
      </c>
      <c r="D123" s="1672" t="s">
        <v>1311</v>
      </c>
    </row>
    <row r="124" spans="1:6" x14ac:dyDescent="0.2">
      <c r="B124" t="s">
        <v>1472</v>
      </c>
      <c r="C124" s="1672" t="s">
        <v>1007</v>
      </c>
      <c r="D124" s="1672" t="s">
        <v>815</v>
      </c>
      <c r="E124" t="s">
        <v>1263</v>
      </c>
    </row>
    <row r="125" spans="1:6" x14ac:dyDescent="0.2">
      <c r="A125" t="s">
        <v>1270</v>
      </c>
      <c r="B125" t="s">
        <v>1473</v>
      </c>
      <c r="C125" s="1672" t="s">
        <v>1312</v>
      </c>
      <c r="D125" s="1672" t="s">
        <v>1313</v>
      </c>
      <c r="E125" t="s">
        <v>1273</v>
      </c>
    </row>
    <row r="126" spans="1:6" x14ac:dyDescent="0.2">
      <c r="A126" t="s">
        <v>1274</v>
      </c>
      <c r="B126" t="s">
        <v>1474</v>
      </c>
      <c r="C126" s="1672" t="s">
        <v>1314</v>
      </c>
      <c r="D126" s="1672" t="s">
        <v>1315</v>
      </c>
      <c r="E126" t="s">
        <v>1277</v>
      </c>
    </row>
    <row r="127" spans="1:6" x14ac:dyDescent="0.2">
      <c r="A127" s="1673" t="s">
        <v>1316</v>
      </c>
      <c r="B127" s="1673"/>
      <c r="C127" s="1674" t="s">
        <v>1317</v>
      </c>
      <c r="D127" s="1674" t="s">
        <v>1318</v>
      </c>
    </row>
    <row r="128" spans="1:6" x14ac:dyDescent="0.2">
      <c r="A128" t="s">
        <v>1264</v>
      </c>
      <c r="B128" t="s">
        <v>808</v>
      </c>
      <c r="C128" s="1672" t="s">
        <v>1319</v>
      </c>
      <c r="D128" s="1672" t="s">
        <v>1320</v>
      </c>
      <c r="F128" s="31">
        <v>33636356</v>
      </c>
    </row>
    <row r="129" spans="1:6" x14ac:dyDescent="0.2">
      <c r="A129" t="s">
        <v>1267</v>
      </c>
      <c r="B129" t="s">
        <v>1471</v>
      </c>
      <c r="C129" s="1672" t="s">
        <v>1321</v>
      </c>
      <c r="D129" s="1672" t="s">
        <v>1322</v>
      </c>
      <c r="F129" s="31">
        <v>83175344</v>
      </c>
    </row>
    <row r="130" spans="1:6" x14ac:dyDescent="0.2">
      <c r="B130" t="s">
        <v>1472</v>
      </c>
      <c r="C130" s="1672" t="s">
        <v>1007</v>
      </c>
      <c r="D130" s="1672" t="s">
        <v>1323</v>
      </c>
      <c r="E130" t="s">
        <v>1263</v>
      </c>
      <c r="F130" s="31">
        <v>30000000</v>
      </c>
    </row>
    <row r="131" spans="1:6" x14ac:dyDescent="0.2">
      <c r="A131" t="s">
        <v>1270</v>
      </c>
      <c r="B131" t="s">
        <v>1473</v>
      </c>
      <c r="C131" s="1672" t="s">
        <v>1324</v>
      </c>
      <c r="D131" s="1672" t="s">
        <v>1325</v>
      </c>
      <c r="E131" t="s">
        <v>1273</v>
      </c>
      <c r="F131" s="31">
        <v>14580000</v>
      </c>
    </row>
    <row r="132" spans="1:6" x14ac:dyDescent="0.2">
      <c r="A132" t="s">
        <v>1274</v>
      </c>
      <c r="B132" t="s">
        <v>1474</v>
      </c>
      <c r="C132" s="1672" t="s">
        <v>1326</v>
      </c>
      <c r="D132" s="1672" t="s">
        <v>1327</v>
      </c>
      <c r="E132" t="s">
        <v>1277</v>
      </c>
      <c r="F132" s="31">
        <v>2416660</v>
      </c>
    </row>
    <row r="133" spans="1:6" x14ac:dyDescent="0.2">
      <c r="A133" s="1675" t="s">
        <v>1328</v>
      </c>
      <c r="B133" s="1675"/>
      <c r="C133" s="1676" t="s">
        <v>1329</v>
      </c>
      <c r="D133" s="1676" t="s">
        <v>1330</v>
      </c>
    </row>
    <row r="134" spans="1:6" x14ac:dyDescent="0.2">
      <c r="A134" t="s">
        <v>1264</v>
      </c>
      <c r="B134" t="s">
        <v>808</v>
      </c>
      <c r="C134" s="1672" t="s">
        <v>1331</v>
      </c>
      <c r="D134" s="1672" t="s">
        <v>1332</v>
      </c>
    </row>
    <row r="135" spans="1:6" x14ac:dyDescent="0.2">
      <c r="A135" t="s">
        <v>1267</v>
      </c>
      <c r="B135" t="s">
        <v>1471</v>
      </c>
      <c r="C135" s="1672" t="s">
        <v>1333</v>
      </c>
      <c r="D135" s="1672" t="s">
        <v>1334</v>
      </c>
    </row>
    <row r="136" spans="1:6" x14ac:dyDescent="0.2">
      <c r="A136" t="s">
        <v>1335</v>
      </c>
      <c r="B136" t="s">
        <v>1472</v>
      </c>
      <c r="C136" s="1672" t="s">
        <v>1007</v>
      </c>
      <c r="D136" s="1672" t="s">
        <v>815</v>
      </c>
      <c r="E136" t="s">
        <v>1263</v>
      </c>
    </row>
    <row r="137" spans="1:6" x14ac:dyDescent="0.2">
      <c r="A137" t="s">
        <v>1270</v>
      </c>
      <c r="B137" t="s">
        <v>1473</v>
      </c>
      <c r="C137" s="1672" t="s">
        <v>1336</v>
      </c>
      <c r="D137" s="1672" t="s">
        <v>1337</v>
      </c>
      <c r="E137" t="s">
        <v>1273</v>
      </c>
    </row>
    <row r="138" spans="1:6" x14ac:dyDescent="0.2">
      <c r="A138" t="s">
        <v>1274</v>
      </c>
      <c r="B138" t="s">
        <v>1474</v>
      </c>
      <c r="C138" s="1672" t="s">
        <v>1338</v>
      </c>
      <c r="D138" s="1672" t="s">
        <v>1327</v>
      </c>
      <c r="E138" t="s">
        <v>1277</v>
      </c>
    </row>
    <row r="139" spans="1:6" x14ac:dyDescent="0.2">
      <c r="A139" s="1673" t="s">
        <v>1339</v>
      </c>
      <c r="B139" s="1673"/>
      <c r="C139" s="1674" t="s">
        <v>1340</v>
      </c>
      <c r="D139" s="1674" t="s">
        <v>1341</v>
      </c>
    </row>
    <row r="140" spans="1:6" x14ac:dyDescent="0.2">
      <c r="A140" t="s">
        <v>1264</v>
      </c>
      <c r="B140" t="s">
        <v>808</v>
      </c>
      <c r="C140" s="1672" t="s">
        <v>1342</v>
      </c>
      <c r="D140" s="1672" t="s">
        <v>1343</v>
      </c>
    </row>
    <row r="141" spans="1:6" x14ac:dyDescent="0.2">
      <c r="A141" t="s">
        <v>1267</v>
      </c>
      <c r="B141" t="s">
        <v>1471</v>
      </c>
      <c r="C141" s="1672" t="s">
        <v>1344</v>
      </c>
      <c r="D141" s="1672" t="s">
        <v>1345</v>
      </c>
    </row>
    <row r="142" spans="1:6" x14ac:dyDescent="0.2">
      <c r="A142" t="s">
        <v>1335</v>
      </c>
      <c r="B142" t="s">
        <v>1472</v>
      </c>
      <c r="C142" s="1672" t="s">
        <v>1007</v>
      </c>
      <c r="D142" s="1672" t="s">
        <v>815</v>
      </c>
      <c r="E142" t="s">
        <v>1263</v>
      </c>
    </row>
    <row r="143" spans="1:6" x14ac:dyDescent="0.2">
      <c r="A143" t="s">
        <v>1270</v>
      </c>
      <c r="B143" t="s">
        <v>1473</v>
      </c>
      <c r="C143" s="1672" t="s">
        <v>1346</v>
      </c>
      <c r="D143" s="1672" t="s">
        <v>1347</v>
      </c>
      <c r="E143" t="s">
        <v>1273</v>
      </c>
    </row>
    <row r="144" spans="1:6" x14ac:dyDescent="0.2">
      <c r="A144" t="s">
        <v>1274</v>
      </c>
      <c r="B144" t="s">
        <v>1474</v>
      </c>
      <c r="C144" s="1672" t="s">
        <v>1348</v>
      </c>
      <c r="D144" s="1672" t="s">
        <v>1349</v>
      </c>
      <c r="E144" t="s">
        <v>1277</v>
      </c>
    </row>
    <row r="145" spans="1:5" x14ac:dyDescent="0.2">
      <c r="A145" s="1673" t="s">
        <v>1350</v>
      </c>
      <c r="B145" s="1673"/>
      <c r="C145" s="1674" t="s">
        <v>1351</v>
      </c>
      <c r="D145" s="1674" t="s">
        <v>1352</v>
      </c>
    </row>
    <row r="146" spans="1:5" x14ac:dyDescent="0.2">
      <c r="A146" t="s">
        <v>1264</v>
      </c>
      <c r="B146" t="s">
        <v>808</v>
      </c>
      <c r="C146" s="1672" t="s">
        <v>1353</v>
      </c>
      <c r="D146" s="1672" t="s">
        <v>1354</v>
      </c>
    </row>
    <row r="147" spans="1:5" x14ac:dyDescent="0.2">
      <c r="A147" t="s">
        <v>1267</v>
      </c>
      <c r="B147" t="s">
        <v>1471</v>
      </c>
      <c r="C147" s="1672" t="s">
        <v>1355</v>
      </c>
      <c r="D147" s="1672" t="s">
        <v>1356</v>
      </c>
    </row>
    <row r="148" spans="1:5" x14ac:dyDescent="0.2">
      <c r="A148" t="s">
        <v>1335</v>
      </c>
      <c r="B148" t="s">
        <v>1472</v>
      </c>
      <c r="C148" s="1672" t="s">
        <v>1007</v>
      </c>
      <c r="D148" s="1672" t="s">
        <v>1357</v>
      </c>
      <c r="E148" t="s">
        <v>1263</v>
      </c>
    </row>
    <row r="149" spans="1:5" x14ac:dyDescent="0.2">
      <c r="A149" t="s">
        <v>1270</v>
      </c>
      <c r="B149" t="s">
        <v>1473</v>
      </c>
      <c r="C149" s="1672" t="s">
        <v>1358</v>
      </c>
      <c r="D149" s="1672" t="s">
        <v>1359</v>
      </c>
      <c r="E149" t="s">
        <v>1273</v>
      </c>
    </row>
    <row r="150" spans="1:5" x14ac:dyDescent="0.2">
      <c r="A150" t="s">
        <v>1274</v>
      </c>
      <c r="B150" t="s">
        <v>1474</v>
      </c>
      <c r="C150" s="1672" t="s">
        <v>1360</v>
      </c>
      <c r="D150" s="1672" t="s">
        <v>1361</v>
      </c>
      <c r="E150" t="s">
        <v>1277</v>
      </c>
    </row>
    <row r="151" spans="1:5" x14ac:dyDescent="0.2">
      <c r="A151" s="1673" t="s">
        <v>1362</v>
      </c>
      <c r="B151" s="1673"/>
      <c r="C151" s="1674" t="s">
        <v>1363</v>
      </c>
      <c r="D151" s="1674" t="s">
        <v>1364</v>
      </c>
    </row>
    <row r="152" spans="1:5" x14ac:dyDescent="0.2">
      <c r="A152" t="s">
        <v>1264</v>
      </c>
      <c r="B152" t="s">
        <v>808</v>
      </c>
      <c r="C152" s="1672" t="s">
        <v>1365</v>
      </c>
      <c r="D152" s="1672" t="s">
        <v>1366</v>
      </c>
      <c r="E152" t="s">
        <v>1367</v>
      </c>
    </row>
    <row r="153" spans="1:5" x14ac:dyDescent="0.2">
      <c r="A153" t="s">
        <v>1267</v>
      </c>
      <c r="B153" t="s">
        <v>1471</v>
      </c>
      <c r="C153" s="1672" t="s">
        <v>1368</v>
      </c>
      <c r="D153" s="1672" t="s">
        <v>1369</v>
      </c>
      <c r="E153" t="s">
        <v>1370</v>
      </c>
    </row>
    <row r="154" spans="1:5" x14ac:dyDescent="0.2">
      <c r="A154" t="s">
        <v>1335</v>
      </c>
      <c r="B154" t="s">
        <v>1472</v>
      </c>
      <c r="C154" s="1672" t="s">
        <v>1007</v>
      </c>
      <c r="D154" s="1672" t="s">
        <v>815</v>
      </c>
      <c r="E154" t="s">
        <v>1263</v>
      </c>
    </row>
    <row r="155" spans="1:5" x14ac:dyDescent="0.2">
      <c r="A155" t="s">
        <v>1270</v>
      </c>
      <c r="B155" t="s">
        <v>1473</v>
      </c>
      <c r="C155" s="1672" t="s">
        <v>1371</v>
      </c>
      <c r="D155" s="1672" t="s">
        <v>1372</v>
      </c>
      <c r="E155" t="s">
        <v>1273</v>
      </c>
    </row>
    <row r="156" spans="1:5" x14ac:dyDescent="0.2">
      <c r="A156" t="s">
        <v>1274</v>
      </c>
      <c r="B156" t="s">
        <v>1474</v>
      </c>
      <c r="C156" s="1672" t="s">
        <v>1373</v>
      </c>
      <c r="D156" s="1672" t="s">
        <v>1374</v>
      </c>
      <c r="E156" t="s">
        <v>1277</v>
      </c>
    </row>
    <row r="157" spans="1:5" x14ac:dyDescent="0.2">
      <c r="A157" s="1673" t="s">
        <v>1375</v>
      </c>
      <c r="B157" s="1673"/>
      <c r="C157" s="1674" t="s">
        <v>1376</v>
      </c>
      <c r="D157" s="1674" t="s">
        <v>1377</v>
      </c>
    </row>
    <row r="158" spans="1:5" x14ac:dyDescent="0.2">
      <c r="A158" t="s">
        <v>1264</v>
      </c>
      <c r="B158" t="s">
        <v>808</v>
      </c>
      <c r="C158" s="1672" t="s">
        <v>1378</v>
      </c>
      <c r="D158" s="1672" t="s">
        <v>1379</v>
      </c>
      <c r="E158" t="s">
        <v>1367</v>
      </c>
    </row>
    <row r="159" spans="1:5" x14ac:dyDescent="0.2">
      <c r="A159" t="s">
        <v>1267</v>
      </c>
      <c r="B159" t="s">
        <v>1471</v>
      </c>
      <c r="C159" s="1672" t="s">
        <v>1380</v>
      </c>
      <c r="D159" s="1672" t="s">
        <v>1381</v>
      </c>
      <c r="E159" t="s">
        <v>1370</v>
      </c>
    </row>
    <row r="160" spans="1:5" x14ac:dyDescent="0.2">
      <c r="A160" t="s">
        <v>1335</v>
      </c>
      <c r="B160" t="s">
        <v>1472</v>
      </c>
      <c r="C160" s="1672" t="s">
        <v>1007</v>
      </c>
      <c r="D160" s="1672" t="s">
        <v>815</v>
      </c>
      <c r="E160" t="s">
        <v>1263</v>
      </c>
    </row>
    <row r="161" spans="1:5" x14ac:dyDescent="0.2">
      <c r="A161" t="s">
        <v>1270</v>
      </c>
      <c r="B161" t="s">
        <v>1473</v>
      </c>
      <c r="C161" s="1672" t="s">
        <v>1382</v>
      </c>
      <c r="D161" s="1672" t="s">
        <v>1383</v>
      </c>
      <c r="E161" t="s">
        <v>1273</v>
      </c>
    </row>
    <row r="162" spans="1:5" x14ac:dyDescent="0.2">
      <c r="A162" t="s">
        <v>1274</v>
      </c>
      <c r="B162" t="s">
        <v>1474</v>
      </c>
      <c r="C162" s="1672" t="s">
        <v>1384</v>
      </c>
      <c r="D162" s="1672" t="s">
        <v>1385</v>
      </c>
      <c r="E162" t="s">
        <v>1277</v>
      </c>
    </row>
    <row r="163" spans="1:5" x14ac:dyDescent="0.2">
      <c r="A163" s="1673" t="s">
        <v>1386</v>
      </c>
      <c r="B163" s="1673"/>
      <c r="C163" s="1674" t="s">
        <v>1387</v>
      </c>
      <c r="D163" s="1674" t="s">
        <v>1388</v>
      </c>
    </row>
    <row r="164" spans="1:5" x14ac:dyDescent="0.2">
      <c r="A164" t="s">
        <v>1264</v>
      </c>
      <c r="B164" t="s">
        <v>808</v>
      </c>
      <c r="C164" s="1672" t="s">
        <v>1389</v>
      </c>
      <c r="D164" s="1672" t="s">
        <v>1390</v>
      </c>
      <c r="E164" t="s">
        <v>1367</v>
      </c>
    </row>
    <row r="165" spans="1:5" x14ac:dyDescent="0.2">
      <c r="A165" t="s">
        <v>1267</v>
      </c>
      <c r="B165" t="s">
        <v>1471</v>
      </c>
      <c r="C165" s="1672" t="s">
        <v>1391</v>
      </c>
      <c r="D165" s="1672" t="s">
        <v>1392</v>
      </c>
      <c r="E165" t="s">
        <v>1370</v>
      </c>
    </row>
    <row r="166" spans="1:5" x14ac:dyDescent="0.2">
      <c r="A166" t="s">
        <v>1393</v>
      </c>
      <c r="B166" t="s">
        <v>1472</v>
      </c>
      <c r="C166" s="1672" t="s">
        <v>1394</v>
      </c>
      <c r="D166" s="1672" t="s">
        <v>1149</v>
      </c>
      <c r="E166" t="s">
        <v>1263</v>
      </c>
    </row>
    <row r="167" spans="1:5" x14ac:dyDescent="0.2">
      <c r="A167" t="s">
        <v>1270</v>
      </c>
      <c r="B167" t="s">
        <v>1473</v>
      </c>
      <c r="C167" s="1672" t="s">
        <v>1395</v>
      </c>
      <c r="D167" s="1672" t="s">
        <v>1396</v>
      </c>
      <c r="E167" t="s">
        <v>1273</v>
      </c>
    </row>
    <row r="168" spans="1:5" x14ac:dyDescent="0.2">
      <c r="A168" t="s">
        <v>1274</v>
      </c>
      <c r="B168" t="s">
        <v>1474</v>
      </c>
      <c r="C168" s="1672" t="s">
        <v>1397</v>
      </c>
      <c r="D168" s="1672" t="s">
        <v>1398</v>
      </c>
      <c r="E168" t="s">
        <v>1277</v>
      </c>
    </row>
    <row r="169" spans="1:5" x14ac:dyDescent="0.2">
      <c r="A169" s="1673" t="s">
        <v>1399</v>
      </c>
      <c r="B169" s="1673"/>
      <c r="C169" s="1674" t="s">
        <v>1400</v>
      </c>
      <c r="D169" s="1674" t="s">
        <v>1401</v>
      </c>
    </row>
    <row r="170" spans="1:5" x14ac:dyDescent="0.2">
      <c r="A170" t="s">
        <v>1264</v>
      </c>
      <c r="B170" t="s">
        <v>808</v>
      </c>
      <c r="C170" s="1672" t="s">
        <v>1402</v>
      </c>
      <c r="D170" s="1672" t="s">
        <v>1403</v>
      </c>
      <c r="E170" t="s">
        <v>1367</v>
      </c>
    </row>
    <row r="171" spans="1:5" x14ac:dyDescent="0.2">
      <c r="A171" t="s">
        <v>1267</v>
      </c>
      <c r="B171" t="s">
        <v>1471</v>
      </c>
      <c r="C171" s="1672" t="s">
        <v>1404</v>
      </c>
      <c r="D171" s="1672" t="s">
        <v>1405</v>
      </c>
      <c r="E171" t="s">
        <v>1370</v>
      </c>
    </row>
    <row r="172" spans="1:5" x14ac:dyDescent="0.2">
      <c r="A172" t="s">
        <v>1393</v>
      </c>
      <c r="B172" t="s">
        <v>1472</v>
      </c>
      <c r="C172" s="1672" t="s">
        <v>1394</v>
      </c>
      <c r="D172" s="1672" t="s">
        <v>815</v>
      </c>
      <c r="E172" t="s">
        <v>1263</v>
      </c>
    </row>
    <row r="173" spans="1:5" x14ac:dyDescent="0.2">
      <c r="A173" t="s">
        <v>1270</v>
      </c>
      <c r="B173" t="s">
        <v>1473</v>
      </c>
      <c r="C173" s="1672" t="s">
        <v>1406</v>
      </c>
      <c r="D173" s="1672" t="s">
        <v>1407</v>
      </c>
      <c r="E173" t="s">
        <v>1273</v>
      </c>
    </row>
    <row r="174" spans="1:5" x14ac:dyDescent="0.2">
      <c r="A174" t="s">
        <v>1274</v>
      </c>
      <c r="B174" t="s">
        <v>1474</v>
      </c>
      <c r="C174" s="1672" t="s">
        <v>1408</v>
      </c>
      <c r="D174" s="1672" t="s">
        <v>1409</v>
      </c>
      <c r="E174" t="s">
        <v>1277</v>
      </c>
    </row>
    <row r="175" spans="1:5" x14ac:dyDescent="0.2">
      <c r="A175" s="1673" t="s">
        <v>1410</v>
      </c>
      <c r="B175" s="1673"/>
      <c r="C175" s="1674" t="s">
        <v>1411</v>
      </c>
      <c r="D175" s="1674" t="s">
        <v>1412</v>
      </c>
    </row>
    <row r="176" spans="1:5" x14ac:dyDescent="0.2">
      <c r="A176" t="s">
        <v>1264</v>
      </c>
      <c r="B176" t="s">
        <v>808</v>
      </c>
      <c r="C176" s="1672" t="s">
        <v>1413</v>
      </c>
      <c r="D176" s="1672" t="s">
        <v>1414</v>
      </c>
      <c r="E176" t="s">
        <v>1367</v>
      </c>
    </row>
    <row r="177" spans="1:5" x14ac:dyDescent="0.2">
      <c r="A177" t="s">
        <v>1267</v>
      </c>
      <c r="B177" t="s">
        <v>1471</v>
      </c>
      <c r="C177" s="1672" t="s">
        <v>1415</v>
      </c>
      <c r="D177" s="1672" t="s">
        <v>1416</v>
      </c>
      <c r="E177" t="s">
        <v>1370</v>
      </c>
    </row>
    <row r="178" spans="1:5" x14ac:dyDescent="0.2">
      <c r="A178" t="s">
        <v>1393</v>
      </c>
      <c r="B178" t="s">
        <v>1472</v>
      </c>
      <c r="C178" s="1672" t="s">
        <v>1394</v>
      </c>
      <c r="D178" s="1672" t="s">
        <v>815</v>
      </c>
      <c r="E178" t="s">
        <v>1263</v>
      </c>
    </row>
    <row r="179" spans="1:5" x14ac:dyDescent="0.2">
      <c r="A179" t="s">
        <v>1270</v>
      </c>
      <c r="B179" t="s">
        <v>1473</v>
      </c>
      <c r="C179" s="1672" t="s">
        <v>1417</v>
      </c>
      <c r="D179" s="1672" t="s">
        <v>1418</v>
      </c>
      <c r="E179" t="s">
        <v>1273</v>
      </c>
    </row>
    <row r="180" spans="1:5" x14ac:dyDescent="0.2">
      <c r="A180" t="s">
        <v>1274</v>
      </c>
      <c r="B180" t="s">
        <v>1474</v>
      </c>
      <c r="C180" s="1672" t="s">
        <v>1419</v>
      </c>
      <c r="D180" s="1672" t="s">
        <v>1420</v>
      </c>
      <c r="E180" t="s">
        <v>1277</v>
      </c>
    </row>
    <row r="181" spans="1:5" x14ac:dyDescent="0.2">
      <c r="A181" s="1673" t="s">
        <v>1421</v>
      </c>
      <c r="B181" s="1673"/>
      <c r="C181" s="1674" t="s">
        <v>1422</v>
      </c>
      <c r="D181" s="1674" t="s">
        <v>1423</v>
      </c>
    </row>
    <row r="182" spans="1:5" x14ac:dyDescent="0.2">
      <c r="A182" t="s">
        <v>1264</v>
      </c>
      <c r="B182" t="s">
        <v>808</v>
      </c>
      <c r="C182" s="1672" t="s">
        <v>1424</v>
      </c>
      <c r="D182" s="1672" t="s">
        <v>1425</v>
      </c>
      <c r="E182" t="s">
        <v>1367</v>
      </c>
    </row>
    <row r="183" spans="1:5" x14ac:dyDescent="0.2">
      <c r="A183" t="s">
        <v>1267</v>
      </c>
      <c r="B183" t="s">
        <v>1471</v>
      </c>
      <c r="C183" s="1672" t="s">
        <v>1426</v>
      </c>
      <c r="D183" s="1672" t="s">
        <v>1427</v>
      </c>
      <c r="E183" t="s">
        <v>1370</v>
      </c>
    </row>
    <row r="184" spans="1:5" x14ac:dyDescent="0.2">
      <c r="A184" t="s">
        <v>1393</v>
      </c>
      <c r="B184" t="s">
        <v>1472</v>
      </c>
      <c r="C184" s="1672" t="s">
        <v>1428</v>
      </c>
      <c r="D184" s="1672" t="s">
        <v>1429</v>
      </c>
      <c r="E184" t="s">
        <v>1263</v>
      </c>
    </row>
    <row r="185" spans="1:5" x14ac:dyDescent="0.2">
      <c r="A185" t="s">
        <v>1270</v>
      </c>
      <c r="B185" t="s">
        <v>1473</v>
      </c>
      <c r="C185" s="1672" t="s">
        <v>1430</v>
      </c>
      <c r="D185" s="1672" t="s">
        <v>1431</v>
      </c>
      <c r="E185" t="s">
        <v>1273</v>
      </c>
    </row>
    <row r="186" spans="1:5" x14ac:dyDescent="0.2">
      <c r="A186" t="s">
        <v>1274</v>
      </c>
      <c r="B186" t="s">
        <v>1474</v>
      </c>
      <c r="C186" s="1672" t="s">
        <v>1432</v>
      </c>
      <c r="D186" s="1672" t="s">
        <v>1433</v>
      </c>
      <c r="E186" t="s">
        <v>1277</v>
      </c>
    </row>
    <row r="187" spans="1:5" x14ac:dyDescent="0.2">
      <c r="A187" s="1673" t="s">
        <v>1434</v>
      </c>
      <c r="B187" s="1673"/>
      <c r="C187" s="1674" t="s">
        <v>1435</v>
      </c>
      <c r="D187" s="1674" t="s">
        <v>1436</v>
      </c>
    </row>
    <row r="188" spans="1:5" x14ac:dyDescent="0.2">
      <c r="A188" t="s">
        <v>1264</v>
      </c>
      <c r="B188" t="s">
        <v>808</v>
      </c>
      <c r="C188" s="1672" t="s">
        <v>1437</v>
      </c>
      <c r="D188" s="1672" t="s">
        <v>1438</v>
      </c>
      <c r="E188" t="s">
        <v>1367</v>
      </c>
    </row>
    <row r="189" spans="1:5" x14ac:dyDescent="0.2">
      <c r="A189" t="s">
        <v>1267</v>
      </c>
      <c r="B189" t="s">
        <v>1471</v>
      </c>
      <c r="C189" s="1672" t="s">
        <v>1439</v>
      </c>
      <c r="D189" s="1672" t="s">
        <v>1440</v>
      </c>
      <c r="E189" t="s">
        <v>1370</v>
      </c>
    </row>
    <row r="190" spans="1:5" x14ac:dyDescent="0.2">
      <c r="A190" t="s">
        <v>1393</v>
      </c>
      <c r="B190" t="s">
        <v>1472</v>
      </c>
      <c r="C190" s="1672" t="s">
        <v>1428</v>
      </c>
      <c r="D190" s="1672" t="s">
        <v>815</v>
      </c>
      <c r="E190" t="s">
        <v>1263</v>
      </c>
    </row>
    <row r="191" spans="1:5" x14ac:dyDescent="0.2">
      <c r="A191" t="s">
        <v>1270</v>
      </c>
      <c r="B191" t="s">
        <v>1473</v>
      </c>
      <c r="C191" s="1672" t="s">
        <v>1441</v>
      </c>
      <c r="D191" s="1672" t="s">
        <v>1442</v>
      </c>
      <c r="E191" t="s">
        <v>1273</v>
      </c>
    </row>
    <row r="192" spans="1:5" x14ac:dyDescent="0.2">
      <c r="A192" t="s">
        <v>1274</v>
      </c>
      <c r="B192" t="s">
        <v>1474</v>
      </c>
      <c r="C192" s="1672" t="s">
        <v>1443</v>
      </c>
      <c r="D192" s="1672" t="s">
        <v>1444</v>
      </c>
      <c r="E192" t="s">
        <v>1277</v>
      </c>
    </row>
    <row r="193" spans="1:5" x14ac:dyDescent="0.2">
      <c r="A193" s="1673" t="s">
        <v>1445</v>
      </c>
      <c r="B193" s="1673"/>
      <c r="C193" s="1674" t="s">
        <v>1446</v>
      </c>
      <c r="D193" s="1674" t="s">
        <v>1447</v>
      </c>
    </row>
    <row r="194" spans="1:5" x14ac:dyDescent="0.2">
      <c r="A194" t="s">
        <v>1264</v>
      </c>
      <c r="B194" t="s">
        <v>808</v>
      </c>
      <c r="C194" s="1672" t="s">
        <v>1456</v>
      </c>
      <c r="D194" s="1672" t="s">
        <v>1457</v>
      </c>
      <c r="E194" t="s">
        <v>1367</v>
      </c>
    </row>
    <row r="195" spans="1:5" x14ac:dyDescent="0.2">
      <c r="A195" t="s">
        <v>1267</v>
      </c>
      <c r="B195" t="s">
        <v>1471</v>
      </c>
      <c r="C195" s="1672" t="s">
        <v>1458</v>
      </c>
      <c r="D195" s="1672" t="s">
        <v>1459</v>
      </c>
      <c r="E195" t="s">
        <v>1370</v>
      </c>
    </row>
    <row r="196" spans="1:5" x14ac:dyDescent="0.2">
      <c r="A196" t="s">
        <v>1393</v>
      </c>
      <c r="B196" t="s">
        <v>1472</v>
      </c>
      <c r="C196" s="1672" t="s">
        <v>1428</v>
      </c>
      <c r="D196" s="1672" t="s">
        <v>815</v>
      </c>
      <c r="E196" t="s">
        <v>1263</v>
      </c>
    </row>
    <row r="197" spans="1:5" x14ac:dyDescent="0.2">
      <c r="A197" t="s">
        <v>1270</v>
      </c>
      <c r="B197" t="s">
        <v>1473</v>
      </c>
      <c r="C197" s="1672" t="s">
        <v>1271</v>
      </c>
      <c r="D197" s="1672" t="s">
        <v>1460</v>
      </c>
      <c r="E197" t="s">
        <v>1273</v>
      </c>
    </row>
    <row r="198" spans="1:5" x14ac:dyDescent="0.2">
      <c r="A198" t="s">
        <v>1274</v>
      </c>
      <c r="B198" t="s">
        <v>1474</v>
      </c>
      <c r="C198" s="1672" t="s">
        <v>1461</v>
      </c>
      <c r="D198" s="1672" t="s">
        <v>1462</v>
      </c>
      <c r="E198" t="s">
        <v>1277</v>
      </c>
    </row>
    <row r="199" spans="1:5" x14ac:dyDescent="0.2">
      <c r="A199" s="1673" t="s">
        <v>1475</v>
      </c>
      <c r="B199" s="1673"/>
      <c r="C199" s="1674" t="s">
        <v>1463</v>
      </c>
      <c r="D199" s="1674" t="s">
        <v>1464</v>
      </c>
    </row>
    <row r="200" spans="1:5" x14ac:dyDescent="0.2">
      <c r="A200" t="s">
        <v>1264</v>
      </c>
      <c r="B200" t="s">
        <v>808</v>
      </c>
      <c r="C200" s="1672" t="s">
        <v>1476</v>
      </c>
      <c r="D200" s="1672" t="s">
        <v>1477</v>
      </c>
      <c r="E200" t="s">
        <v>1367</v>
      </c>
    </row>
    <row r="201" spans="1:5" x14ac:dyDescent="0.2">
      <c r="A201" t="s">
        <v>1267</v>
      </c>
      <c r="B201" t="s">
        <v>1471</v>
      </c>
      <c r="C201" s="1672" t="s">
        <v>1478</v>
      </c>
      <c r="D201" s="1672" t="s">
        <v>1479</v>
      </c>
      <c r="E201" t="s">
        <v>1370</v>
      </c>
    </row>
    <row r="202" spans="1:5" x14ac:dyDescent="0.2">
      <c r="A202" t="s">
        <v>1393</v>
      </c>
      <c r="B202" t="s">
        <v>1472</v>
      </c>
      <c r="C202" s="1672" t="s">
        <v>1480</v>
      </c>
      <c r="D202" s="1672" t="s">
        <v>1481</v>
      </c>
      <c r="E202" t="s">
        <v>1263</v>
      </c>
    </row>
    <row r="203" spans="1:5" x14ac:dyDescent="0.2">
      <c r="A203" t="s">
        <v>1270</v>
      </c>
      <c r="B203" t="s">
        <v>1473</v>
      </c>
      <c r="C203" s="1672" t="s">
        <v>1482</v>
      </c>
      <c r="D203" s="1672" t="s">
        <v>1483</v>
      </c>
      <c r="E203" t="s">
        <v>1273</v>
      </c>
    </row>
    <row r="204" spans="1:5" x14ac:dyDescent="0.2">
      <c r="A204" t="s">
        <v>1274</v>
      </c>
      <c r="B204" t="s">
        <v>1474</v>
      </c>
      <c r="C204" s="1672" t="s">
        <v>1484</v>
      </c>
      <c r="D204" s="1672" t="s">
        <v>1485</v>
      </c>
      <c r="E204" t="s">
        <v>1277</v>
      </c>
    </row>
    <row r="205" spans="1:5" x14ac:dyDescent="0.2">
      <c r="A205" s="1675" t="s">
        <v>1486</v>
      </c>
      <c r="B205" s="1675"/>
      <c r="C205" s="1676" t="s">
        <v>1487</v>
      </c>
      <c r="D205" s="1676" t="s">
        <v>1488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opLeftCell="A19" workbookViewId="0"/>
  </sheetViews>
  <sheetFormatPr defaultColWidth="8.7109375" defaultRowHeight="12" x14ac:dyDescent="0.2"/>
  <cols>
    <col min="1" max="1" width="34.42578125" style="2333" bestFit="1" customWidth="1"/>
    <col min="2" max="3" width="8.85546875" style="2335" customWidth="1"/>
    <col min="4" max="4" width="5.5703125" style="2344" customWidth="1"/>
    <col min="5" max="5" width="6.140625" style="2333" customWidth="1"/>
    <col min="6" max="6" width="5.85546875" style="2333" customWidth="1"/>
    <col min="7" max="7" width="6.5703125" style="2333" customWidth="1"/>
    <col min="8" max="8" width="5.7109375" style="2333" customWidth="1"/>
    <col min="9" max="9" width="6.140625" style="2333" customWidth="1"/>
    <col min="10" max="10" width="6.7109375" style="2333" customWidth="1"/>
    <col min="11" max="11" width="6.85546875" style="2333" bestFit="1" customWidth="1"/>
    <col min="12" max="12" width="6.140625" style="2333" customWidth="1"/>
    <col min="13" max="13" width="6.85546875" style="2333" customWidth="1"/>
    <col min="14" max="14" width="6.5703125" style="2333" customWidth="1"/>
    <col min="15" max="15" width="6.140625" style="2333" bestFit="1" customWidth="1"/>
    <col min="16" max="16" width="6.42578125" style="2333" bestFit="1" customWidth="1"/>
    <col min="17" max="17" width="7.85546875" style="2341" customWidth="1"/>
    <col min="18" max="16384" width="8.7109375" style="2333"/>
  </cols>
  <sheetData>
    <row r="1" spans="1:19" x14ac:dyDescent="0.2">
      <c r="Q1" s="2341">
        <v>2023</v>
      </c>
    </row>
    <row r="2" spans="1:19" x14ac:dyDescent="0.2">
      <c r="B2" s="2340" t="s">
        <v>2084</v>
      </c>
      <c r="C2" s="2340" t="s">
        <v>2085</v>
      </c>
      <c r="D2" s="2345" t="s">
        <v>807</v>
      </c>
      <c r="E2" s="2340" t="s">
        <v>612</v>
      </c>
      <c r="F2" s="2340" t="s">
        <v>613</v>
      </c>
      <c r="G2" s="2340" t="s">
        <v>614</v>
      </c>
      <c r="H2" s="2340" t="s">
        <v>615</v>
      </c>
      <c r="I2" s="2340" t="s">
        <v>616</v>
      </c>
      <c r="J2" s="2340" t="s">
        <v>190</v>
      </c>
      <c r="K2" s="2340" t="s">
        <v>191</v>
      </c>
      <c r="L2" s="2340" t="s">
        <v>617</v>
      </c>
      <c r="M2" s="2340" t="s">
        <v>618</v>
      </c>
      <c r="N2" s="2340" t="s">
        <v>619</v>
      </c>
      <c r="O2" s="2340" t="s">
        <v>620</v>
      </c>
      <c r="P2" s="2340" t="s">
        <v>621</v>
      </c>
      <c r="Q2" s="2341" t="s">
        <v>783</v>
      </c>
    </row>
    <row r="3" spans="1:19" x14ac:dyDescent="0.2">
      <c r="B3" s="2340"/>
      <c r="C3" s="2340"/>
      <c r="E3" s="2334"/>
      <c r="F3" s="2334"/>
      <c r="G3" s="2334"/>
      <c r="H3" s="2334"/>
      <c r="I3" s="2334"/>
      <c r="J3" s="2334"/>
      <c r="K3" s="2334"/>
      <c r="L3" s="2334"/>
      <c r="M3" s="2334"/>
      <c r="N3" s="2334"/>
      <c r="O3" s="2334"/>
      <c r="P3" s="2334"/>
    </row>
    <row r="4" spans="1:19" x14ac:dyDescent="0.2">
      <c r="A4" s="2335" t="s">
        <v>1367</v>
      </c>
      <c r="B4" s="2335">
        <f>'čerpání-úvěr a úroky'!G144</f>
        <v>11818172</v>
      </c>
      <c r="C4" s="2335">
        <f>'čerpání-úvěr a úroky'!I144</f>
        <v>909091</v>
      </c>
      <c r="D4" s="2346">
        <v>7.51</v>
      </c>
      <c r="E4" s="2333">
        <v>88754.471720000001</v>
      </c>
      <c r="F4" s="2333">
        <f>+(B4-C4)*(D4/1000)</f>
        <v>81927.198310000007</v>
      </c>
      <c r="G4" s="2333">
        <f>+(B4-C4-C4)*(D4/1000)</f>
        <v>75099.924899999998</v>
      </c>
      <c r="H4" s="2333">
        <f>+(B4-C4-C4-C4)*(D4/1000)</f>
        <v>68272.651490000004</v>
      </c>
      <c r="I4" s="2333">
        <f>+(B4-C4-C4-C4-C4)*(D4/1000)</f>
        <v>61445.378080000002</v>
      </c>
      <c r="J4" s="2333">
        <f>+(B4-C4-C4-C4-C4-C4)*(D4/1000)</f>
        <v>54618.104670000001</v>
      </c>
      <c r="K4" s="2333">
        <f>+(B4-C4-C4-C4-C4-C4-C4)*(D4/1000)</f>
        <v>47790.831259999999</v>
      </c>
      <c r="L4" s="2333">
        <f>+(B4-C4-C4-C4-C4-C4-C4-C4)*(D4/1000)</f>
        <v>40963.557849999997</v>
      </c>
      <c r="M4" s="2333">
        <f>+(B4-C4-C4-C4-C4-C4-C4-C4-C4)*(D4/1000)</f>
        <v>34136.284440000003</v>
      </c>
      <c r="N4" s="2333">
        <f>+(B4-C4-C4-C4-C4-C4-C4-C4-C4-C4)*(D4/1000)</f>
        <v>27309.011030000001</v>
      </c>
      <c r="O4" s="2333">
        <f>+(B4-C4-C4-C4-C4-C4-C4-C4-C4-C4-C4)*(D4/1000)</f>
        <v>20481.73762</v>
      </c>
      <c r="P4" s="2333">
        <f>+(B4-C4-C4-C4-C4-C4-C4-C4-C4-C4-C4-C4)*(D4/1000)</f>
        <v>13654.46421</v>
      </c>
      <c r="Q4" s="2341">
        <f>SUM(E4:P4)</f>
        <v>614453.6155800001</v>
      </c>
      <c r="S4" s="2349"/>
    </row>
    <row r="5" spans="1:19" x14ac:dyDescent="0.2">
      <c r="A5" s="2335" t="s">
        <v>1370</v>
      </c>
      <c r="B5" s="2335">
        <f>'čerpání-úvěr a úroky'!G145</f>
        <v>72938360</v>
      </c>
      <c r="C5" s="2335">
        <f>'čerpání-úvěr a úroky'!I145</f>
        <v>426541</v>
      </c>
      <c r="D5" s="2346">
        <v>0.78</v>
      </c>
      <c r="E5" s="2333">
        <v>56891.9208</v>
      </c>
      <c r="F5" s="2333">
        <f t="shared" ref="F5:F8" si="0">+(B5-C5)*(D5/1000)</f>
        <v>56559.218820000002</v>
      </c>
      <c r="G5" s="2333">
        <f>+(B5-C5-C5)*(D5/1000)</f>
        <v>56226.516839999997</v>
      </c>
      <c r="H5" s="2333">
        <f>+(B5-C5-C5-C5)*(D5/1000)</f>
        <v>55893.814859999999</v>
      </c>
      <c r="I5" s="2333">
        <f>+(B5-C5-C5-C5-C5)*(D5/1000)</f>
        <v>55561.112880000001</v>
      </c>
      <c r="J5" s="2333">
        <f>+(B5-C5-C5-C5-C5-C5)*(D5/1000)</f>
        <v>55228.410900000003</v>
      </c>
      <c r="K5" s="2333">
        <f>+(B5-C5-C5-C5-C5-C5-C5)*(D5/1000)</f>
        <v>54895.708919999997</v>
      </c>
      <c r="L5" s="2333">
        <f>+(B5-C5-C5-C5-C5-C5-C5-C5)*(D5/1000)</f>
        <v>54563.006939999999</v>
      </c>
      <c r="M5" s="2333">
        <f>+(B5-C5-C5-C5-C5-C5-C5-C5-C5)*(D5/1000)</f>
        <v>54230.304960000001</v>
      </c>
      <c r="N5" s="2333">
        <f>+(B5-C5-C5-C5-C5-C5-C5-C5-C5-C5)*(D5/1000)</f>
        <v>53897.602979999996</v>
      </c>
      <c r="O5" s="2333">
        <f>+(B5-C5-C5-C5-C5-C5-C5-C5-C5-C5-C5)*(D5/1000)</f>
        <v>53564.900999999998</v>
      </c>
      <c r="P5" s="2333">
        <f>+(B5-C5-C5-C5-C5-C5-C5-C5-C5-C5-C5-C5)*(D5/1000)</f>
        <v>53232.19902</v>
      </c>
      <c r="Q5" s="2341">
        <f t="shared" ref="Q5:Q8" si="1">SUM(E5:P5)</f>
        <v>660744.7189199999</v>
      </c>
    </row>
    <row r="6" spans="1:19" x14ac:dyDescent="0.2">
      <c r="A6" s="2335" t="s">
        <v>1263</v>
      </c>
      <c r="B6" s="2335">
        <f>'čerpání-úvěr a úroky'!G146</f>
        <v>26037720</v>
      </c>
      <c r="C6" s="2335">
        <f>'čerpání-úvěr a úroky'!I146</f>
        <v>566040</v>
      </c>
      <c r="D6" s="2346">
        <v>5.0919999999999996</v>
      </c>
      <c r="G6" s="2333">
        <f>+(B6-C6)*(D6/1000)</f>
        <v>129701.79455999998</v>
      </c>
      <c r="J6" s="2333">
        <f>+(B6-C6-C6)*(D6/1000)</f>
        <v>126819.51887999999</v>
      </c>
      <c r="M6" s="2333">
        <f>+(B6-C6-C6-C6)*(D6/1000)</f>
        <v>123937.24319999998</v>
      </c>
      <c r="P6" s="2333">
        <f>+(B6-C6-C6-C6-C6)*(D6/1000)</f>
        <v>121054.96751999998</v>
      </c>
      <c r="Q6" s="2341">
        <f t="shared" si="1"/>
        <v>501513.52415999991</v>
      </c>
    </row>
    <row r="7" spans="1:19" x14ac:dyDescent="0.2">
      <c r="A7" s="2335" t="s">
        <v>1273</v>
      </c>
      <c r="B7" s="2335">
        <f>'čerpání-úvěr a úroky'!G147</f>
        <v>13260000</v>
      </c>
      <c r="C7" s="2335">
        <f>'čerpání-úvěr a úroky'!I147</f>
        <v>60000</v>
      </c>
      <c r="D7" s="2346">
        <v>6.56</v>
      </c>
      <c r="E7" s="2333">
        <v>86985.599999999991</v>
      </c>
      <c r="F7" s="2333">
        <f t="shared" si="0"/>
        <v>86592</v>
      </c>
      <c r="G7" s="2333">
        <f>+(B7-C7-C7)*(D7/1000)</f>
        <v>86198.399999999994</v>
      </c>
      <c r="H7" s="2333">
        <f>+(B7-C7-C7-C7)*(D7/1000)</f>
        <v>85804.800000000003</v>
      </c>
      <c r="I7" s="2333">
        <f>+(B7-C7-C7-C7-C7)*(D7/1000)</f>
        <v>85411.199999999997</v>
      </c>
      <c r="J7" s="2333">
        <f>+(B7-C7-C7-C7-C7-C7)*(D7/1000)</f>
        <v>85017.599999999991</v>
      </c>
      <c r="K7" s="2333">
        <f>+(B7-C7-C7-C7-C7-C7-C7)*(D7/1000)</f>
        <v>84624</v>
      </c>
      <c r="L7" s="2333">
        <f>+(B7-C7-C7-C7-C7-C7-C7-C7)*(D7/1000)</f>
        <v>84230.399999999994</v>
      </c>
      <c r="M7" s="2333">
        <f>+(B7-C7-C7-C7-C7-C7-C7-C7-C7)*(D7/1000)</f>
        <v>83836.800000000003</v>
      </c>
      <c r="N7" s="2333">
        <f>+(B7-C7-C7-C7-C7-C7-C7-C7-C7-C7)*(D7/1000)</f>
        <v>83443.199999999997</v>
      </c>
      <c r="O7" s="2333">
        <f>+(B7-C7-C7-C7-C7-C7-C7-C7-C7-C7-C7)*(D7/1000)</f>
        <v>83049.599999999991</v>
      </c>
      <c r="P7" s="2333">
        <f>+(B7-C7-C7-C7-C7-C7-C7-C7-C7-C7-C7-C7)*(D7/1000)</f>
        <v>82656</v>
      </c>
      <c r="Q7" s="2341">
        <f t="shared" si="1"/>
        <v>1017849.6</v>
      </c>
    </row>
    <row r="8" spans="1:19" x14ac:dyDescent="0.2">
      <c r="A8" s="2335" t="s">
        <v>1277</v>
      </c>
      <c r="B8" s="2335">
        <f>'čerpání-úvěr a úroky'!G148</f>
        <v>2083300</v>
      </c>
      <c r="C8" s="2335">
        <f>'čerpání-úvěr a úroky'!I148</f>
        <v>13890</v>
      </c>
      <c r="D8" s="2346">
        <v>6.56</v>
      </c>
      <c r="E8" s="2333">
        <v>13666.448</v>
      </c>
      <c r="F8" s="2333">
        <f t="shared" si="0"/>
        <v>13575.329599999999</v>
      </c>
      <c r="G8" s="2333">
        <f>+(B8-C8-C8)*(D8/1000)</f>
        <v>13484.2112</v>
      </c>
      <c r="H8" s="2333">
        <f>+(B8-C8-C8-C8)*(D8/1000)</f>
        <v>13393.0928</v>
      </c>
      <c r="I8" s="2333">
        <f>+($B8-C8-C8-C8-C8)*(D8/1000)</f>
        <v>13301.974399999999</v>
      </c>
      <c r="J8" s="2333">
        <f>+(B8-C8-C8-C8-C8-C8)*(D8/1000)</f>
        <v>13210.856</v>
      </c>
      <c r="K8" s="2333">
        <f>+(B8-C8-C8-C8-C8-C8-C8)*(D8/1000)</f>
        <v>13119.7376</v>
      </c>
      <c r="L8" s="2333">
        <f>+(B8-C8-C8-C8-C8-C8-C8-C8)*(D8/1000)</f>
        <v>13028.619199999999</v>
      </c>
      <c r="M8" s="2333">
        <f>+(B8-C8-C8-C8-C8-C8-C8-C8-C8)*(D8/1000)</f>
        <v>12937.5008</v>
      </c>
      <c r="N8" s="2333">
        <f>+(B8-C8-C8-C8-C8-C8-C8-C8-C8-C8)*(D8/1000)</f>
        <v>12846.3824</v>
      </c>
      <c r="O8" s="2333">
        <f>+(B8-C8-C8-C8-C8-C8-C8-C8-C8-C8-C8)*(D8/1000)</f>
        <v>12755.263999999999</v>
      </c>
      <c r="P8" s="2333">
        <f>+(B8-C8-C8-C8-C8-C8-C8-C8-C8-C8-C8-C8)*(D8/1000)</f>
        <v>12664.1456</v>
      </c>
      <c r="Q8" s="2341">
        <f t="shared" si="1"/>
        <v>157983.56159999999</v>
      </c>
    </row>
    <row r="9" spans="1:19" x14ac:dyDescent="0.2">
      <c r="C9" s="2336">
        <f>+C4*12+C5*12+C6*4+C7*12+C8*12</f>
        <v>19178424</v>
      </c>
      <c r="Q9" s="2342">
        <f>SUM(Q4:Q8)</f>
        <v>2952545.0202600001</v>
      </c>
    </row>
    <row r="10" spans="1:19" s="2337" customFormat="1" x14ac:dyDescent="0.2">
      <c r="A10" s="2338" t="s">
        <v>2086</v>
      </c>
      <c r="B10" s="2338">
        <f>+C9+Q9</f>
        <v>22130969.020259999</v>
      </c>
      <c r="D10" s="2344"/>
      <c r="Q10" s="2348"/>
    </row>
    <row r="11" spans="1:19" x14ac:dyDescent="0.2">
      <c r="Q11" s="2341">
        <v>2024</v>
      </c>
    </row>
    <row r="12" spans="1:19" x14ac:dyDescent="0.2">
      <c r="A12" s="2335" t="s">
        <v>1367</v>
      </c>
      <c r="B12" s="2335">
        <f>+B4-C4*12</f>
        <v>909080</v>
      </c>
      <c r="C12" s="2335">
        <v>909091</v>
      </c>
      <c r="D12" s="2346">
        <v>7.51</v>
      </c>
      <c r="E12" s="2333">
        <f>+B12*(D12/1000)</f>
        <v>6827.1908000000003</v>
      </c>
      <c r="Q12" s="2341">
        <f>SUM(E12:P12)</f>
        <v>6827.1908000000003</v>
      </c>
    </row>
    <row r="13" spans="1:19" x14ac:dyDescent="0.2">
      <c r="A13" s="2335" t="s">
        <v>1370</v>
      </c>
      <c r="B13" s="2335">
        <f t="shared" ref="B13:B16" si="2">+B5-C5*12</f>
        <v>67819868</v>
      </c>
      <c r="C13" s="2335">
        <v>426541</v>
      </c>
      <c r="D13" s="2346">
        <v>0.78</v>
      </c>
      <c r="E13" s="2333">
        <f t="shared" ref="E13" si="3">+B13*(D13/1000)</f>
        <v>52899.497040000002</v>
      </c>
      <c r="F13" s="2333">
        <f t="shared" ref="F13" si="4">+(B13-C13)*(D13/1000)</f>
        <v>52566.795059999997</v>
      </c>
      <c r="G13" s="2333">
        <f>+(B13-C13-C13)*(D13/1000)</f>
        <v>52234.093079999999</v>
      </c>
      <c r="H13" s="2333">
        <f>+(B13-C13-C13-C13)*(D13/1000)</f>
        <v>51901.391100000001</v>
      </c>
      <c r="I13" s="2333">
        <f>+(B13-C13-C13-C13-C13)*(D13/1000)</f>
        <v>51568.689119999995</v>
      </c>
      <c r="J13" s="2333">
        <f>+(B13-C13-C13-C13-C13-C13)*(D13/1000)</f>
        <v>51235.987139999997</v>
      </c>
      <c r="K13" s="2333">
        <f>+(B13-C13-C13-C13-C13-C13-C13)*(D13/1000)</f>
        <v>50903.285159999999</v>
      </c>
      <c r="L13" s="2333">
        <f>+(B13-C13-C13-C13-C13-C13-C13-C13)*(D13/1000)</f>
        <v>50570.583180000001</v>
      </c>
      <c r="M13" s="2333">
        <f>+(B13-C13-C13-C13-C13-C13-C13-C13-C13)*(D13/1000)</f>
        <v>50237.881199999996</v>
      </c>
      <c r="N13" s="2333">
        <f>+(B13-C13-C13-C13-C13-C13-C13-C13-C13-C13)*(D13/1000)</f>
        <v>49905.179219999998</v>
      </c>
      <c r="O13" s="2333">
        <f>+(B13-C13-C13-C13-C13-C13-C13-C13-C13-C13-C13)*(D13/1000)</f>
        <v>49572.47724</v>
      </c>
      <c r="P13" s="2333">
        <f>+(B13-C13-C13-C13-C13-C13-C13-C13-C13-C13-C13-C13)*(D13/1000)</f>
        <v>49239.775260000002</v>
      </c>
      <c r="Q13" s="2341">
        <f t="shared" ref="Q13:Q16" si="5">SUM(E13:P13)</f>
        <v>612835.63379999995</v>
      </c>
    </row>
    <row r="14" spans="1:19" x14ac:dyDescent="0.2">
      <c r="A14" s="2335" t="s">
        <v>1263</v>
      </c>
      <c r="B14" s="2335">
        <f t="shared" si="2"/>
        <v>19245240</v>
      </c>
      <c r="C14" s="2335">
        <v>566040</v>
      </c>
      <c r="D14" s="2346">
        <v>5.0919999999999996</v>
      </c>
      <c r="G14" s="2333">
        <f>+(B14-C14)*(D14/1000)</f>
        <v>95114.48639999998</v>
      </c>
      <c r="J14" s="2333">
        <f>+(B14-C14-C14)*(D14/1000)</f>
        <v>92232.210719999988</v>
      </c>
      <c r="M14" s="2333">
        <f>+(B14-C14-C14-C14)*(D14/1000)</f>
        <v>89349.935039999982</v>
      </c>
      <c r="P14" s="2333">
        <f>+(B14-C14-C14-C14-C14)*(D14/1000)</f>
        <v>86467.659359999991</v>
      </c>
      <c r="Q14" s="2341">
        <f t="shared" si="5"/>
        <v>363164.29151999991</v>
      </c>
    </row>
    <row r="15" spans="1:19" x14ac:dyDescent="0.2">
      <c r="A15" s="2335" t="s">
        <v>1273</v>
      </c>
      <c r="B15" s="2335">
        <f t="shared" si="2"/>
        <v>12540000</v>
      </c>
      <c r="C15" s="2335">
        <v>60000</v>
      </c>
      <c r="D15" s="2346">
        <v>5.59</v>
      </c>
      <c r="E15" s="2333">
        <f t="shared" ref="E15:E16" si="6">+B15*(D15/1000)</f>
        <v>70098.599999999991</v>
      </c>
      <c r="F15" s="2333">
        <f t="shared" ref="F15:F16" si="7">+(B15-C15)*(D15/1000)</f>
        <v>69763.199999999997</v>
      </c>
      <c r="G15" s="2333">
        <f>+(B15-C15-C15)*(D15/1000)</f>
        <v>69427.799999999988</v>
      </c>
      <c r="H15" s="2333">
        <f>+(B15-C15-C15-C15)*(D15/1000)</f>
        <v>69092.399999999994</v>
      </c>
      <c r="I15" s="2333">
        <f>+(B15-C15-C15-C15-C15)*(D15/1000)</f>
        <v>68757</v>
      </c>
      <c r="J15" s="2333">
        <f>+(B15-C15-C15-C15-C15-C15)*(D15/1000)</f>
        <v>68421.599999999991</v>
      </c>
      <c r="K15" s="2333">
        <f>+(B15-C15-C15-C15-C15-C15-C15)*(D15/1000)</f>
        <v>68086.2</v>
      </c>
      <c r="L15" s="2333">
        <f>+(B15-C15-C15-C15-C15-C15-C15-C15)*(D15/1000)</f>
        <v>67750.799999999988</v>
      </c>
      <c r="M15" s="2333">
        <f>+(B15-C15-C15-C15-C15-C15-C15-C15-C15)*(D15/1000)</f>
        <v>67415.399999999994</v>
      </c>
      <c r="N15" s="2333">
        <f>+(B15-C15-C15-C15-C15-C15-C15-C15-C15-C15)*(D15/1000)</f>
        <v>67080</v>
      </c>
      <c r="O15" s="2333">
        <f>+(B15-C15-C15-C15-C15-C15-C15-C15-C15-C15-C15)*(D15/1000)</f>
        <v>66744.599999999991</v>
      </c>
      <c r="P15" s="2333">
        <f>+(B15-C15-C15-C15-C15-C15-C15-C15-C15-C15-C15-C15)*(D15/1000)</f>
        <v>66409.2</v>
      </c>
      <c r="Q15" s="2341">
        <f t="shared" si="5"/>
        <v>819046.79999999993</v>
      </c>
    </row>
    <row r="16" spans="1:19" x14ac:dyDescent="0.2">
      <c r="A16" s="2335" t="s">
        <v>1277</v>
      </c>
      <c r="B16" s="2335">
        <f t="shared" si="2"/>
        <v>1916620</v>
      </c>
      <c r="C16" s="2335">
        <v>13890</v>
      </c>
      <c r="D16" s="2346">
        <v>5.59</v>
      </c>
      <c r="E16" s="2333">
        <f t="shared" si="6"/>
        <v>10713.905799999999</v>
      </c>
      <c r="F16" s="2333">
        <f t="shared" si="7"/>
        <v>10636.260699999999</v>
      </c>
      <c r="G16" s="2333">
        <f>+(B16-C16-C16)*(D16/1000)</f>
        <v>10558.615599999999</v>
      </c>
      <c r="H16" s="2333">
        <f>+(B16-C16-C16-C16)*(D16/1000)</f>
        <v>10480.970499999999</v>
      </c>
      <c r="I16" s="2333">
        <f>+($B16-C16-C16-C16-C16)*(D16/1000)</f>
        <v>10403.3254</v>
      </c>
      <c r="J16" s="2333">
        <f>+(B16-C16-C16-C16-C16-C16)*(D16/1000)</f>
        <v>10325.680299999998</v>
      </c>
      <c r="K16" s="2333">
        <f>+(B16-C16-C16-C16-C16-C16-C16)*(D16/1000)</f>
        <v>10248.035199999998</v>
      </c>
      <c r="L16" s="2333">
        <f>+(B16-C16-C16-C16-C16-C16-C16-C16)*(D16/1000)</f>
        <v>10170.390099999999</v>
      </c>
      <c r="M16" s="2333">
        <f>+(B16-C16-C16-C16-C16-C16-C16-C16-C16)*(D16/1000)</f>
        <v>10092.744999999999</v>
      </c>
      <c r="N16" s="2333">
        <f>+(B16-C16-C16-C16-C16-C16-C16-C16-C16-C16)*(D16/1000)</f>
        <v>10015.099899999999</v>
      </c>
      <c r="O16" s="2333">
        <f>+(B16-C16-C16-C16-C16-C16-C16-C16-C16-C16-C16)*(D16/1000)</f>
        <v>9937.4547999999995</v>
      </c>
      <c r="P16" s="2333">
        <f>+(B16-C16-C16-C16-C16-C16-C16-C16-C16-C16-C16-C16)*(D16/1000)</f>
        <v>9859.8096999999998</v>
      </c>
      <c r="Q16" s="2341">
        <f t="shared" si="5"/>
        <v>123442.29299999999</v>
      </c>
    </row>
    <row r="17" spans="1:17" x14ac:dyDescent="0.2">
      <c r="C17" s="2336">
        <f>+C12*1+C13*12+C14*4+C15*12+C16*12</f>
        <v>9178423</v>
      </c>
      <c r="Q17" s="2342">
        <f>SUM(Q12:Q16)</f>
        <v>1925316.2091199998</v>
      </c>
    </row>
    <row r="18" spans="1:17" s="2337" customFormat="1" x14ac:dyDescent="0.2">
      <c r="A18" s="2338" t="s">
        <v>2086</v>
      </c>
      <c r="B18" s="2338">
        <f>+C17+Q17</f>
        <v>11103739.20912</v>
      </c>
      <c r="D18" s="2344"/>
      <c r="Q18" s="2348"/>
    </row>
    <row r="20" spans="1:17" x14ac:dyDescent="0.2">
      <c r="D20" s="2347"/>
      <c r="Q20" s="2341">
        <v>2025</v>
      </c>
    </row>
    <row r="21" spans="1:17" x14ac:dyDescent="0.2">
      <c r="A21" s="2335" t="s">
        <v>1367</v>
      </c>
      <c r="D21" s="2346"/>
      <c r="Q21" s="2341">
        <f>SUM(E21:P21)</f>
        <v>0</v>
      </c>
    </row>
    <row r="22" spans="1:17" x14ac:dyDescent="0.2">
      <c r="A22" s="2335" t="s">
        <v>1370</v>
      </c>
      <c r="B22" s="2335">
        <f>+B13-C13*12</f>
        <v>62701376</v>
      </c>
      <c r="C22" s="2335">
        <v>426541</v>
      </c>
      <c r="D22" s="2346">
        <v>0.78</v>
      </c>
      <c r="E22" s="2333">
        <f>+B22*(D22/1000)</f>
        <v>48907.073279999997</v>
      </c>
      <c r="F22" s="2333">
        <f>+(B22-C22)*(D22/1000)</f>
        <v>48574.371299999999</v>
      </c>
      <c r="G22" s="2333">
        <f>+(B22-C22-C22)*(D22/1000)</f>
        <v>48241.669320000001</v>
      </c>
      <c r="H22" s="2333">
        <f>+(B22-C22-C22-C22)*(D22/1000)</f>
        <v>47908.967339999996</v>
      </c>
      <c r="I22" s="2333">
        <f>+(B22-C22-C22-C22-C22)*(D22/1000)</f>
        <v>47576.265359999998</v>
      </c>
      <c r="J22" s="2333">
        <f>+(B22-C22-C22-C22-C22-C22)*(D22/1000)</f>
        <v>47243.56338</v>
      </c>
      <c r="K22" s="2333">
        <f>+(B22-C22-C22-C22-C22-C22-C22)*(D22/1000)</f>
        <v>46910.861400000002</v>
      </c>
      <c r="L22" s="2333">
        <f>+(B22-C22-C22-C22-C22-C22-C22-C22)*(D22/1000)</f>
        <v>46578.159419999996</v>
      </c>
      <c r="M22" s="2333">
        <f>+(B22-C22-C22-C22-C22-C22-C22-C22-C22)*(D22/1000)</f>
        <v>46245.457439999998</v>
      </c>
      <c r="N22" s="2333">
        <f>+(B22-C22-C22-C22-C22-C22-C22-C22-C22-C22)*(D22/1000)</f>
        <v>45912.75546</v>
      </c>
      <c r="O22" s="2333">
        <f>+(B22-C22-C22-C22-C22-C22-C22-C22-C22-C22-C22)*(D22/1000)</f>
        <v>45580.053480000002</v>
      </c>
      <c r="P22" s="2333">
        <f>+(B22-C22-C22-C22-C22-C22-C22-C22-C22-C22-C22-C22)*(D22/1000)</f>
        <v>45247.351499999997</v>
      </c>
      <c r="Q22" s="2341">
        <f t="shared" ref="Q22:Q25" si="8">SUM(E22:P22)</f>
        <v>564926.54868000001</v>
      </c>
    </row>
    <row r="23" spans="1:17" x14ac:dyDescent="0.2">
      <c r="A23" s="2335" t="s">
        <v>1263</v>
      </c>
      <c r="B23" s="2335">
        <f>+B14-C14*12</f>
        <v>12452760</v>
      </c>
      <c r="C23" s="2335">
        <v>566040</v>
      </c>
      <c r="D23" s="2346">
        <v>5.0919999999999996</v>
      </c>
      <c r="G23" s="2333">
        <f>+(B23-C23)*(D23/1000)</f>
        <v>60527.178239999994</v>
      </c>
      <c r="J23" s="2333">
        <f>+(B23-C23-C23)*(D23/1000)</f>
        <v>57644.902559999995</v>
      </c>
      <c r="M23" s="2333">
        <f>+(B23-C23-C23-C23)*(D23/1000)</f>
        <v>54762.626879999989</v>
      </c>
      <c r="P23" s="2333">
        <f>+(B23-C23-C23-C23-C23)*(D23/1000)</f>
        <v>51880.35119999999</v>
      </c>
      <c r="Q23" s="2341">
        <f t="shared" si="8"/>
        <v>224815.05887999997</v>
      </c>
    </row>
    <row r="24" spans="1:17" x14ac:dyDescent="0.2">
      <c r="A24" s="2335" t="s">
        <v>1273</v>
      </c>
      <c r="B24" s="2335">
        <f>+B15-C15*12</f>
        <v>11820000</v>
      </c>
      <c r="C24" s="2335">
        <v>60000</v>
      </c>
      <c r="D24" s="2346">
        <v>5.59</v>
      </c>
      <c r="E24" s="2333">
        <f>+B24*(D24/1000)</f>
        <v>66073.799999999988</v>
      </c>
      <c r="F24" s="2333">
        <f>+(B24-C24)*(D24/1000)</f>
        <v>65738.399999999994</v>
      </c>
      <c r="G24" s="2333">
        <f>+(B24-C24-C24)*(D24/1000)</f>
        <v>65402.999999999993</v>
      </c>
      <c r="H24" s="2333">
        <f>+(B24-C24-C24-C24)*(D24/1000)</f>
        <v>65067.599999999991</v>
      </c>
      <c r="I24" s="2333">
        <f>+(B24-C24-C24-C24-C24)*(D24/1000)</f>
        <v>64732.2</v>
      </c>
      <c r="J24" s="2333">
        <f>+(B24-C24-C24-C24-C24-C24)*(D24/1000)</f>
        <v>64396.799999999996</v>
      </c>
      <c r="K24" s="2333">
        <f>+(B24-C24-C24-C24-C24-C24-C24)*(D24/1000)</f>
        <v>64061.399999999994</v>
      </c>
      <c r="L24" s="2333">
        <f>+(B24-C24-C24-C24-C24-C24-C24-C24)*(D24/1000)</f>
        <v>63725.999999999993</v>
      </c>
      <c r="M24" s="2333">
        <f>+(B24-C24-C24-C24-C24-C24-C24-C24-C24)*(D24/1000)</f>
        <v>63390.599999999991</v>
      </c>
      <c r="N24" s="2333">
        <f>+(B24-C24-C24-C24-C24-C24-C24-C24-C24-C24)*(D24/1000)</f>
        <v>63055.199999999997</v>
      </c>
      <c r="O24" s="2333">
        <f>+(B24-C24-C24-C24-C24-C24-C24-C24-C24-C24-C24)*(D24/1000)</f>
        <v>62719.799999999996</v>
      </c>
      <c r="P24" s="2333">
        <f>+(B24-C24-C24-C24-C24-C24-C24-C24-C24-C24-C24-C24)*(D24/1000)</f>
        <v>62384.399999999994</v>
      </c>
      <c r="Q24" s="2341">
        <f t="shared" si="8"/>
        <v>770749.2</v>
      </c>
    </row>
    <row r="25" spans="1:17" x14ac:dyDescent="0.2">
      <c r="A25" s="2335" t="s">
        <v>1277</v>
      </c>
      <c r="B25" s="2335">
        <f>+B16-C16*12</f>
        <v>1749940</v>
      </c>
      <c r="C25" s="2335">
        <v>13890</v>
      </c>
      <c r="D25" s="2346">
        <v>5.59</v>
      </c>
      <c r="E25" s="2333">
        <f>+B25*(D25/1000)</f>
        <v>9782.1645999999982</v>
      </c>
      <c r="F25" s="2333">
        <f>+(B25-C25)*(D25/1000)</f>
        <v>9704.5194999999985</v>
      </c>
      <c r="G25" s="2333">
        <f>+(B25-C25-C25)*(D25/1000)</f>
        <v>9626.8743999999988</v>
      </c>
      <c r="H25" s="2333">
        <f>+(B25-C25-C25-C25)*(D25/1000)</f>
        <v>9549.2292999999991</v>
      </c>
      <c r="I25" s="2333">
        <f>+($B25-C25-C25-C25-C25)*(D25/1000)</f>
        <v>9471.5841999999993</v>
      </c>
      <c r="J25" s="2333">
        <f>+(B25-C25-C25-C25-C25-C25)*(D25/1000)</f>
        <v>9393.9390999999996</v>
      </c>
      <c r="K25" s="2333">
        <f>+(B25-C25-C25-C25-C25-C25-C25)*(D25/1000)</f>
        <v>9316.2939999999999</v>
      </c>
      <c r="L25" s="2333">
        <f>+(B25-C25-C25-C25-C25-C25-C25-C25)*(D25/1000)</f>
        <v>9238.6488999999983</v>
      </c>
      <c r="M25" s="2333">
        <f>+(B25-C25-C25-C25-C25-C25-C25-C25-C25)*(D25/1000)</f>
        <v>9161.0037999999986</v>
      </c>
      <c r="N25" s="2333">
        <f>+(B25-C25-C25-C25-C25-C25-C25-C25-C25-C25)*(D25/1000)</f>
        <v>9083.3586999999989</v>
      </c>
      <c r="O25" s="2333">
        <f>+(B25-C25-C25-C25-C25-C25-C25-C25-C25-C25-C25)*(D25/1000)</f>
        <v>9005.7135999999991</v>
      </c>
      <c r="P25" s="2333">
        <f>+(B25-C25-C25-C25-C25-C25-C25-C25-C25-C25-C25-C25)*(D25/1000)</f>
        <v>8928.0684999999994</v>
      </c>
      <c r="Q25" s="2341">
        <f t="shared" si="8"/>
        <v>112261.39859999999</v>
      </c>
    </row>
    <row r="26" spans="1:17" x14ac:dyDescent="0.2">
      <c r="A26" s="2335"/>
      <c r="C26" s="2336">
        <f>+C20*1+C22*12+C23*4+C24*12+C25*12</f>
        <v>8269332</v>
      </c>
      <c r="Q26" s="2342">
        <f>SUM(Q21:Q25)</f>
        <v>1672752.2061599998</v>
      </c>
    </row>
    <row r="27" spans="1:17" s="2337" customFormat="1" x14ac:dyDescent="0.2">
      <c r="A27" s="2338" t="s">
        <v>2086</v>
      </c>
      <c r="B27" s="2338">
        <f>+C26+Q26</f>
        <v>9942084.2061599996</v>
      </c>
      <c r="D27" s="2344"/>
      <c r="Q27" s="2348"/>
    </row>
    <row r="28" spans="1:17" s="2337" customFormat="1" x14ac:dyDescent="0.2">
      <c r="A28" s="2339"/>
      <c r="B28" s="2339"/>
      <c r="C28" s="2338"/>
      <c r="D28" s="2344"/>
      <c r="Q28" s="2348"/>
    </row>
    <row r="29" spans="1:17" x14ac:dyDescent="0.2">
      <c r="C29" s="2336"/>
      <c r="Q29" s="2343">
        <v>2026</v>
      </c>
    </row>
    <row r="30" spans="1:17" x14ac:dyDescent="0.2">
      <c r="A30" s="2335" t="s">
        <v>1367</v>
      </c>
      <c r="D30" s="2346"/>
      <c r="Q30" s="2341">
        <f>SUM(E30:P30)</f>
        <v>0</v>
      </c>
    </row>
    <row r="31" spans="1:17" x14ac:dyDescent="0.2">
      <c r="A31" s="2335" t="s">
        <v>1370</v>
      </c>
      <c r="B31" s="2335">
        <f>+B22-C22*12</f>
        <v>57582884</v>
      </c>
      <c r="C31" s="2335">
        <v>426541</v>
      </c>
      <c r="D31" s="2346">
        <v>0.78</v>
      </c>
      <c r="E31" s="2333">
        <f t="shared" ref="E31" si="9">+B31*(D31/1000)</f>
        <v>44914.649519999999</v>
      </c>
      <c r="F31" s="2333">
        <f t="shared" ref="F31" si="10">+(B31-C31)*(D31/1000)</f>
        <v>44581.947540000001</v>
      </c>
      <c r="G31" s="2333">
        <f>+(B31-C31-C31)*(D31/1000)</f>
        <v>44249.245559999996</v>
      </c>
      <c r="H31" s="2333">
        <f>+(B31-C31-C31-C31)*(D31/1000)</f>
        <v>43916.543579999998</v>
      </c>
      <c r="I31" s="2333">
        <f>+(B31-C31-C31-C31-C31)*(D31/1000)</f>
        <v>43583.8416</v>
      </c>
      <c r="J31" s="2333">
        <f>+(B31-C31-C31-C31-C31-C31)*(D31/1000)</f>
        <v>43251.139620000002</v>
      </c>
      <c r="K31" s="2333">
        <f>+(B31-C31-C31-C31-C31-C31-C31)*(D31/1000)</f>
        <v>42918.437639999996</v>
      </c>
      <c r="L31" s="2333">
        <f>+(B31-C31-C31-C31-C31-C31-C31-C31)*(D31/1000)</f>
        <v>42585.735659999998</v>
      </c>
      <c r="M31" s="2333">
        <f>+(B31-C31-C31-C31-C31-C31-C31-C31-C31)*(D31/1000)</f>
        <v>42253.03368</v>
      </c>
      <c r="N31" s="2333">
        <f>+(B31-C31-C31-C31-C31-C31-C31-C31-C31-C31)*(D31/1000)</f>
        <v>41920.331700000002</v>
      </c>
      <c r="O31" s="2333">
        <f>+(B31-C31-C31-C31-C31-C31-C31-C31-C31-C31-C31)*(D31/1000)</f>
        <v>41587.629719999997</v>
      </c>
      <c r="P31" s="2333">
        <f>+(B31-C31-C31-C31-C31-C31-C31-C31-C31-C31-C31-C31)*(D31/1000)</f>
        <v>41254.927739999999</v>
      </c>
      <c r="Q31" s="2341">
        <f t="shared" ref="Q31:Q34" si="11">SUM(E31:P31)</f>
        <v>517017.46356</v>
      </c>
    </row>
    <row r="32" spans="1:17" x14ac:dyDescent="0.2">
      <c r="A32" s="2335" t="s">
        <v>1263</v>
      </c>
      <c r="B32" s="2335">
        <f>+B23-C23*12</f>
        <v>5660280</v>
      </c>
      <c r="C32" s="2335">
        <v>566040</v>
      </c>
      <c r="D32" s="2346">
        <v>5.0919999999999996</v>
      </c>
      <c r="G32" s="2333">
        <f>+(B32-C32)*(D32/1000)</f>
        <v>25939.870079999997</v>
      </c>
      <c r="J32" s="2333">
        <f>+(B32-C32-C32)*(D32/1000)</f>
        <v>23057.594399999998</v>
      </c>
      <c r="M32" s="2333">
        <f>+(B32-C32-C32-C32)*(D32/1000)</f>
        <v>20175.318719999996</v>
      </c>
      <c r="P32" s="2333">
        <f>+(B32-C32-C32-C32-C32)*(D32/1000)</f>
        <v>17293.043039999997</v>
      </c>
      <c r="Q32" s="2341">
        <f t="shared" si="11"/>
        <v>86465.826239999995</v>
      </c>
    </row>
    <row r="33" spans="1:17" x14ac:dyDescent="0.2">
      <c r="A33" s="2335" t="s">
        <v>1273</v>
      </c>
      <c r="B33" s="2335">
        <f>+B24-C24*12</f>
        <v>11100000</v>
      </c>
      <c r="C33" s="2335">
        <v>60000</v>
      </c>
      <c r="D33" s="2346">
        <v>5.59</v>
      </c>
      <c r="E33" s="2333">
        <f t="shared" ref="E33:E34" si="12">+B33*(D33/1000)</f>
        <v>62048.999999999993</v>
      </c>
      <c r="F33" s="2333">
        <f t="shared" ref="F33:F34" si="13">+(B33-C33)*(D33/1000)</f>
        <v>61713.599999999991</v>
      </c>
      <c r="G33" s="2333">
        <f>+(B33-C33-C33)*(D33/1000)</f>
        <v>61378.2</v>
      </c>
      <c r="H33" s="2333">
        <f>+(B33-C33-C33-C33)*(D33/1000)</f>
        <v>61042.799999999996</v>
      </c>
      <c r="I33" s="2333">
        <f>+(B33-C33-C33-C33-C33)*(D33/1000)</f>
        <v>60707.399999999994</v>
      </c>
      <c r="J33" s="2333">
        <f>+(B33-C33-C33-C33-C33-C33)*(D33/1000)</f>
        <v>60371.999999999993</v>
      </c>
      <c r="K33" s="2333">
        <f>+(B33-C33-C33-C33-C33-C33-C33)*(D33/1000)</f>
        <v>60036.599999999991</v>
      </c>
      <c r="L33" s="2333">
        <f>+(B33-C33-C33-C33-C33-C33-C33-C33)*(D33/1000)</f>
        <v>59701.2</v>
      </c>
      <c r="M33" s="2333">
        <f>+(B33-C33-C33-C33-C33-C33-C33-C33-C33)*(D33/1000)</f>
        <v>59365.799999999996</v>
      </c>
      <c r="N33" s="2333">
        <f>+(B33-C33-C33-C33-C33-C33-C33-C33-C33-C33)*(D33/1000)</f>
        <v>59030.399999999994</v>
      </c>
      <c r="O33" s="2333">
        <f>+(B33-C33-C33-C33-C33-C33-C33-C33-C33-C33-C33)*(D33/1000)</f>
        <v>58694.999999999993</v>
      </c>
      <c r="P33" s="2333">
        <f>+(B33-C33-C33-C33-C33-C33-C33-C33-C33-C33-C33-C33)*(D33/1000)</f>
        <v>58359.599999999991</v>
      </c>
      <c r="Q33" s="2341">
        <f t="shared" si="11"/>
        <v>722451.6</v>
      </c>
    </row>
    <row r="34" spans="1:17" x14ac:dyDescent="0.2">
      <c r="A34" s="2335" t="s">
        <v>1277</v>
      </c>
      <c r="B34" s="2335">
        <f>+B25-C25*12</f>
        <v>1583260</v>
      </c>
      <c r="C34" s="2335">
        <v>13890</v>
      </c>
      <c r="D34" s="2346">
        <v>5.59</v>
      </c>
      <c r="E34" s="2333">
        <f t="shared" si="12"/>
        <v>8850.4233999999997</v>
      </c>
      <c r="F34" s="2333">
        <f t="shared" si="13"/>
        <v>8772.7782999999999</v>
      </c>
      <c r="G34" s="2333">
        <f>+(B34-C34-C34)*(D34/1000)</f>
        <v>8695.1331999999984</v>
      </c>
      <c r="H34" s="2333">
        <f>+(B34-C34-C34-C34)*(D34/1000)</f>
        <v>8617.4880999999987</v>
      </c>
      <c r="I34" s="2333">
        <f>+($B34-C34-C34-C34-C34)*(D34/1000)</f>
        <v>8539.8429999999989</v>
      </c>
      <c r="J34" s="2333">
        <f>+(B34-C34-C34-C34-C34-C34)*(D34/1000)</f>
        <v>8462.1978999999992</v>
      </c>
      <c r="K34" s="2333">
        <f>+(B34-C34-C34-C34-C34-C34-C34)*(D34/1000)</f>
        <v>8384.5527999999995</v>
      </c>
      <c r="L34" s="2333">
        <f>+(B34-C34-C34-C34-C34-C34-C34-C34)*(D34/1000)</f>
        <v>8306.9076999999997</v>
      </c>
      <c r="M34" s="2333">
        <f>+(B34-C34-C34-C34-C34-C34-C34-C34-C34)*(D34/1000)</f>
        <v>8229.2626</v>
      </c>
      <c r="N34" s="2333">
        <f>+(B34-C34-C34-C34-C34-C34-C34-C34-C34-C34)*(D34/1000)</f>
        <v>8151.6174999999994</v>
      </c>
      <c r="O34" s="2333">
        <f>+(B34-C34-C34-C34-C34-C34-C34-C34-C34-C34-C34)*(D34/1000)</f>
        <v>8073.9723999999997</v>
      </c>
      <c r="P34" s="2333">
        <f>+(B34-C34-C34-C34-C34-C34-C34-C34-C34-C34-C34-C34)*(D34/1000)</f>
        <v>7996.327299999999</v>
      </c>
      <c r="Q34" s="2341">
        <f t="shared" si="11"/>
        <v>101080.50419999998</v>
      </c>
    </row>
    <row r="35" spans="1:17" x14ac:dyDescent="0.2">
      <c r="C35" s="2336">
        <f>+C30*1+C31*12+C32*4+C33*12+C34*12</f>
        <v>8269332</v>
      </c>
      <c r="Q35" s="2342">
        <f>SUM(Q30:Q34)</f>
        <v>1427015.3940000001</v>
      </c>
    </row>
    <row r="36" spans="1:17" s="2337" customFormat="1" x14ac:dyDescent="0.2">
      <c r="A36" s="2338" t="s">
        <v>2086</v>
      </c>
      <c r="B36" s="2338">
        <f>+C35+Q35</f>
        <v>9696347.3939999994</v>
      </c>
      <c r="D36" s="2344"/>
      <c r="Q36" s="2348"/>
    </row>
  </sheetData>
  <sheetProtection algorithmName="SHA-512" hashValue="FMUO6+pCrUmtIgnG1UunIMUg2fhG2avq4gZyBcK2+4WGjokMSSgSnH0x2Wj8lNEPD8oBPfKcPl/PO0Z0X2shFg==" saltValue="YHuEvdU1+t1OIi+5HeMYv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19"/>
  <sheetViews>
    <sheetView workbookViewId="0"/>
  </sheetViews>
  <sheetFormatPr defaultColWidth="9.140625" defaultRowHeight="15.75" outlineLevelRow="1" outlineLevelCol="1" x14ac:dyDescent="0.25"/>
  <cols>
    <col min="1" max="1" width="11" style="324" customWidth="1"/>
    <col min="2" max="2" width="70.85546875" style="324" bestFit="1" customWidth="1"/>
    <col min="3" max="3" width="8.5703125" style="325" bestFit="1" customWidth="1"/>
    <col min="4" max="4" width="15.140625" style="326" bestFit="1" customWidth="1"/>
    <col min="5" max="5" width="13.5703125" style="327" bestFit="1" customWidth="1" outlineLevel="1"/>
    <col min="6" max="6" width="12.7109375" style="328" customWidth="1" outlineLevel="1"/>
    <col min="7" max="7" width="14.140625" style="329" customWidth="1" outlineLevel="1"/>
    <col min="8" max="9" width="13.42578125" style="1867" bestFit="1" customWidth="1"/>
    <col min="10" max="10" width="13.42578125" style="1867" customWidth="1"/>
    <col min="11" max="11" width="12.42578125" style="274" bestFit="1" customWidth="1"/>
    <col min="12" max="16384" width="9.140625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62"/>
      <c r="I1" s="1862"/>
      <c r="J1" s="1862"/>
    </row>
    <row r="2" spans="1:10" x14ac:dyDescent="0.25">
      <c r="A2" s="1969" t="s">
        <v>1900</v>
      </c>
      <c r="B2" s="1969"/>
      <c r="C2" s="1970"/>
      <c r="D2" s="1971"/>
      <c r="E2" s="1972"/>
      <c r="F2" s="1973"/>
      <c r="G2" s="1974"/>
      <c r="H2" s="1975"/>
      <c r="I2" s="1975"/>
      <c r="J2" s="1975"/>
    </row>
    <row r="3" spans="1:10" ht="16.5" thickBot="1" x14ac:dyDescent="0.3">
      <c r="A3" s="1976"/>
      <c r="B3" s="1976"/>
      <c r="C3" s="1970"/>
      <c r="D3" s="1977"/>
      <c r="E3" s="1972"/>
      <c r="F3" s="2024"/>
      <c r="G3" s="2025"/>
      <c r="H3" s="1975"/>
      <c r="I3" s="1975"/>
      <c r="J3" s="1975"/>
    </row>
    <row r="4" spans="1:10" ht="41.25" thickBot="1" x14ac:dyDescent="0.3">
      <c r="A4" s="277" t="s">
        <v>221</v>
      </c>
      <c r="B4" s="278"/>
      <c r="C4" s="2126" t="s">
        <v>64</v>
      </c>
      <c r="D4" s="2137" t="s">
        <v>1576</v>
      </c>
      <c r="E4" s="2026" t="s">
        <v>730</v>
      </c>
      <c r="F4" s="2027" t="s">
        <v>1163</v>
      </c>
      <c r="G4" s="2027" t="s">
        <v>1164</v>
      </c>
      <c r="H4" s="2027" t="s">
        <v>1901</v>
      </c>
      <c r="I4" s="2028" t="s">
        <v>1902</v>
      </c>
      <c r="J4" s="2023"/>
    </row>
    <row r="5" spans="1:10" ht="11.45" customHeight="1" thickBot="1" x14ac:dyDescent="0.3">
      <c r="A5" s="109"/>
      <c r="B5" s="109"/>
      <c r="C5" s="114"/>
      <c r="D5" s="2138"/>
      <c r="E5" s="832"/>
      <c r="F5" s="279"/>
      <c r="G5" s="831"/>
      <c r="H5" s="1863"/>
      <c r="I5" s="2139"/>
      <c r="J5" s="291"/>
    </row>
    <row r="6" spans="1:10" s="282" customFormat="1" ht="15" customHeight="1" thickBot="1" x14ac:dyDescent="0.35">
      <c r="A6" s="1933" t="s">
        <v>222</v>
      </c>
      <c r="B6" s="1934" t="s">
        <v>223</v>
      </c>
      <c r="C6" s="1935"/>
      <c r="D6" s="2140">
        <f>SUM(D7:D25)</f>
        <v>177345.71100000001</v>
      </c>
      <c r="E6" s="1936">
        <f t="shared" ref="E6:I6" si="0">SUM(E7:E25)</f>
        <v>179922.71100000001</v>
      </c>
      <c r="F6" s="1936">
        <f t="shared" si="0"/>
        <v>178292.48523799999</v>
      </c>
      <c r="G6" s="1936">
        <f t="shared" si="0"/>
        <v>183411.14106582798</v>
      </c>
      <c r="H6" s="1936">
        <f t="shared" si="0"/>
        <v>178374.24922976151</v>
      </c>
      <c r="I6" s="1936">
        <f t="shared" si="0"/>
        <v>183947.22741625039</v>
      </c>
      <c r="J6" s="301"/>
    </row>
    <row r="7" spans="1:10" s="288" customFormat="1" ht="18" hidden="1" customHeight="1" outlineLevel="1" thickTop="1" x14ac:dyDescent="0.25">
      <c r="A7" s="897"/>
      <c r="B7" s="1536" t="s">
        <v>1155</v>
      </c>
      <c r="C7" s="2127">
        <v>1111</v>
      </c>
      <c r="D7" s="2141">
        <f>'Příjmy kapitol celkem'!G7/1000</f>
        <v>24855.312000000002</v>
      </c>
      <c r="E7" s="842">
        <f>+D7+3141</f>
        <v>27996.312000000002</v>
      </c>
      <c r="F7" s="842">
        <f>+E7*1.01+65</f>
        <v>28341.275120000002</v>
      </c>
      <c r="G7" s="842">
        <f>+F7*1.03+3</f>
        <v>29194.513373600003</v>
      </c>
      <c r="H7" s="842">
        <f>+G7*1.03+2</f>
        <v>30072.348774808004</v>
      </c>
      <c r="I7" s="842">
        <f>+H7*1.035-15</f>
        <v>31109.880981926282</v>
      </c>
      <c r="J7" s="291"/>
    </row>
    <row r="8" spans="1:10" s="288" customFormat="1" ht="18" hidden="1" customHeight="1" outlineLevel="1" x14ac:dyDescent="0.25">
      <c r="A8" s="897"/>
      <c r="B8" s="1531" t="s">
        <v>1157</v>
      </c>
      <c r="C8" s="2128">
        <v>1112</v>
      </c>
      <c r="D8" s="2142">
        <f>'Příjmy kapitol celkem'!G8/1000</f>
        <v>1716.548</v>
      </c>
      <c r="E8" s="443">
        <f t="shared" ref="E8:E12" si="1">+D8</f>
        <v>1716.548</v>
      </c>
      <c r="F8" s="443">
        <f t="shared" ref="F8:F19" si="2">+E8*1.01</f>
        <v>1733.7134800000001</v>
      </c>
      <c r="G8" s="443">
        <f t="shared" ref="G8:H8" si="3">+F8*1.03</f>
        <v>1785.7248844000001</v>
      </c>
      <c r="H8" s="443">
        <f t="shared" si="3"/>
        <v>1839.2966309320002</v>
      </c>
      <c r="I8" s="443">
        <f t="shared" ref="I8:I12" si="4">+H8*1.035</f>
        <v>1903.67201301462</v>
      </c>
      <c r="J8" s="291"/>
    </row>
    <row r="9" spans="1:10" s="288" customFormat="1" ht="18" hidden="1" customHeight="1" outlineLevel="1" x14ac:dyDescent="0.25">
      <c r="A9" s="897"/>
      <c r="B9" s="1531" t="s">
        <v>1156</v>
      </c>
      <c r="C9" s="2128">
        <v>1121</v>
      </c>
      <c r="D9" s="2142">
        <f>'Příjmy kapitol celkem'!G9/1000</f>
        <v>4953.1899999999996</v>
      </c>
      <c r="E9" s="443">
        <f t="shared" si="1"/>
        <v>4953.1899999999996</v>
      </c>
      <c r="F9" s="443">
        <f t="shared" si="2"/>
        <v>5002.7218999999996</v>
      </c>
      <c r="G9" s="443">
        <f t="shared" ref="G9:H9" si="5">+F9*1.03</f>
        <v>5152.8035569999993</v>
      </c>
      <c r="H9" s="443">
        <f t="shared" si="5"/>
        <v>5307.3876637099993</v>
      </c>
      <c r="I9" s="443">
        <f t="shared" si="4"/>
        <v>5493.1462319398488</v>
      </c>
      <c r="J9" s="291"/>
    </row>
    <row r="10" spans="1:10" s="288" customFormat="1" ht="18" hidden="1" customHeight="1" outlineLevel="1" x14ac:dyDescent="0.25">
      <c r="A10" s="897"/>
      <c r="B10" s="1531" t="s">
        <v>1158</v>
      </c>
      <c r="C10" s="2128">
        <v>1112</v>
      </c>
      <c r="D10" s="2142">
        <f>'Příjmy kapitol celkem'!G10/1000</f>
        <v>771.8</v>
      </c>
      <c r="E10" s="443">
        <f t="shared" si="1"/>
        <v>771.8</v>
      </c>
      <c r="F10" s="443">
        <f t="shared" si="2"/>
        <v>779.51799999999992</v>
      </c>
      <c r="G10" s="443">
        <f t="shared" ref="G10:H10" si="6">+F10*1.03</f>
        <v>802.90353999999991</v>
      </c>
      <c r="H10" s="443">
        <f t="shared" si="6"/>
        <v>826.9906461999999</v>
      </c>
      <c r="I10" s="443">
        <f t="shared" si="4"/>
        <v>855.93531881699982</v>
      </c>
      <c r="J10" s="291"/>
    </row>
    <row r="11" spans="1:10" s="288" customFormat="1" ht="18" hidden="1" customHeight="1" outlineLevel="1" x14ac:dyDescent="0.25">
      <c r="A11" s="897"/>
      <c r="B11" s="1531" t="s">
        <v>15</v>
      </c>
      <c r="C11" s="2128">
        <v>1113</v>
      </c>
      <c r="D11" s="2142">
        <f>'Příjmy kapitol celkem'!G12/1000</f>
        <v>35922.921000000002</v>
      </c>
      <c r="E11" s="443">
        <f t="shared" si="1"/>
        <v>35922.921000000002</v>
      </c>
      <c r="F11" s="443">
        <f t="shared" si="2"/>
        <v>36282.15021</v>
      </c>
      <c r="G11" s="443">
        <f t="shared" ref="G11:H11" si="7">+F11*1.03</f>
        <v>37370.614716299999</v>
      </c>
      <c r="H11" s="443">
        <f t="shared" si="7"/>
        <v>38491.733157789</v>
      </c>
      <c r="I11" s="443">
        <f t="shared" si="4"/>
        <v>39838.943818311614</v>
      </c>
      <c r="J11" s="291"/>
    </row>
    <row r="12" spans="1:10" s="288" customFormat="1" ht="18" hidden="1" customHeight="1" outlineLevel="1" x14ac:dyDescent="0.25">
      <c r="A12" s="897"/>
      <c r="B12" s="1531" t="s">
        <v>16</v>
      </c>
      <c r="C12" s="2128">
        <v>1211</v>
      </c>
      <c r="D12" s="2142">
        <f>'Příjmy kapitol celkem'!G13/1000</f>
        <v>80505.411999999997</v>
      </c>
      <c r="E12" s="443">
        <f t="shared" si="1"/>
        <v>80505.411999999997</v>
      </c>
      <c r="F12" s="443">
        <f>+E12</f>
        <v>80505.411999999997</v>
      </c>
      <c r="G12" s="443">
        <f>+F12*1.001</f>
        <v>80585.917411999981</v>
      </c>
      <c r="H12" s="443">
        <f>+G12*1.001</f>
        <v>80666.503329411978</v>
      </c>
      <c r="I12" s="443">
        <f t="shared" si="4"/>
        <v>83489.830945941387</v>
      </c>
      <c r="J12" s="291"/>
    </row>
    <row r="13" spans="1:10" ht="18" hidden="1" customHeight="1" outlineLevel="1" x14ac:dyDescent="0.25">
      <c r="A13" s="898"/>
      <c r="B13" s="1986" t="s">
        <v>18</v>
      </c>
      <c r="C13" s="2129" t="s">
        <v>17</v>
      </c>
      <c r="D13" s="2143">
        <f>'Příjmy kapitol celkem'!G14/1000</f>
        <v>26</v>
      </c>
      <c r="E13" s="1989">
        <f t="shared" ref="E13:E19" si="8">+D13</f>
        <v>26</v>
      </c>
      <c r="F13" s="1989">
        <f t="shared" si="2"/>
        <v>26.26</v>
      </c>
      <c r="G13" s="1989">
        <f t="shared" ref="G13:I19" si="9">+F13*1.03</f>
        <v>27.047800000000002</v>
      </c>
      <c r="H13" s="1989">
        <f t="shared" si="9"/>
        <v>27.859234000000004</v>
      </c>
      <c r="I13" s="1989">
        <f t="shared" si="9"/>
        <v>28.695011020000006</v>
      </c>
      <c r="J13" s="291"/>
    </row>
    <row r="14" spans="1:10" s="292" customFormat="1" ht="18" hidden="1" customHeight="1" outlineLevel="1" x14ac:dyDescent="0.25">
      <c r="A14" s="899"/>
      <c r="B14" s="1986" t="s">
        <v>20</v>
      </c>
      <c r="C14" s="2129" t="s">
        <v>19</v>
      </c>
      <c r="D14" s="2143">
        <f>'Příjmy kapitol celkem'!G15/1000</f>
        <v>7326.5280000000002</v>
      </c>
      <c r="E14" s="1989">
        <f t="shared" si="8"/>
        <v>7326.5280000000002</v>
      </c>
      <c r="F14" s="1989">
        <f>+E14*1.001</f>
        <v>7333.8545279999998</v>
      </c>
      <c r="G14" s="1989">
        <f>+F14*1.001</f>
        <v>7341.1883825279992</v>
      </c>
      <c r="H14" s="1989">
        <f>+G14*1.001</f>
        <v>7348.5295709105267</v>
      </c>
      <c r="I14" s="1989">
        <f>+H14*1.01</f>
        <v>7422.0148666196319</v>
      </c>
      <c r="J14" s="291"/>
    </row>
    <row r="15" spans="1:10" ht="18" hidden="1" customHeight="1" outlineLevel="1" x14ac:dyDescent="0.25">
      <c r="A15" s="898"/>
      <c r="B15" s="1986" t="s">
        <v>21</v>
      </c>
      <c r="C15" s="2129">
        <v>1341</v>
      </c>
      <c r="D15" s="2143">
        <f>'Příjmy kapitol celkem'!G16/1000</f>
        <v>260</v>
      </c>
      <c r="E15" s="1989">
        <f t="shared" si="8"/>
        <v>260</v>
      </c>
      <c r="F15" s="1989">
        <f t="shared" si="2"/>
        <v>262.60000000000002</v>
      </c>
      <c r="G15" s="1989">
        <f t="shared" si="9"/>
        <v>270.47800000000001</v>
      </c>
      <c r="H15" s="1989">
        <f t="shared" si="9"/>
        <v>278.59234000000004</v>
      </c>
      <c r="I15" s="1989">
        <f t="shared" si="9"/>
        <v>286.95011020000004</v>
      </c>
      <c r="J15" s="291"/>
    </row>
    <row r="16" spans="1:10" ht="18" hidden="1" customHeight="1" outlineLevel="1" x14ac:dyDescent="0.25">
      <c r="A16" s="898"/>
      <c r="B16" s="1986" t="s">
        <v>22</v>
      </c>
      <c r="C16" s="2129">
        <v>1343</v>
      </c>
      <c r="D16" s="2143">
        <f>'Příjmy kapitol celkem'!G17/1000</f>
        <v>75</v>
      </c>
      <c r="E16" s="1989">
        <f t="shared" si="8"/>
        <v>75</v>
      </c>
      <c r="F16" s="1989">
        <f t="shared" si="2"/>
        <v>75.75</v>
      </c>
      <c r="G16" s="1989">
        <f t="shared" si="9"/>
        <v>78.022500000000008</v>
      </c>
      <c r="H16" s="1989">
        <f t="shared" si="9"/>
        <v>80.363175000000012</v>
      </c>
      <c r="I16" s="1989">
        <f t="shared" si="9"/>
        <v>82.774070250000008</v>
      </c>
      <c r="J16" s="291"/>
    </row>
    <row r="17" spans="1:10" ht="18" hidden="1" customHeight="1" outlineLevel="1" x14ac:dyDescent="0.25">
      <c r="A17" s="898"/>
      <c r="B17" s="1986" t="s">
        <v>23</v>
      </c>
      <c r="C17" s="2129">
        <v>1344</v>
      </c>
      <c r="D17" s="2143">
        <f>'Příjmy kapitol celkem'!G18/1000</f>
        <v>3</v>
      </c>
      <c r="E17" s="1989">
        <f t="shared" si="8"/>
        <v>3</v>
      </c>
      <c r="F17" s="1989">
        <f t="shared" si="2"/>
        <v>3.0300000000000002</v>
      </c>
      <c r="G17" s="1989">
        <f t="shared" si="9"/>
        <v>3.1209000000000002</v>
      </c>
      <c r="H17" s="1989">
        <f t="shared" si="9"/>
        <v>3.2145270000000004</v>
      </c>
      <c r="I17" s="1989">
        <f t="shared" si="9"/>
        <v>3.3109628100000004</v>
      </c>
      <c r="J17" s="291"/>
    </row>
    <row r="18" spans="1:10" ht="18" hidden="1" customHeight="1" outlineLevel="1" x14ac:dyDescent="0.25">
      <c r="A18" s="898"/>
      <c r="B18" s="1986" t="s">
        <v>24</v>
      </c>
      <c r="C18" s="2129">
        <v>1345</v>
      </c>
      <c r="D18" s="2143">
        <f>'Příjmy kapitol celkem'!G19/1000</f>
        <v>20</v>
      </c>
      <c r="E18" s="1989">
        <f t="shared" si="8"/>
        <v>20</v>
      </c>
      <c r="F18" s="1989">
        <f t="shared" si="2"/>
        <v>20.2</v>
      </c>
      <c r="G18" s="1989">
        <f t="shared" si="9"/>
        <v>20.806000000000001</v>
      </c>
      <c r="H18" s="1989">
        <f t="shared" si="9"/>
        <v>21.43018</v>
      </c>
      <c r="I18" s="1989">
        <f t="shared" si="9"/>
        <v>22.0730854</v>
      </c>
      <c r="J18" s="291"/>
    </row>
    <row r="19" spans="1:10" ht="18" hidden="1" customHeight="1" outlineLevel="1" x14ac:dyDescent="0.25">
      <c r="A19" s="898"/>
      <c r="B19" s="1986" t="s">
        <v>25</v>
      </c>
      <c r="C19" s="2129">
        <v>1347</v>
      </c>
      <c r="D19" s="2143">
        <f>'Příjmy kapitol celkem'!G20/1000</f>
        <v>0</v>
      </c>
      <c r="E19" s="1989">
        <f t="shared" si="8"/>
        <v>0</v>
      </c>
      <c r="F19" s="1989">
        <f t="shared" si="2"/>
        <v>0</v>
      </c>
      <c r="G19" s="1989">
        <f t="shared" si="9"/>
        <v>0</v>
      </c>
      <c r="H19" s="1989">
        <f t="shared" si="9"/>
        <v>0</v>
      </c>
      <c r="I19" s="1989">
        <f t="shared" si="9"/>
        <v>0</v>
      </c>
      <c r="J19" s="291"/>
    </row>
    <row r="20" spans="1:10" ht="18" hidden="1" customHeight="1" outlineLevel="1" x14ac:dyDescent="0.25">
      <c r="A20" s="898"/>
      <c r="B20" s="1986" t="s">
        <v>27</v>
      </c>
      <c r="C20" s="2129" t="s">
        <v>26</v>
      </c>
      <c r="D20" s="2143">
        <f>'Příjmy kapitol celkem'!G21/1000</f>
        <v>2500</v>
      </c>
      <c r="E20" s="1989"/>
      <c r="F20" s="1989"/>
      <c r="G20" s="1989"/>
      <c r="H20" s="1989"/>
      <c r="I20" s="1989"/>
      <c r="J20" s="291"/>
    </row>
    <row r="21" spans="1:10" s="292" customFormat="1" hidden="1" outlineLevel="1" x14ac:dyDescent="0.25">
      <c r="A21" s="899"/>
      <c r="B21" s="1990" t="s">
        <v>481</v>
      </c>
      <c r="C21" s="2129" t="s">
        <v>26</v>
      </c>
      <c r="D21" s="2143">
        <f>'Příjmy kapitol celkem'!G22/1000</f>
        <v>5000</v>
      </c>
      <c r="E21" s="1989">
        <v>6936</v>
      </c>
      <c r="F21" s="1989">
        <v>4516</v>
      </c>
      <c r="G21" s="1989">
        <v>7368</v>
      </c>
      <c r="H21" s="1989"/>
      <c r="I21" s="1989"/>
      <c r="J21" s="291"/>
    </row>
    <row r="22" spans="1:10" ht="18" hidden="1" customHeight="1" outlineLevel="1" x14ac:dyDescent="0.25">
      <c r="A22" s="898"/>
      <c r="B22" s="1986" t="s">
        <v>483</v>
      </c>
      <c r="C22" s="2129">
        <v>1355</v>
      </c>
      <c r="D22" s="2143">
        <f>'Příjmy kapitol celkem'!G23/1000</f>
        <v>3100</v>
      </c>
      <c r="E22" s="1989">
        <f>+D22</f>
        <v>3100</v>
      </c>
      <c r="F22" s="1989">
        <f>+E22</f>
        <v>3100</v>
      </c>
      <c r="G22" s="1989">
        <f t="shared" ref="G22:I22" si="10">+F22</f>
        <v>3100</v>
      </c>
      <c r="H22" s="1989">
        <f t="shared" si="10"/>
        <v>3100</v>
      </c>
      <c r="I22" s="1989">
        <f t="shared" si="10"/>
        <v>3100</v>
      </c>
      <c r="J22" s="291"/>
    </row>
    <row r="23" spans="1:10" ht="18" hidden="1" customHeight="1" outlineLevel="1" x14ac:dyDescent="0.25">
      <c r="A23" s="898"/>
      <c r="B23" s="1986" t="s">
        <v>29</v>
      </c>
      <c r="C23" s="2129" t="s">
        <v>28</v>
      </c>
      <c r="D23" s="2143">
        <f>'Příjmy kapitol celkem'!G24/1000</f>
        <v>1000</v>
      </c>
      <c r="E23" s="1989">
        <f>+D23</f>
        <v>1000</v>
      </c>
      <c r="F23" s="1989">
        <f t="shared" ref="F23:I25" si="11">+E23</f>
        <v>1000</v>
      </c>
      <c r="G23" s="1989">
        <f t="shared" si="11"/>
        <v>1000</v>
      </c>
      <c r="H23" s="1989">
        <f t="shared" si="11"/>
        <v>1000</v>
      </c>
      <c r="I23" s="1989">
        <f t="shared" si="11"/>
        <v>1000</v>
      </c>
      <c r="J23" s="291"/>
    </row>
    <row r="24" spans="1:10" ht="18" hidden="1" customHeight="1" outlineLevel="1" x14ac:dyDescent="0.25">
      <c r="A24" s="898"/>
      <c r="B24" s="1986" t="s">
        <v>31</v>
      </c>
      <c r="C24" s="2129" t="s">
        <v>30</v>
      </c>
      <c r="D24" s="2143">
        <f>'Příjmy kapitol celkem'!G25/1000</f>
        <v>1500</v>
      </c>
      <c r="E24" s="1989">
        <f>+D24</f>
        <v>1500</v>
      </c>
      <c r="F24" s="1989">
        <f t="shared" si="11"/>
        <v>1500</v>
      </c>
      <c r="G24" s="1989">
        <f t="shared" si="11"/>
        <v>1500</v>
      </c>
      <c r="H24" s="1989">
        <f t="shared" si="11"/>
        <v>1500</v>
      </c>
      <c r="I24" s="1989">
        <f t="shared" si="11"/>
        <v>1500</v>
      </c>
      <c r="J24" s="291"/>
    </row>
    <row r="25" spans="1:10" s="292" customFormat="1" ht="18" hidden="1" customHeight="1" outlineLevel="1" x14ac:dyDescent="0.25">
      <c r="A25" s="899"/>
      <c r="B25" s="1531" t="s">
        <v>32</v>
      </c>
      <c r="C25" s="2128">
        <v>1511</v>
      </c>
      <c r="D25" s="2142">
        <f>'Příjmy kapitol celkem'!G26/1000</f>
        <v>7810</v>
      </c>
      <c r="E25" s="443">
        <f>+D25</f>
        <v>7810</v>
      </c>
      <c r="F25" s="443">
        <f t="shared" si="11"/>
        <v>7810</v>
      </c>
      <c r="G25" s="443">
        <f t="shared" si="11"/>
        <v>7810</v>
      </c>
      <c r="H25" s="443">
        <f t="shared" si="11"/>
        <v>7810</v>
      </c>
      <c r="I25" s="443">
        <f t="shared" si="11"/>
        <v>7810</v>
      </c>
      <c r="J25" s="291"/>
    </row>
    <row r="26" spans="1:10" ht="13.5" customHeight="1" collapsed="1" thickTop="1" x14ac:dyDescent="0.25">
      <c r="A26" s="898"/>
      <c r="B26" s="1528"/>
      <c r="C26" s="2130"/>
      <c r="D26" s="844"/>
      <c r="E26" s="1525"/>
      <c r="F26" s="1525"/>
      <c r="G26" s="1525"/>
      <c r="H26" s="1525"/>
      <c r="I26" s="1525"/>
      <c r="J26" s="291"/>
    </row>
    <row r="27" spans="1:10" s="282" customFormat="1" ht="17.25" thickBot="1" x14ac:dyDescent="0.35">
      <c r="A27" s="1937" t="s">
        <v>224</v>
      </c>
      <c r="B27" s="1938" t="s">
        <v>225</v>
      </c>
      <c r="C27" s="1939"/>
      <c r="D27" s="2144">
        <f>SUM(D28:D72)</f>
        <v>29226.267</v>
      </c>
      <c r="E27" s="1941">
        <f t="shared" ref="E27:I27" si="12">SUM(E28:E72)</f>
        <v>21363.772000000001</v>
      </c>
      <c r="F27" s="1941">
        <f t="shared" si="12"/>
        <v>14637.382</v>
      </c>
      <c r="G27" s="1941">
        <f t="shared" si="12"/>
        <v>14637.382</v>
      </c>
      <c r="H27" s="1941">
        <f t="shared" si="12"/>
        <v>14637.382</v>
      </c>
      <c r="I27" s="1941">
        <f t="shared" si="12"/>
        <v>14637.382</v>
      </c>
      <c r="J27" s="291"/>
    </row>
    <row r="28" spans="1:10" ht="16.5" hidden="1" customHeight="1" outlineLevel="1" thickTop="1" x14ac:dyDescent="0.25">
      <c r="A28" s="898"/>
      <c r="B28" s="1533" t="s">
        <v>34</v>
      </c>
      <c r="C28" s="2131" t="s">
        <v>33</v>
      </c>
      <c r="D28" s="841">
        <f>'Příjmy kapitol celkem'!G27/1000</f>
        <v>0</v>
      </c>
      <c r="E28" s="902"/>
      <c r="F28" s="902"/>
      <c r="G28" s="902"/>
      <c r="H28" s="902"/>
      <c r="I28" s="902"/>
      <c r="J28" s="291"/>
    </row>
    <row r="29" spans="1:10" ht="17.25" hidden="1" customHeight="1" outlineLevel="1" x14ac:dyDescent="0.25">
      <c r="A29" s="898"/>
      <c r="B29" s="1526" t="s">
        <v>676</v>
      </c>
      <c r="C29" s="2132" t="s">
        <v>35</v>
      </c>
      <c r="D29" s="843">
        <f>'Příjmy kapitol celkem'!G29/1000</f>
        <v>60</v>
      </c>
      <c r="E29" s="212">
        <f>+D29</f>
        <v>60</v>
      </c>
      <c r="F29" s="212">
        <f t="shared" ref="F29:I29" si="13">+E29</f>
        <v>60</v>
      </c>
      <c r="G29" s="212">
        <f t="shared" si="13"/>
        <v>60</v>
      </c>
      <c r="H29" s="212">
        <f t="shared" si="13"/>
        <v>60</v>
      </c>
      <c r="I29" s="212">
        <f t="shared" si="13"/>
        <v>60</v>
      </c>
      <c r="J29" s="291"/>
    </row>
    <row r="30" spans="1:10" ht="17.25" hidden="1" customHeight="1" outlineLevel="1" x14ac:dyDescent="0.25">
      <c r="A30" s="898"/>
      <c r="B30" s="1526" t="s">
        <v>1546</v>
      </c>
      <c r="C30" s="2132">
        <v>2111</v>
      </c>
      <c r="D30" s="843">
        <f>'Příjmy kapitol celkem'!G31/1000</f>
        <v>21.95</v>
      </c>
      <c r="E30" s="212">
        <f>+D30</f>
        <v>21.95</v>
      </c>
      <c r="F30" s="212">
        <f t="shared" ref="F30:I30" si="14">+E30</f>
        <v>21.95</v>
      </c>
      <c r="G30" s="212">
        <f t="shared" si="14"/>
        <v>21.95</v>
      </c>
      <c r="H30" s="212">
        <f t="shared" si="14"/>
        <v>21.95</v>
      </c>
      <c r="I30" s="212">
        <f t="shared" si="14"/>
        <v>21.95</v>
      </c>
      <c r="J30" s="291"/>
    </row>
    <row r="31" spans="1:10" ht="17.25" hidden="1" customHeight="1" outlineLevel="1" x14ac:dyDescent="0.25">
      <c r="A31" s="898"/>
      <c r="B31" s="1526" t="s">
        <v>1547</v>
      </c>
      <c r="C31" s="2132">
        <v>2322</v>
      </c>
      <c r="D31" s="843">
        <f>'Příjmy kapitol celkem'!G32/1000</f>
        <v>466.1</v>
      </c>
      <c r="E31" s="212"/>
      <c r="F31" s="212"/>
      <c r="G31" s="212"/>
      <c r="H31" s="212"/>
      <c r="I31" s="212"/>
      <c r="J31" s="291"/>
    </row>
    <row r="32" spans="1:10" s="288" customFormat="1" ht="17.25" hidden="1" customHeight="1" outlineLevel="1" x14ac:dyDescent="0.25">
      <c r="A32" s="897"/>
      <c r="B32" s="1531" t="s">
        <v>42</v>
      </c>
      <c r="C32" s="2128" t="s">
        <v>41</v>
      </c>
      <c r="D32" s="2142">
        <f>'Příjmy kapitol celkem'!G33/1000</f>
        <v>4806.12</v>
      </c>
      <c r="E32" s="443">
        <f>+D32/2</f>
        <v>2403.06</v>
      </c>
      <c r="F32" s="443"/>
      <c r="G32" s="443"/>
      <c r="H32" s="443"/>
      <c r="I32" s="443"/>
      <c r="J32" s="291"/>
    </row>
    <row r="33" spans="1:10" s="288" customFormat="1" ht="17.25" hidden="1" customHeight="1" outlineLevel="1" x14ac:dyDescent="0.25">
      <c r="A33" s="897"/>
      <c r="B33" s="1531" t="s">
        <v>44</v>
      </c>
      <c r="C33" s="2128" t="s">
        <v>41</v>
      </c>
      <c r="D33" s="2142">
        <f>'Příjmy kapitol celkem'!G34/1000</f>
        <v>8646.66</v>
      </c>
      <c r="E33" s="443">
        <f>+D33/2</f>
        <v>4323.33</v>
      </c>
      <c r="F33" s="443"/>
      <c r="G33" s="443"/>
      <c r="H33" s="443"/>
      <c r="I33" s="443"/>
      <c r="J33" s="291"/>
    </row>
    <row r="34" spans="1:10" ht="17.25" hidden="1" customHeight="1" outlineLevel="1" x14ac:dyDescent="0.25">
      <c r="A34" s="898"/>
      <c r="B34" s="1526" t="s">
        <v>46</v>
      </c>
      <c r="C34" s="2132" t="s">
        <v>45</v>
      </c>
      <c r="D34" s="843">
        <f>'Příjmy kapitol celkem'!G35/1000</f>
        <v>50</v>
      </c>
      <c r="E34" s="212">
        <f>+D34</f>
        <v>50</v>
      </c>
      <c r="F34" s="212">
        <f t="shared" ref="F34:I34" si="15">+E34</f>
        <v>50</v>
      </c>
      <c r="G34" s="212">
        <f t="shared" si="15"/>
        <v>50</v>
      </c>
      <c r="H34" s="212">
        <f t="shared" si="15"/>
        <v>50</v>
      </c>
      <c r="I34" s="212">
        <f t="shared" si="15"/>
        <v>50</v>
      </c>
      <c r="J34" s="291"/>
    </row>
    <row r="35" spans="1:10" ht="17.25" hidden="1" customHeight="1" outlineLevel="1" x14ac:dyDescent="0.25">
      <c r="A35" s="898"/>
      <c r="B35" s="1526" t="s">
        <v>47</v>
      </c>
      <c r="C35" s="2132" t="s">
        <v>41</v>
      </c>
      <c r="D35" s="843">
        <f>'Příjmy kapitol celkem'!G36/1000</f>
        <v>249</v>
      </c>
      <c r="E35" s="212">
        <f>+D35</f>
        <v>249</v>
      </c>
      <c r="F35" s="212">
        <f t="shared" ref="F35:I35" si="16">+E35</f>
        <v>249</v>
      </c>
      <c r="G35" s="212">
        <f t="shared" si="16"/>
        <v>249</v>
      </c>
      <c r="H35" s="212">
        <f t="shared" si="16"/>
        <v>249</v>
      </c>
      <c r="I35" s="212">
        <f t="shared" si="16"/>
        <v>249</v>
      </c>
      <c r="J35" s="291"/>
    </row>
    <row r="36" spans="1:10" ht="17.25" hidden="1" customHeight="1" outlineLevel="1" x14ac:dyDescent="0.25">
      <c r="A36" s="898"/>
      <c r="B36" s="1526" t="s">
        <v>48</v>
      </c>
      <c r="C36" s="2132">
        <v>2111</v>
      </c>
      <c r="D36" s="843">
        <f>'Příjmy kapitol celkem'!G37/1000</f>
        <v>50</v>
      </c>
      <c r="E36" s="212">
        <f>+D36</f>
        <v>50</v>
      </c>
      <c r="F36" s="212">
        <f t="shared" ref="F36:I36" si="17">+E36</f>
        <v>50</v>
      </c>
      <c r="G36" s="212">
        <f t="shared" si="17"/>
        <v>50</v>
      </c>
      <c r="H36" s="212">
        <f t="shared" si="17"/>
        <v>50</v>
      </c>
      <c r="I36" s="212">
        <f t="shared" si="17"/>
        <v>50</v>
      </c>
      <c r="J36" s="291"/>
    </row>
    <row r="37" spans="1:10" ht="17.25" hidden="1" customHeight="1" outlineLevel="1" x14ac:dyDescent="0.25">
      <c r="A37" s="898"/>
      <c r="B37" s="1526" t="s">
        <v>1548</v>
      </c>
      <c r="C37" s="2132">
        <v>2321</v>
      </c>
      <c r="D37" s="843">
        <f>'Příjmy kapitol celkem'!G38/1000</f>
        <v>0</v>
      </c>
      <c r="E37" s="212"/>
      <c r="F37" s="212"/>
      <c r="G37" s="212"/>
      <c r="H37" s="212"/>
      <c r="I37" s="212"/>
      <c r="J37" s="291"/>
    </row>
    <row r="38" spans="1:10" ht="17.25" hidden="1" customHeight="1" outlineLevel="1" x14ac:dyDescent="0.25">
      <c r="A38" s="898"/>
      <c r="B38" s="1526" t="s">
        <v>49</v>
      </c>
      <c r="C38" s="2132">
        <v>2111</v>
      </c>
      <c r="D38" s="843">
        <f>'Příjmy kapitol celkem'!G39/1000</f>
        <v>250</v>
      </c>
      <c r="E38" s="212">
        <f>+D38</f>
        <v>250</v>
      </c>
      <c r="F38" s="212">
        <f t="shared" ref="F38:I38" si="18">+E38</f>
        <v>250</v>
      </c>
      <c r="G38" s="212">
        <f t="shared" si="18"/>
        <v>250</v>
      </c>
      <c r="H38" s="212">
        <f t="shared" si="18"/>
        <v>250</v>
      </c>
      <c r="I38" s="212">
        <f t="shared" si="18"/>
        <v>250</v>
      </c>
      <c r="J38" s="291"/>
    </row>
    <row r="39" spans="1:10" ht="17.25" hidden="1" customHeight="1" outlineLevel="1" x14ac:dyDescent="0.25">
      <c r="A39" s="898"/>
      <c r="B39" s="1526" t="s">
        <v>50</v>
      </c>
      <c r="C39" s="2132" t="s">
        <v>45</v>
      </c>
      <c r="D39" s="843">
        <f>'Příjmy kapitol celkem'!G40/1000</f>
        <v>70</v>
      </c>
      <c r="E39" s="212">
        <f>+D39</f>
        <v>70</v>
      </c>
      <c r="F39" s="212">
        <f t="shared" ref="F39:I39" si="19">+E39</f>
        <v>70</v>
      </c>
      <c r="G39" s="212">
        <f t="shared" si="19"/>
        <v>70</v>
      </c>
      <c r="H39" s="212">
        <f t="shared" si="19"/>
        <v>70</v>
      </c>
      <c r="I39" s="212">
        <f t="shared" si="19"/>
        <v>70</v>
      </c>
      <c r="J39" s="291"/>
    </row>
    <row r="40" spans="1:10" ht="17.25" hidden="1" customHeight="1" outlineLevel="1" x14ac:dyDescent="0.25">
      <c r="A40" s="898"/>
      <c r="B40" s="1526" t="s">
        <v>51</v>
      </c>
      <c r="C40" s="2132">
        <v>2132</v>
      </c>
      <c r="D40" s="843">
        <f>'Příjmy kapitol celkem'!G41/1000</f>
        <v>660.01</v>
      </c>
      <c r="E40" s="212">
        <f>+'Příjmy kapitol celkem'!O41/1000</f>
        <v>330.005</v>
      </c>
      <c r="F40" s="212">
        <f>+'Příjmy kapitol celkem'!P41/1000</f>
        <v>330.005</v>
      </c>
      <c r="G40" s="212">
        <f>+'Příjmy kapitol celkem'!Q41/1000</f>
        <v>330.005</v>
      </c>
      <c r="H40" s="212">
        <f>+'Příjmy kapitol celkem'!R41/1000</f>
        <v>330.005</v>
      </c>
      <c r="I40" s="212">
        <f>+'Příjmy kapitol celkem'!S41/1000</f>
        <v>330.005</v>
      </c>
      <c r="J40" s="291"/>
    </row>
    <row r="41" spans="1:10" ht="17.25" hidden="1" customHeight="1" outlineLevel="1" x14ac:dyDescent="0.25">
      <c r="A41" s="898"/>
      <c r="B41" s="1526" t="s">
        <v>52</v>
      </c>
      <c r="C41" s="2132">
        <v>2132</v>
      </c>
      <c r="D41" s="843">
        <f>'Příjmy kapitol celkem'!G42/1000</f>
        <v>828.8</v>
      </c>
      <c r="E41" s="212">
        <f>+D41</f>
        <v>828.8</v>
      </c>
      <c r="F41" s="212">
        <f t="shared" ref="F41:I41" si="20">+E41</f>
        <v>828.8</v>
      </c>
      <c r="G41" s="212">
        <f t="shared" si="20"/>
        <v>828.8</v>
      </c>
      <c r="H41" s="212">
        <f t="shared" si="20"/>
        <v>828.8</v>
      </c>
      <c r="I41" s="212">
        <f t="shared" si="20"/>
        <v>828.8</v>
      </c>
      <c r="J41" s="291"/>
    </row>
    <row r="42" spans="1:10" ht="17.25" hidden="1" customHeight="1" outlineLevel="1" x14ac:dyDescent="0.25">
      <c r="A42" s="898"/>
      <c r="B42" s="1526" t="s">
        <v>53</v>
      </c>
      <c r="C42" s="2132">
        <v>2111</v>
      </c>
      <c r="D42" s="843">
        <f>'Příjmy kapitol celkem'!G43/1000</f>
        <v>2950.8319999999999</v>
      </c>
      <c r="E42" s="212">
        <f>+D42</f>
        <v>2950.8319999999999</v>
      </c>
      <c r="F42" s="212">
        <f t="shared" ref="F42:I42" si="21">+E42</f>
        <v>2950.8319999999999</v>
      </c>
      <c r="G42" s="212">
        <f t="shared" si="21"/>
        <v>2950.8319999999999</v>
      </c>
      <c r="H42" s="212">
        <f t="shared" si="21"/>
        <v>2950.8319999999999</v>
      </c>
      <c r="I42" s="212">
        <f t="shared" si="21"/>
        <v>2950.8319999999999</v>
      </c>
      <c r="J42" s="291"/>
    </row>
    <row r="43" spans="1:10" ht="17.25" hidden="1" customHeight="1" outlineLevel="1" x14ac:dyDescent="0.25">
      <c r="A43" s="898"/>
      <c r="B43" s="1526" t="s">
        <v>54</v>
      </c>
      <c r="C43" s="2132">
        <v>2132</v>
      </c>
      <c r="D43" s="843">
        <f>'Příjmy kapitol celkem'!G44/1000</f>
        <v>4800</v>
      </c>
      <c r="E43" s="212">
        <f>+D43</f>
        <v>4800</v>
      </c>
      <c r="F43" s="212">
        <f t="shared" ref="F43:I43" si="22">+E43</f>
        <v>4800</v>
      </c>
      <c r="G43" s="212">
        <f t="shared" si="22"/>
        <v>4800</v>
      </c>
      <c r="H43" s="212">
        <f t="shared" si="22"/>
        <v>4800</v>
      </c>
      <c r="I43" s="212">
        <f t="shared" si="22"/>
        <v>4800</v>
      </c>
      <c r="J43" s="291"/>
    </row>
    <row r="44" spans="1:10" ht="17.25" hidden="1" customHeight="1" outlineLevel="1" x14ac:dyDescent="0.25">
      <c r="A44" s="898"/>
      <c r="B44" s="1526" t="s">
        <v>1549</v>
      </c>
      <c r="C44" s="2132">
        <v>2322</v>
      </c>
      <c r="D44" s="843">
        <f>'Příjmy kapitol celkem'!G45/1000</f>
        <v>0</v>
      </c>
      <c r="E44" s="212"/>
      <c r="F44" s="212"/>
      <c r="G44" s="212"/>
      <c r="H44" s="212"/>
      <c r="I44" s="212"/>
      <c r="J44" s="291"/>
    </row>
    <row r="45" spans="1:10" ht="17.25" hidden="1" customHeight="1" outlineLevel="1" x14ac:dyDescent="0.25">
      <c r="A45" s="898"/>
      <c r="B45" s="1526" t="s">
        <v>1243</v>
      </c>
      <c r="C45" s="2132">
        <v>3122</v>
      </c>
      <c r="D45" s="843">
        <f>'Příjmy kapitol celkem'!G46/1000</f>
        <v>0</v>
      </c>
      <c r="E45" s="212"/>
      <c r="F45" s="212"/>
      <c r="G45" s="212"/>
      <c r="H45" s="212"/>
      <c r="I45" s="212"/>
      <c r="J45" s="291"/>
    </row>
    <row r="46" spans="1:10" ht="17.25" hidden="1" customHeight="1" outlineLevel="1" x14ac:dyDescent="0.25">
      <c r="A46" s="898"/>
      <c r="B46" s="1526" t="s">
        <v>55</v>
      </c>
      <c r="C46" s="2132" t="s">
        <v>45</v>
      </c>
      <c r="D46" s="843">
        <f>'Příjmy kapitol celkem'!G47/1000</f>
        <v>81</v>
      </c>
      <c r="E46" s="212">
        <f t="shared" ref="E46:E51" si="23">+D46</f>
        <v>81</v>
      </c>
      <c r="F46" s="212">
        <f t="shared" ref="F46:I46" si="24">+E46</f>
        <v>81</v>
      </c>
      <c r="G46" s="212">
        <f t="shared" si="24"/>
        <v>81</v>
      </c>
      <c r="H46" s="212">
        <f t="shared" si="24"/>
        <v>81</v>
      </c>
      <c r="I46" s="212">
        <f t="shared" si="24"/>
        <v>81</v>
      </c>
      <c r="J46" s="291"/>
    </row>
    <row r="47" spans="1:10" ht="17.25" hidden="1" customHeight="1" outlineLevel="1" x14ac:dyDescent="0.25">
      <c r="A47" s="898"/>
      <c r="B47" s="1526" t="s">
        <v>504</v>
      </c>
      <c r="C47" s="2132">
        <v>2132</v>
      </c>
      <c r="D47" s="843">
        <f>'Příjmy kapitol celkem'!G48/1000</f>
        <v>179.39500000000001</v>
      </c>
      <c r="E47" s="212">
        <f t="shared" si="23"/>
        <v>179.39500000000001</v>
      </c>
      <c r="F47" s="212">
        <f t="shared" ref="F47:I47" si="25">+E47</f>
        <v>179.39500000000001</v>
      </c>
      <c r="G47" s="212">
        <f t="shared" si="25"/>
        <v>179.39500000000001</v>
      </c>
      <c r="H47" s="212">
        <f t="shared" si="25"/>
        <v>179.39500000000001</v>
      </c>
      <c r="I47" s="212">
        <f t="shared" si="25"/>
        <v>179.39500000000001</v>
      </c>
      <c r="J47" s="291"/>
    </row>
    <row r="48" spans="1:10" ht="17.25" hidden="1" customHeight="1" outlineLevel="1" x14ac:dyDescent="0.25">
      <c r="A48" s="898"/>
      <c r="B48" s="1526" t="s">
        <v>746</v>
      </c>
      <c r="C48" s="2132">
        <v>2111</v>
      </c>
      <c r="D48" s="843">
        <f>'Příjmy kapitol celkem'!G49/1000</f>
        <v>78</v>
      </c>
      <c r="E48" s="212">
        <f t="shared" si="23"/>
        <v>78</v>
      </c>
      <c r="F48" s="212">
        <f t="shared" ref="F48:I48" si="26">+E48</f>
        <v>78</v>
      </c>
      <c r="G48" s="212">
        <f t="shared" si="26"/>
        <v>78</v>
      </c>
      <c r="H48" s="212">
        <f t="shared" si="26"/>
        <v>78</v>
      </c>
      <c r="I48" s="212">
        <f t="shared" si="26"/>
        <v>78</v>
      </c>
      <c r="J48" s="291"/>
    </row>
    <row r="49" spans="1:10" ht="17.25" hidden="1" customHeight="1" outlineLevel="1" x14ac:dyDescent="0.25">
      <c r="A49" s="898"/>
      <c r="B49" s="1526" t="s">
        <v>56</v>
      </c>
      <c r="C49" s="2132">
        <v>2132</v>
      </c>
      <c r="D49" s="843">
        <f>'Příjmy kapitol celkem'!G50/1000</f>
        <v>400</v>
      </c>
      <c r="E49" s="212">
        <f t="shared" si="23"/>
        <v>400</v>
      </c>
      <c r="F49" s="212">
        <f t="shared" ref="F49:I49" si="27">+E49</f>
        <v>400</v>
      </c>
      <c r="G49" s="212">
        <f t="shared" si="27"/>
        <v>400</v>
      </c>
      <c r="H49" s="212">
        <f t="shared" si="27"/>
        <v>400</v>
      </c>
      <c r="I49" s="212">
        <f t="shared" si="27"/>
        <v>400</v>
      </c>
      <c r="J49" s="291"/>
    </row>
    <row r="50" spans="1:10" ht="17.25" hidden="1" customHeight="1" outlineLevel="1" x14ac:dyDescent="0.25">
      <c r="A50" s="898"/>
      <c r="B50" s="1526" t="s">
        <v>489</v>
      </c>
      <c r="C50" s="2132">
        <v>2132</v>
      </c>
      <c r="D50" s="843">
        <f>'Příjmy kapitol celkem'!G51/1000</f>
        <v>1063</v>
      </c>
      <c r="E50" s="212">
        <f t="shared" si="23"/>
        <v>1063</v>
      </c>
      <c r="F50" s="212">
        <f t="shared" ref="F50:I50" si="28">+E50</f>
        <v>1063</v>
      </c>
      <c r="G50" s="212">
        <f t="shared" si="28"/>
        <v>1063</v>
      </c>
      <c r="H50" s="212">
        <f t="shared" si="28"/>
        <v>1063</v>
      </c>
      <c r="I50" s="212">
        <f t="shared" si="28"/>
        <v>1063</v>
      </c>
      <c r="J50" s="291"/>
    </row>
    <row r="51" spans="1:10" s="292" customFormat="1" ht="17.25" hidden="1" customHeight="1" outlineLevel="1" x14ac:dyDescent="0.25">
      <c r="A51" s="899"/>
      <c r="B51" s="1986" t="s">
        <v>57</v>
      </c>
      <c r="C51" s="2129">
        <v>2111</v>
      </c>
      <c r="D51" s="843">
        <f>'Příjmy kapitol celkem'!G52/1000</f>
        <v>250</v>
      </c>
      <c r="E51" s="212">
        <f t="shared" si="23"/>
        <v>250</v>
      </c>
      <c r="F51" s="212">
        <f t="shared" ref="F51:I51" si="29">+E51</f>
        <v>250</v>
      </c>
      <c r="G51" s="212">
        <f t="shared" si="29"/>
        <v>250</v>
      </c>
      <c r="H51" s="212">
        <f t="shared" si="29"/>
        <v>250</v>
      </c>
      <c r="I51" s="212">
        <f t="shared" si="29"/>
        <v>250</v>
      </c>
      <c r="J51" s="291"/>
    </row>
    <row r="52" spans="1:10" s="292" customFormat="1" ht="17.25" hidden="1" customHeight="1" outlineLevel="1" x14ac:dyDescent="0.25">
      <c r="A52" s="899"/>
      <c r="B52" s="1986" t="s">
        <v>1550</v>
      </c>
      <c r="C52" s="2129">
        <v>2321</v>
      </c>
      <c r="D52" s="843">
        <f>'Příjmy kapitol celkem'!G53/1000</f>
        <v>300</v>
      </c>
      <c r="E52" s="212"/>
      <c r="F52" s="212"/>
      <c r="G52" s="212"/>
      <c r="H52" s="212"/>
      <c r="I52" s="212"/>
      <c r="J52" s="291"/>
    </row>
    <row r="53" spans="1:10" s="292" customFormat="1" ht="17.25" hidden="1" customHeight="1" outlineLevel="1" x14ac:dyDescent="0.25">
      <c r="A53" s="899"/>
      <c r="B53" s="1986" t="s">
        <v>1549</v>
      </c>
      <c r="C53" s="2129">
        <v>2322</v>
      </c>
      <c r="D53" s="843">
        <f>'Příjmy kapitol celkem'!G54/1000</f>
        <v>0</v>
      </c>
      <c r="E53" s="212"/>
      <c r="F53" s="212"/>
      <c r="G53" s="212"/>
      <c r="H53" s="212"/>
      <c r="I53" s="212"/>
      <c r="J53" s="291"/>
    </row>
    <row r="54" spans="1:10" ht="17.25" hidden="1" customHeight="1" outlineLevel="1" x14ac:dyDescent="0.25">
      <c r="A54" s="898"/>
      <c r="B54" s="1526" t="s">
        <v>969</v>
      </c>
      <c r="C54" s="2132" t="s">
        <v>45</v>
      </c>
      <c r="D54" s="843">
        <f>'Příjmy kapitol celkem'!G55/1000</f>
        <v>1950</v>
      </c>
      <c r="E54" s="212">
        <f>+D54</f>
        <v>1950</v>
      </c>
      <c r="F54" s="212">
        <f t="shared" ref="F54:I54" si="30">+E54</f>
        <v>1950</v>
      </c>
      <c r="G54" s="212">
        <f t="shared" si="30"/>
        <v>1950</v>
      </c>
      <c r="H54" s="212">
        <f t="shared" si="30"/>
        <v>1950</v>
      </c>
      <c r="I54" s="212">
        <f t="shared" si="30"/>
        <v>1950</v>
      </c>
      <c r="J54" s="291"/>
    </row>
    <row r="55" spans="1:10" ht="17.25" hidden="1" customHeight="1" outlineLevel="1" x14ac:dyDescent="0.25">
      <c r="A55" s="898"/>
      <c r="B55" s="1526" t="s">
        <v>478</v>
      </c>
      <c r="C55" s="2132" t="s">
        <v>45</v>
      </c>
      <c r="D55" s="843">
        <f>'Příjmy kapitol celkem'!G56/1000</f>
        <v>600</v>
      </c>
      <c r="E55" s="212">
        <f>+D55</f>
        <v>600</v>
      </c>
      <c r="F55" s="212">
        <f t="shared" ref="F55:I55" si="31">+E55</f>
        <v>600</v>
      </c>
      <c r="G55" s="212">
        <f t="shared" si="31"/>
        <v>600</v>
      </c>
      <c r="H55" s="212">
        <f t="shared" si="31"/>
        <v>600</v>
      </c>
      <c r="I55" s="212">
        <f t="shared" si="31"/>
        <v>600</v>
      </c>
      <c r="J55" s="291"/>
    </row>
    <row r="56" spans="1:10" ht="17.25" hidden="1" customHeight="1" outlineLevel="1" x14ac:dyDescent="0.25">
      <c r="A56" s="898"/>
      <c r="B56" s="1526" t="s">
        <v>747</v>
      </c>
      <c r="C56" s="2132">
        <v>2111</v>
      </c>
      <c r="D56" s="843">
        <f>'Příjmy kapitol celkem'!G57/1000</f>
        <v>20</v>
      </c>
      <c r="E56" s="212">
        <f>+D56</f>
        <v>20</v>
      </c>
      <c r="F56" s="212">
        <f t="shared" ref="F56:I56" si="32">+E56</f>
        <v>20</v>
      </c>
      <c r="G56" s="212">
        <f t="shared" si="32"/>
        <v>20</v>
      </c>
      <c r="H56" s="212">
        <f t="shared" si="32"/>
        <v>20</v>
      </c>
      <c r="I56" s="212">
        <f t="shared" si="32"/>
        <v>20</v>
      </c>
      <c r="J56" s="291"/>
    </row>
    <row r="57" spans="1:10" ht="17.25" hidden="1" customHeight="1" outlineLevel="1" x14ac:dyDescent="0.25">
      <c r="A57" s="898"/>
      <c r="B57" s="1526" t="s">
        <v>1448</v>
      </c>
      <c r="C57" s="2132">
        <v>2321</v>
      </c>
      <c r="D57" s="843">
        <f>'Příjmy kapitol celkem'!G58/1000</f>
        <v>0</v>
      </c>
      <c r="E57" s="212"/>
      <c r="F57" s="212"/>
      <c r="G57" s="212"/>
      <c r="H57" s="212"/>
      <c r="I57" s="212"/>
      <c r="J57" s="291"/>
    </row>
    <row r="58" spans="1:10" ht="17.25" hidden="1" customHeight="1" outlineLevel="1" x14ac:dyDescent="0.25">
      <c r="A58" s="898"/>
      <c r="B58" s="1526" t="s">
        <v>1520</v>
      </c>
      <c r="C58" s="2132">
        <v>2321</v>
      </c>
      <c r="D58" s="843">
        <f>'Příjmy kapitol celkem'!G60/1000</f>
        <v>0</v>
      </c>
      <c r="E58" s="212"/>
      <c r="F58" s="212"/>
      <c r="G58" s="212"/>
      <c r="H58" s="212"/>
      <c r="I58" s="212"/>
      <c r="J58" s="291"/>
    </row>
    <row r="59" spans="1:10" ht="17.25" hidden="1" customHeight="1" outlineLevel="1" x14ac:dyDescent="0.25">
      <c r="A59" s="898"/>
      <c r="B59" s="1526" t="s">
        <v>748</v>
      </c>
      <c r="C59" s="2132">
        <v>2132</v>
      </c>
      <c r="D59" s="843">
        <f>'Příjmy kapitol celkem'!G61/1000</f>
        <v>24</v>
      </c>
      <c r="E59" s="212">
        <f>+D59</f>
        <v>24</v>
      </c>
      <c r="F59" s="212">
        <f t="shared" ref="F59:I59" si="33">+E59</f>
        <v>24</v>
      </c>
      <c r="G59" s="212">
        <f t="shared" si="33"/>
        <v>24</v>
      </c>
      <c r="H59" s="212">
        <f t="shared" si="33"/>
        <v>24</v>
      </c>
      <c r="I59" s="212">
        <f t="shared" si="33"/>
        <v>24</v>
      </c>
      <c r="J59" s="291"/>
    </row>
    <row r="60" spans="1:10" ht="17.25" hidden="1" customHeight="1" outlineLevel="1" x14ac:dyDescent="0.25">
      <c r="A60" s="898"/>
      <c r="B60" s="1526" t="s">
        <v>58</v>
      </c>
      <c r="C60" s="2132">
        <v>2111</v>
      </c>
      <c r="D60" s="843">
        <f>'Příjmy kapitol celkem'!G62/1000</f>
        <v>17</v>
      </c>
      <c r="E60" s="212">
        <f>+D60</f>
        <v>17</v>
      </c>
      <c r="F60" s="212">
        <f t="shared" ref="F60:I60" si="34">+E60</f>
        <v>17</v>
      </c>
      <c r="G60" s="212">
        <f t="shared" si="34"/>
        <v>17</v>
      </c>
      <c r="H60" s="212">
        <f t="shared" si="34"/>
        <v>17</v>
      </c>
      <c r="I60" s="212">
        <f t="shared" si="34"/>
        <v>17</v>
      </c>
      <c r="J60" s="291"/>
    </row>
    <row r="61" spans="1:10" ht="17.25" hidden="1" customHeight="1" outlineLevel="1" x14ac:dyDescent="0.25">
      <c r="A61" s="898"/>
      <c r="B61" s="1526" t="s">
        <v>1244</v>
      </c>
      <c r="C61" s="2132">
        <v>2111</v>
      </c>
      <c r="D61" s="843">
        <f>'Příjmy kapitol celkem'!G63/1000</f>
        <v>0</v>
      </c>
      <c r="E61" s="212"/>
      <c r="F61" s="212"/>
      <c r="G61" s="212"/>
      <c r="H61" s="212"/>
      <c r="I61" s="212"/>
      <c r="J61" s="291"/>
    </row>
    <row r="62" spans="1:10" ht="17.25" hidden="1" customHeight="1" outlineLevel="1" x14ac:dyDescent="0.25">
      <c r="A62" s="898"/>
      <c r="B62" s="1526" t="s">
        <v>554</v>
      </c>
      <c r="C62" s="2132">
        <v>2322</v>
      </c>
      <c r="D62" s="843">
        <f>'Příjmy kapitol celkem'!G64/1000</f>
        <v>0</v>
      </c>
      <c r="E62" s="212"/>
      <c r="F62" s="212"/>
      <c r="G62" s="212"/>
      <c r="H62" s="212"/>
      <c r="I62" s="212"/>
      <c r="J62" s="291"/>
    </row>
    <row r="63" spans="1:10" ht="17.25" hidden="1" customHeight="1" outlineLevel="1" x14ac:dyDescent="0.25">
      <c r="A63" s="898"/>
      <c r="B63" s="1526" t="s">
        <v>1245</v>
      </c>
      <c r="C63" s="2132">
        <v>2321</v>
      </c>
      <c r="D63" s="843">
        <f>'Příjmy kapitol celkem'!G65/1000</f>
        <v>0</v>
      </c>
      <c r="E63" s="212"/>
      <c r="F63" s="212"/>
      <c r="G63" s="212"/>
      <c r="H63" s="212"/>
      <c r="I63" s="212"/>
      <c r="J63" s="291"/>
    </row>
    <row r="64" spans="1:10" ht="17.25" hidden="1" customHeight="1" outlineLevel="1" x14ac:dyDescent="0.25">
      <c r="A64" s="898"/>
      <c r="B64" s="1526" t="s">
        <v>554</v>
      </c>
      <c r="C64" s="2132">
        <v>2322</v>
      </c>
      <c r="D64" s="843">
        <f>'Příjmy kapitol celkem'!G66/1000</f>
        <v>0</v>
      </c>
      <c r="E64" s="212"/>
      <c r="F64" s="212"/>
      <c r="G64" s="212"/>
      <c r="H64" s="212"/>
      <c r="I64" s="212"/>
      <c r="J64" s="291"/>
    </row>
    <row r="65" spans="1:10" ht="17.25" hidden="1" customHeight="1" outlineLevel="1" x14ac:dyDescent="0.25">
      <c r="A65" s="898"/>
      <c r="B65" s="1526" t="s">
        <v>554</v>
      </c>
      <c r="C65" s="2132">
        <v>2322</v>
      </c>
      <c r="D65" s="843">
        <f>'Příjmy kapitol celkem'!G67/1000</f>
        <v>0</v>
      </c>
      <c r="E65" s="212"/>
      <c r="F65" s="212"/>
      <c r="G65" s="212"/>
      <c r="H65" s="212"/>
      <c r="I65" s="212"/>
      <c r="J65" s="291"/>
    </row>
    <row r="66" spans="1:10" ht="17.25" hidden="1" customHeight="1" outlineLevel="1" x14ac:dyDescent="0.25">
      <c r="A66" s="898"/>
      <c r="B66" s="1526" t="s">
        <v>1246</v>
      </c>
      <c r="C66" s="2132">
        <v>2212</v>
      </c>
      <c r="D66" s="843">
        <f>'Příjmy kapitol celkem'!G68/1000</f>
        <v>40</v>
      </c>
      <c r="E66" s="212"/>
      <c r="F66" s="212"/>
      <c r="G66" s="212"/>
      <c r="H66" s="212"/>
      <c r="I66" s="212"/>
      <c r="J66" s="291"/>
    </row>
    <row r="67" spans="1:10" ht="17.25" hidden="1" customHeight="1" outlineLevel="1" x14ac:dyDescent="0.25">
      <c r="A67" s="898"/>
      <c r="B67" s="1526" t="s">
        <v>226</v>
      </c>
      <c r="C67" s="2132">
        <v>2322</v>
      </c>
      <c r="D67" s="843">
        <f>'Příjmy kapitol celkem'!G69/1000</f>
        <v>0</v>
      </c>
      <c r="E67" s="212"/>
      <c r="F67" s="212"/>
      <c r="G67" s="212"/>
      <c r="H67" s="212"/>
      <c r="I67" s="212"/>
      <c r="J67" s="291"/>
    </row>
    <row r="68" spans="1:10" ht="17.25" hidden="1" customHeight="1" outlineLevel="1" x14ac:dyDescent="0.25">
      <c r="A68" s="898"/>
      <c r="B68" s="1526" t="s">
        <v>1247</v>
      </c>
      <c r="C68" s="2132">
        <v>2212</v>
      </c>
      <c r="D68" s="843">
        <f>'Příjmy kapitol celkem'!G70/1000</f>
        <v>0</v>
      </c>
      <c r="E68" s="212"/>
      <c r="F68" s="212"/>
      <c r="G68" s="212"/>
      <c r="H68" s="212"/>
      <c r="I68" s="212"/>
      <c r="J68" s="291"/>
    </row>
    <row r="69" spans="1:10" ht="17.25" hidden="1" customHeight="1" outlineLevel="1" x14ac:dyDescent="0.25">
      <c r="A69" s="898"/>
      <c r="B69" s="1526" t="s">
        <v>749</v>
      </c>
      <c r="C69" s="2132">
        <v>2141</v>
      </c>
      <c r="D69" s="843">
        <f>'Příjmy kapitol celkem'!G72/1000</f>
        <v>10</v>
      </c>
      <c r="E69" s="212">
        <f>+D69</f>
        <v>10</v>
      </c>
      <c r="F69" s="212">
        <f t="shared" ref="F69:I69" si="35">+E69</f>
        <v>10</v>
      </c>
      <c r="G69" s="212">
        <f t="shared" si="35"/>
        <v>10</v>
      </c>
      <c r="H69" s="212">
        <f t="shared" si="35"/>
        <v>10</v>
      </c>
      <c r="I69" s="212">
        <f t="shared" si="35"/>
        <v>10</v>
      </c>
      <c r="J69" s="291"/>
    </row>
    <row r="70" spans="1:10" ht="17.25" hidden="1" customHeight="1" outlineLevel="1" x14ac:dyDescent="0.25">
      <c r="A70" s="898"/>
      <c r="B70" s="1526" t="s">
        <v>484</v>
      </c>
      <c r="C70" s="2132">
        <v>2132</v>
      </c>
      <c r="D70" s="843">
        <f>'Příjmy kapitol celkem'!G73/1000</f>
        <v>4.4000000000000004</v>
      </c>
      <c r="E70" s="212">
        <f>+D70</f>
        <v>4.4000000000000004</v>
      </c>
      <c r="F70" s="212">
        <f t="shared" ref="F70:I70" si="36">+E70</f>
        <v>4.4000000000000004</v>
      </c>
      <c r="G70" s="212">
        <f t="shared" si="36"/>
        <v>4.4000000000000004</v>
      </c>
      <c r="H70" s="212">
        <f t="shared" si="36"/>
        <v>4.4000000000000004</v>
      </c>
      <c r="I70" s="212">
        <f t="shared" si="36"/>
        <v>4.4000000000000004</v>
      </c>
      <c r="J70" s="291"/>
    </row>
    <row r="71" spans="1:10" hidden="1" outlineLevel="1" x14ac:dyDescent="0.25">
      <c r="A71" s="898"/>
      <c r="B71" s="1526" t="s">
        <v>750</v>
      </c>
      <c r="C71" s="2132">
        <v>2119</v>
      </c>
      <c r="D71" s="843">
        <f>'Příjmy kapitol celkem'!G75/1000</f>
        <v>300</v>
      </c>
      <c r="E71" s="212">
        <f>+D71</f>
        <v>300</v>
      </c>
      <c r="F71" s="212">
        <f t="shared" ref="F71:I71" si="37">+E71</f>
        <v>300</v>
      </c>
      <c r="G71" s="212">
        <f t="shared" si="37"/>
        <v>300</v>
      </c>
      <c r="H71" s="212">
        <f t="shared" si="37"/>
        <v>300</v>
      </c>
      <c r="I71" s="212">
        <f t="shared" si="37"/>
        <v>300</v>
      </c>
      <c r="J71" s="291"/>
    </row>
    <row r="72" spans="1:10" hidden="1" outlineLevel="1" x14ac:dyDescent="0.25">
      <c r="A72" s="898"/>
      <c r="B72" s="1535" t="s">
        <v>62</v>
      </c>
      <c r="C72" s="2130" t="s">
        <v>45</v>
      </c>
      <c r="D72" s="843">
        <f>'Příjmy kapitol celkem'!G78/1000</f>
        <v>0</v>
      </c>
      <c r="E72" s="212"/>
      <c r="F72" s="212"/>
      <c r="G72" s="212"/>
      <c r="H72" s="212"/>
      <c r="I72" s="212"/>
      <c r="J72" s="291"/>
    </row>
    <row r="73" spans="1:10" ht="18" customHeight="1" collapsed="1" thickTop="1" x14ac:dyDescent="0.25">
      <c r="A73" s="898"/>
      <c r="B73" s="1528"/>
      <c r="C73" s="2130"/>
      <c r="D73" s="844"/>
      <c r="E73" s="1525"/>
      <c r="F73" s="1525"/>
      <c r="G73" s="1525"/>
      <c r="H73" s="1525"/>
      <c r="I73" s="1525"/>
      <c r="J73" s="291"/>
    </row>
    <row r="74" spans="1:10" s="282" customFormat="1" ht="17.25" thickBot="1" x14ac:dyDescent="0.35">
      <c r="A74" s="1937" t="s">
        <v>227</v>
      </c>
      <c r="B74" s="1938" t="s">
        <v>228</v>
      </c>
      <c r="C74" s="1939"/>
      <c r="D74" s="2144">
        <f>SUM(D75:D77)</f>
        <v>65</v>
      </c>
      <c r="E74" s="1941">
        <f t="shared" ref="E74:I74" si="38">SUM(E75:E77)</f>
        <v>65</v>
      </c>
      <c r="F74" s="1941">
        <f t="shared" si="38"/>
        <v>65</v>
      </c>
      <c r="G74" s="1941">
        <f t="shared" si="38"/>
        <v>65</v>
      </c>
      <c r="H74" s="1941">
        <f t="shared" si="38"/>
        <v>65</v>
      </c>
      <c r="I74" s="1941">
        <f t="shared" si="38"/>
        <v>65</v>
      </c>
      <c r="J74" s="291"/>
    </row>
    <row r="75" spans="1:10" ht="16.5" hidden="1" customHeight="1" outlineLevel="1" thickTop="1" x14ac:dyDescent="0.25">
      <c r="A75" s="898"/>
      <c r="B75" s="1533" t="s">
        <v>229</v>
      </c>
      <c r="C75" s="2131">
        <v>3111</v>
      </c>
      <c r="D75" s="841">
        <f>'Příjmy kapitol celkem'!G77/1000</f>
        <v>0</v>
      </c>
      <c r="E75" s="902"/>
      <c r="F75" s="902"/>
      <c r="G75" s="902">
        <v>0</v>
      </c>
      <c r="H75" s="902">
        <v>0</v>
      </c>
      <c r="I75" s="902">
        <v>0</v>
      </c>
      <c r="J75" s="291"/>
    </row>
    <row r="76" spans="1:10" ht="16.5" hidden="1" customHeight="1" outlineLevel="1" x14ac:dyDescent="0.25">
      <c r="A76" s="898"/>
      <c r="B76" s="1526" t="s">
        <v>60</v>
      </c>
      <c r="C76" s="2132" t="s">
        <v>59</v>
      </c>
      <c r="D76" s="843">
        <f>'Příjmy kapitol celkem'!G74/1000</f>
        <v>65</v>
      </c>
      <c r="E76" s="212">
        <f>+D76</f>
        <v>65</v>
      </c>
      <c r="F76" s="212">
        <f t="shared" ref="F76:I76" si="39">+E76</f>
        <v>65</v>
      </c>
      <c r="G76" s="212">
        <f t="shared" si="39"/>
        <v>65</v>
      </c>
      <c r="H76" s="212">
        <f t="shared" si="39"/>
        <v>65</v>
      </c>
      <c r="I76" s="212">
        <f t="shared" si="39"/>
        <v>65</v>
      </c>
      <c r="J76" s="291"/>
    </row>
    <row r="77" spans="1:10" ht="16.5" hidden="1" customHeight="1" outlineLevel="1" x14ac:dyDescent="0.25">
      <c r="A77" s="898"/>
      <c r="B77" s="1526" t="s">
        <v>230</v>
      </c>
      <c r="C77" s="2132">
        <v>2132</v>
      </c>
      <c r="D77" s="843"/>
      <c r="E77" s="212"/>
      <c r="F77" s="212"/>
      <c r="G77" s="212"/>
      <c r="H77" s="212"/>
      <c r="I77" s="212"/>
      <c r="J77" s="291"/>
    </row>
    <row r="78" spans="1:10" ht="13.5" hidden="1" customHeight="1" outlineLevel="1" x14ac:dyDescent="0.25">
      <c r="A78" s="898"/>
      <c r="B78" s="1526"/>
      <c r="C78" s="2130"/>
      <c r="D78" s="844"/>
      <c r="E78" s="1525"/>
      <c r="F78" s="1525"/>
      <c r="G78" s="1525"/>
      <c r="H78" s="1525"/>
      <c r="I78" s="1525"/>
      <c r="J78" s="291"/>
    </row>
    <row r="79" spans="1:10" s="282" customFormat="1" ht="18.600000000000001" customHeight="1" collapsed="1" thickTop="1" thickBot="1" x14ac:dyDescent="0.35">
      <c r="A79" s="1937" t="s">
        <v>231</v>
      </c>
      <c r="B79" s="1938" t="s">
        <v>232</v>
      </c>
      <c r="C79" s="1939"/>
      <c r="D79" s="2144">
        <f>SUM(D80:D93)</f>
        <v>29551.675999999999</v>
      </c>
      <c r="E79" s="1941">
        <f t="shared" ref="E79:I79" si="40">SUM(E80:E93)</f>
        <v>13165.599999999999</v>
      </c>
      <c r="F79" s="1941">
        <f t="shared" si="40"/>
        <v>13165.599999999999</v>
      </c>
      <c r="G79" s="1941">
        <f t="shared" si="40"/>
        <v>13165.599999999999</v>
      </c>
      <c r="H79" s="1941">
        <f t="shared" si="40"/>
        <v>13165.599999999999</v>
      </c>
      <c r="I79" s="1941">
        <f t="shared" si="40"/>
        <v>13165.599999999999</v>
      </c>
      <c r="J79" s="291"/>
    </row>
    <row r="80" spans="1:10" ht="19.5" hidden="1" customHeight="1" outlineLevel="1" thickTop="1" x14ac:dyDescent="0.25">
      <c r="A80" s="898"/>
      <c r="B80" s="1533" t="s">
        <v>36</v>
      </c>
      <c r="C80" s="2131">
        <v>4112</v>
      </c>
      <c r="D80" s="841">
        <f>'Příjmy kapitol celkem'!G79/1000</f>
        <v>10108.299999999999</v>
      </c>
      <c r="E80" s="902">
        <f>+D80</f>
        <v>10108.299999999999</v>
      </c>
      <c r="F80" s="902">
        <f t="shared" ref="F80:I80" si="41">+E80</f>
        <v>10108.299999999999</v>
      </c>
      <c r="G80" s="902">
        <f t="shared" si="41"/>
        <v>10108.299999999999</v>
      </c>
      <c r="H80" s="902">
        <f t="shared" si="41"/>
        <v>10108.299999999999</v>
      </c>
      <c r="I80" s="902">
        <f t="shared" si="41"/>
        <v>10108.299999999999</v>
      </c>
      <c r="J80" s="291"/>
    </row>
    <row r="81" spans="1:10" ht="19.5" hidden="1" customHeight="1" outlineLevel="1" x14ac:dyDescent="0.25">
      <c r="A81" s="898"/>
      <c r="B81" s="1526" t="s">
        <v>1545</v>
      </c>
      <c r="C81" s="2132">
        <v>4111</v>
      </c>
      <c r="D81" s="843">
        <f>'Příjmy kapitol celkem'!G28/1000</f>
        <v>130.80000000000001</v>
      </c>
      <c r="E81" s="212"/>
      <c r="F81" s="212"/>
      <c r="G81" s="212"/>
      <c r="H81" s="212"/>
      <c r="I81" s="212"/>
      <c r="J81" s="291"/>
    </row>
    <row r="82" spans="1:10" ht="19.5" hidden="1" customHeight="1" outlineLevel="1" x14ac:dyDescent="0.25">
      <c r="A82" s="898"/>
      <c r="B82" s="1526" t="s">
        <v>350</v>
      </c>
      <c r="C82" s="2132">
        <v>4121</v>
      </c>
      <c r="D82" s="843">
        <f>'Příjmy kapitol celkem'!G81/1000</f>
        <v>400</v>
      </c>
      <c r="E82" s="212">
        <f>+D82</f>
        <v>400</v>
      </c>
      <c r="F82" s="212">
        <f t="shared" ref="F82:I82" si="42">+E82</f>
        <v>400</v>
      </c>
      <c r="G82" s="212">
        <f t="shared" si="42"/>
        <v>400</v>
      </c>
      <c r="H82" s="212">
        <f t="shared" si="42"/>
        <v>400</v>
      </c>
      <c r="I82" s="212">
        <f t="shared" si="42"/>
        <v>400</v>
      </c>
      <c r="J82" s="291"/>
    </row>
    <row r="83" spans="1:10" ht="19.5" hidden="1" customHeight="1" outlineLevel="1" x14ac:dyDescent="0.25">
      <c r="A83" s="898"/>
      <c r="B83" s="1526" t="s">
        <v>351</v>
      </c>
      <c r="C83" s="2132">
        <v>4121</v>
      </c>
      <c r="D83" s="843">
        <f>'Příjmy kapitol celkem'!G82/1000</f>
        <v>898.4</v>
      </c>
      <c r="E83" s="212">
        <f>+D83</f>
        <v>898.4</v>
      </c>
      <c r="F83" s="212">
        <f t="shared" ref="F83:I83" si="43">+E83</f>
        <v>898.4</v>
      </c>
      <c r="G83" s="212">
        <f t="shared" si="43"/>
        <v>898.4</v>
      </c>
      <c r="H83" s="212">
        <f t="shared" si="43"/>
        <v>898.4</v>
      </c>
      <c r="I83" s="212">
        <f t="shared" si="43"/>
        <v>898.4</v>
      </c>
      <c r="J83" s="291"/>
    </row>
    <row r="84" spans="1:10" ht="19.5" hidden="1" customHeight="1" outlineLevel="1" x14ac:dyDescent="0.25">
      <c r="A84" s="898"/>
      <c r="B84" s="1526" t="s">
        <v>967</v>
      </c>
      <c r="C84" s="2132">
        <v>4216</v>
      </c>
      <c r="D84" s="843">
        <f>'Příjmy kapitol celkem'!G83/1000</f>
        <v>0</v>
      </c>
      <c r="E84" s="212"/>
      <c r="F84" s="212"/>
      <c r="G84" s="212"/>
      <c r="H84" s="212"/>
      <c r="I84" s="212"/>
      <c r="J84" s="291"/>
    </row>
    <row r="85" spans="1:10" ht="19.5" hidden="1" customHeight="1" outlineLevel="1" x14ac:dyDescent="0.25">
      <c r="A85" s="898"/>
      <c r="B85" s="1526" t="s">
        <v>1159</v>
      </c>
      <c r="C85" s="2132" t="s">
        <v>37</v>
      </c>
      <c r="D85" s="843">
        <f>'Příjmy kapitol celkem'!G84/1000</f>
        <v>0</v>
      </c>
      <c r="E85" s="212"/>
      <c r="F85" s="212"/>
      <c r="G85" s="212"/>
      <c r="H85" s="212"/>
      <c r="I85" s="212"/>
      <c r="J85" s="291"/>
    </row>
    <row r="86" spans="1:10" ht="19.5" hidden="1" customHeight="1" outlineLevel="1" x14ac:dyDescent="0.25">
      <c r="A86" s="898"/>
      <c r="B86" s="1526" t="s">
        <v>1250</v>
      </c>
      <c r="C86" s="2132">
        <v>4222</v>
      </c>
      <c r="D86" s="843">
        <f>'Příjmy kapitol celkem'!G85/1000</f>
        <v>0</v>
      </c>
      <c r="E86" s="212"/>
      <c r="F86" s="212"/>
      <c r="G86" s="212"/>
      <c r="H86" s="212"/>
      <c r="I86" s="212"/>
      <c r="J86" s="291"/>
    </row>
    <row r="87" spans="1:10" ht="19.5" hidden="1" customHeight="1" outlineLevel="1" x14ac:dyDescent="0.25">
      <c r="A87" s="898"/>
      <c r="B87" s="1526" t="s">
        <v>2030</v>
      </c>
      <c r="C87" s="2132" t="s">
        <v>37</v>
      </c>
      <c r="D87" s="843">
        <f>+'Souhrn příjmů a výdajů 2023'!H103/1000</f>
        <v>15505.276</v>
      </c>
      <c r="E87" s="212"/>
      <c r="F87" s="212"/>
      <c r="G87" s="212"/>
      <c r="H87" s="212"/>
      <c r="I87" s="212"/>
      <c r="J87" s="291"/>
    </row>
    <row r="88" spans="1:10" ht="19.5" hidden="1" customHeight="1" outlineLevel="1" x14ac:dyDescent="0.25">
      <c r="A88" s="898"/>
      <c r="B88" s="1526" t="s">
        <v>1160</v>
      </c>
      <c r="C88" s="2132" t="s">
        <v>37</v>
      </c>
      <c r="D88" s="843">
        <f>'Příjmy kapitol celkem'!G87/1000</f>
        <v>750</v>
      </c>
      <c r="E88" s="212"/>
      <c r="F88" s="212"/>
      <c r="G88" s="212"/>
      <c r="H88" s="212"/>
      <c r="I88" s="212"/>
      <c r="J88" s="291"/>
    </row>
    <row r="89" spans="1:10" ht="19.5" hidden="1" customHeight="1" outlineLevel="1" x14ac:dyDescent="0.25">
      <c r="A89" s="898"/>
      <c r="B89" s="1526" t="s">
        <v>968</v>
      </c>
      <c r="C89" s="2132">
        <v>4216</v>
      </c>
      <c r="D89" s="843">
        <f>'Příjmy kapitol celkem'!G88/1000</f>
        <v>0</v>
      </c>
      <c r="E89" s="212"/>
      <c r="F89" s="212"/>
      <c r="G89" s="212"/>
      <c r="H89" s="212"/>
      <c r="I89" s="212"/>
      <c r="J89" s="291"/>
    </row>
    <row r="90" spans="1:10" ht="19.5" hidden="1" customHeight="1" outlineLevel="1" x14ac:dyDescent="0.25">
      <c r="A90" s="898"/>
      <c r="B90" s="1526" t="s">
        <v>1249</v>
      </c>
      <c r="C90" s="2132">
        <v>4216</v>
      </c>
      <c r="D90" s="843">
        <f>'Příjmy kapitol celkem'!G89/1000</f>
        <v>0</v>
      </c>
      <c r="E90" s="212"/>
      <c r="F90" s="212"/>
      <c r="G90" s="212"/>
      <c r="H90" s="212"/>
      <c r="I90" s="212"/>
      <c r="J90" s="291"/>
    </row>
    <row r="91" spans="1:10" ht="29.45" hidden="1" customHeight="1" outlineLevel="1" x14ac:dyDescent="0.25">
      <c r="A91" s="898"/>
      <c r="B91" s="1848" t="s">
        <v>1161</v>
      </c>
      <c r="C91" s="2132" t="s">
        <v>37</v>
      </c>
      <c r="D91" s="843">
        <f>'Příjmy kapitol celkem'!G90/1000</f>
        <v>0</v>
      </c>
      <c r="E91" s="212"/>
      <c r="F91" s="212"/>
      <c r="G91" s="212"/>
      <c r="H91" s="212"/>
      <c r="I91" s="212"/>
      <c r="J91" s="291"/>
    </row>
    <row r="92" spans="1:10" ht="19.5" hidden="1" customHeight="1" outlineLevel="1" x14ac:dyDescent="0.25">
      <c r="A92" s="898"/>
      <c r="B92" s="1526" t="s">
        <v>1162</v>
      </c>
      <c r="C92" s="2132" t="s">
        <v>37</v>
      </c>
      <c r="D92" s="843">
        <f>'Příjmy kapitol celkem'!G91/1000</f>
        <v>0</v>
      </c>
      <c r="E92" s="212"/>
      <c r="F92" s="212"/>
      <c r="G92" s="212"/>
      <c r="H92" s="212"/>
      <c r="I92" s="212"/>
      <c r="J92" s="291"/>
    </row>
    <row r="93" spans="1:10" ht="19.5" hidden="1" customHeight="1" outlineLevel="1" x14ac:dyDescent="0.25">
      <c r="A93" s="898"/>
      <c r="B93" s="1526" t="s">
        <v>38</v>
      </c>
      <c r="C93" s="2132">
        <v>4122</v>
      </c>
      <c r="D93" s="843">
        <f>'Příjmy kapitol celkem'!G92/1000</f>
        <v>1758.9</v>
      </c>
      <c r="E93" s="212">
        <f>+D93</f>
        <v>1758.9</v>
      </c>
      <c r="F93" s="212">
        <f t="shared" ref="F93:I93" si="44">+E93</f>
        <v>1758.9</v>
      </c>
      <c r="G93" s="212">
        <f t="shared" si="44"/>
        <v>1758.9</v>
      </c>
      <c r="H93" s="212">
        <f t="shared" si="44"/>
        <v>1758.9</v>
      </c>
      <c r="I93" s="212">
        <f t="shared" si="44"/>
        <v>1758.9</v>
      </c>
      <c r="J93" s="291"/>
    </row>
    <row r="94" spans="1:10" ht="21.75" hidden="1" customHeight="1" outlineLevel="1" x14ac:dyDescent="0.25">
      <c r="A94" s="898"/>
      <c r="B94" s="1528"/>
      <c r="C94" s="2130"/>
      <c r="D94" s="844"/>
      <c r="E94" s="1525"/>
      <c r="F94" s="1525"/>
      <c r="G94" s="1525"/>
      <c r="H94" s="1525"/>
      <c r="I94" s="1525"/>
      <c r="J94" s="291"/>
    </row>
    <row r="95" spans="1:10" s="282" customFormat="1" ht="18" collapsed="1" thickTop="1" thickBot="1" x14ac:dyDescent="0.35">
      <c r="A95" s="1937" t="s">
        <v>233</v>
      </c>
      <c r="B95" s="1938" t="s">
        <v>234</v>
      </c>
      <c r="C95" s="1939"/>
      <c r="D95" s="2144">
        <f>SUM(D96:D98)</f>
        <v>14800</v>
      </c>
      <c r="E95" s="1941">
        <f t="shared" ref="E95:I95" si="45">SUM(E96:E98)</f>
        <v>15000</v>
      </c>
      <c r="F95" s="1941">
        <f t="shared" si="45"/>
        <v>75500</v>
      </c>
      <c r="G95" s="1941">
        <f t="shared" si="45"/>
        <v>7242</v>
      </c>
      <c r="H95" s="1941">
        <f t="shared" si="45"/>
        <v>3935</v>
      </c>
      <c r="I95" s="1941">
        <f t="shared" si="45"/>
        <v>3935</v>
      </c>
      <c r="J95" s="291"/>
    </row>
    <row r="96" spans="1:10" ht="17.25" hidden="1" customHeight="1" outlineLevel="1" thickTop="1" x14ac:dyDescent="0.25">
      <c r="A96" s="109"/>
      <c r="B96" s="894" t="s">
        <v>235</v>
      </c>
      <c r="C96" s="2131" t="s">
        <v>39</v>
      </c>
      <c r="D96" s="366">
        <f>'Příjmy kapitol celkem'!G96/1000</f>
        <v>14800</v>
      </c>
      <c r="E96" s="367">
        <v>15000</v>
      </c>
      <c r="F96" s="367">
        <f>+E96+500</f>
        <v>15500</v>
      </c>
      <c r="G96" s="367">
        <f>+F96+500-8758</f>
        <v>7242</v>
      </c>
      <c r="H96" s="367">
        <f>+G96+500-12565+8758</f>
        <v>3935</v>
      </c>
      <c r="I96" s="902">
        <f>+H96</f>
        <v>3935</v>
      </c>
      <c r="J96" s="291"/>
    </row>
    <row r="97" spans="1:11" ht="17.25" hidden="1" customHeight="1" outlineLevel="1" x14ac:dyDescent="0.25">
      <c r="A97" s="109"/>
      <c r="B97" s="1526" t="s">
        <v>782</v>
      </c>
      <c r="C97" s="2132" t="s">
        <v>39</v>
      </c>
      <c r="D97" s="234">
        <f>'Příjmy kapitol celkem'!G97/1000</f>
        <v>0</v>
      </c>
      <c r="E97" s="155"/>
      <c r="F97" s="155"/>
      <c r="G97" s="155"/>
      <c r="H97" s="155"/>
      <c r="I97" s="212"/>
      <c r="J97" s="291"/>
    </row>
    <row r="98" spans="1:11" ht="17.25" hidden="1" customHeight="1" outlineLevel="1" x14ac:dyDescent="0.25">
      <c r="A98" s="109"/>
      <c r="B98" s="1526" t="s">
        <v>780</v>
      </c>
      <c r="C98" s="2132" t="s">
        <v>61</v>
      </c>
      <c r="D98" s="234">
        <f>'Příjmy kapitol celkem'!G98/1000</f>
        <v>0</v>
      </c>
      <c r="E98" s="155"/>
      <c r="F98" s="155">
        <v>60000</v>
      </c>
      <c r="G98" s="155"/>
      <c r="H98" s="155"/>
      <c r="I98" s="212"/>
      <c r="J98" s="291"/>
    </row>
    <row r="99" spans="1:11" ht="16.5" hidden="1" outlineLevel="1" thickTop="1" x14ac:dyDescent="0.25">
      <c r="A99" s="109"/>
      <c r="B99" s="1528"/>
      <c r="C99" s="2132"/>
      <c r="D99" s="234"/>
      <c r="E99" s="155"/>
      <c r="F99" s="155"/>
      <c r="G99" s="155"/>
      <c r="H99" s="155"/>
      <c r="I99" s="212"/>
      <c r="J99" s="291"/>
    </row>
    <row r="100" spans="1:11" s="282" customFormat="1" ht="18" collapsed="1" thickTop="1" thickBot="1" x14ac:dyDescent="0.35">
      <c r="A100" s="1937" t="s">
        <v>236</v>
      </c>
      <c r="B100" s="1938"/>
      <c r="C100" s="1939"/>
      <c r="D100" s="2144">
        <f>+D95+D79+D74+D27+D6</f>
        <v>250988.65400000001</v>
      </c>
      <c r="E100" s="1941">
        <f t="shared" ref="E100:I100" si="46">+E95+E79+E74+E27+E6</f>
        <v>229517.08300000001</v>
      </c>
      <c r="F100" s="1941">
        <f t="shared" si="46"/>
        <v>281660.46723800001</v>
      </c>
      <c r="G100" s="1941">
        <f t="shared" si="46"/>
        <v>218521.12306582797</v>
      </c>
      <c r="H100" s="1941">
        <f t="shared" si="46"/>
        <v>210177.2312297615</v>
      </c>
      <c r="I100" s="1941">
        <f t="shared" si="46"/>
        <v>215750.20941625038</v>
      </c>
      <c r="J100" s="291"/>
    </row>
    <row r="101" spans="1:11" s="288" customFormat="1" ht="12.75" hidden="1" customHeight="1" thickTop="1" thickBot="1" x14ac:dyDescent="0.3">
      <c r="A101" s="180"/>
      <c r="B101" s="283" t="s">
        <v>237</v>
      </c>
      <c r="C101" s="284"/>
      <c r="D101" s="2145">
        <f>+D100-'Příjmy kapitol celkem'!G99/1000</f>
        <v>-11070.751999999979</v>
      </c>
      <c r="E101" s="285"/>
      <c r="F101" s="285"/>
      <c r="G101" s="285"/>
      <c r="H101" s="285"/>
      <c r="I101" s="2146"/>
      <c r="J101" s="291"/>
    </row>
    <row r="102" spans="1:11" ht="17.25" hidden="1" thickTop="1" thickBot="1" x14ac:dyDescent="0.3">
      <c r="A102" s="109"/>
      <c r="B102" s="109"/>
      <c r="C102" s="114"/>
      <c r="D102" s="2147"/>
      <c r="E102" s="2148"/>
      <c r="F102" s="2148"/>
      <c r="G102" s="2148"/>
      <c r="H102" s="2148"/>
      <c r="I102" s="2149"/>
      <c r="J102" s="291"/>
    </row>
    <row r="103" spans="1:11" ht="38.450000000000003" hidden="1" customHeight="1" thickTop="1" thickBot="1" x14ac:dyDescent="0.3">
      <c r="A103" s="1942" t="s">
        <v>238</v>
      </c>
      <c r="B103" s="1943"/>
      <c r="C103" s="2133" t="s">
        <v>64</v>
      </c>
      <c r="D103" s="2150" t="str">
        <f>D4</f>
        <v>Návrh rozpočtu 2023</v>
      </c>
      <c r="E103" s="1946" t="str">
        <f t="shared" ref="E103:I103" si="47">E4</f>
        <v>Výhled 2024</v>
      </c>
      <c r="F103" s="1946" t="str">
        <f t="shared" si="47"/>
        <v>Výhled 2025</v>
      </c>
      <c r="G103" s="1946" t="str">
        <f t="shared" si="47"/>
        <v>Výhled 2026</v>
      </c>
      <c r="H103" s="1946" t="str">
        <f t="shared" si="47"/>
        <v>Výhled 2027</v>
      </c>
      <c r="I103" s="1946" t="str">
        <f t="shared" si="47"/>
        <v>Výhled 2028</v>
      </c>
      <c r="J103" s="291"/>
    </row>
    <row r="104" spans="1:11" ht="16.5" hidden="1" thickBot="1" x14ac:dyDescent="0.3">
      <c r="A104" s="109"/>
      <c r="B104" s="109"/>
      <c r="C104" s="114"/>
      <c r="D104" s="249"/>
      <c r="E104" s="190"/>
      <c r="F104" s="190"/>
      <c r="G104" s="190"/>
      <c r="H104" s="190"/>
      <c r="I104" s="907"/>
      <c r="J104" s="291"/>
    </row>
    <row r="105" spans="1:11" s="282" customFormat="1" ht="18" thickTop="1" thickBot="1" x14ac:dyDescent="0.35">
      <c r="A105" s="1947" t="s">
        <v>239</v>
      </c>
      <c r="B105" s="1948" t="s">
        <v>240</v>
      </c>
      <c r="C105" s="1949"/>
      <c r="D105" s="2151">
        <f>+D106+D116</f>
        <v>172545.14161175999</v>
      </c>
      <c r="E105" s="1951">
        <f t="shared" ref="E105:I105" si="48">+E106+E116</f>
        <v>175848.0025364678</v>
      </c>
      <c r="F105" s="1951">
        <f t="shared" si="48"/>
        <v>179926.97615138802</v>
      </c>
      <c r="G105" s="1951">
        <f t="shared" si="48"/>
        <v>183986.62091564879</v>
      </c>
      <c r="H105" s="1951">
        <f t="shared" si="48"/>
        <v>187925.99089447633</v>
      </c>
      <c r="I105" s="1951">
        <f t="shared" si="48"/>
        <v>192158.71589368928</v>
      </c>
      <c r="J105" s="291"/>
      <c r="K105" s="294"/>
    </row>
    <row r="106" spans="1:11" s="282" customFormat="1" ht="17.25" thickBot="1" x14ac:dyDescent="0.35">
      <c r="A106" s="903"/>
      <c r="B106" s="1952" t="s">
        <v>739</v>
      </c>
      <c r="C106" s="1953"/>
      <c r="D106" s="2152">
        <f>SUM(D107:D114)</f>
        <v>44009.29</v>
      </c>
      <c r="E106" s="1955">
        <f t="shared" ref="E106:I106" si="49">SUM(E107:E114)</f>
        <v>44369.412299222808</v>
      </c>
      <c r="F106" s="1955">
        <f t="shared" si="49"/>
        <v>44738.024864465675</v>
      </c>
      <c r="G106" s="1955">
        <f t="shared" si="49"/>
        <v>45115.410455988749</v>
      </c>
      <c r="H106" s="1955">
        <f t="shared" si="49"/>
        <v>45501.861680264556</v>
      </c>
      <c r="I106" s="1955">
        <f t="shared" si="49"/>
        <v>45897.681334419147</v>
      </c>
      <c r="J106" s="291"/>
    </row>
    <row r="107" spans="1:11" s="295" customFormat="1" ht="16.5" hidden="1" outlineLevel="1" thickTop="1" x14ac:dyDescent="0.2">
      <c r="A107" s="904"/>
      <c r="B107" s="1529" t="s">
        <v>65</v>
      </c>
      <c r="C107" s="2134">
        <v>5011</v>
      </c>
      <c r="D107" s="2153">
        <f>'Výdaje kapitol celkem'!F8/1000</f>
        <v>27925</v>
      </c>
      <c r="E107" s="905">
        <f>+D107*1.0035</f>
        <v>28022.737500000003</v>
      </c>
      <c r="F107" s="905">
        <f>+E107*1.0035</f>
        <v>28120.817081250003</v>
      </c>
      <c r="G107" s="905">
        <f>+F107*1.0035</f>
        <v>28219.239941034379</v>
      </c>
      <c r="H107" s="905">
        <f>+G107*1.0035</f>
        <v>28318.007280828002</v>
      </c>
      <c r="I107" s="905">
        <f>+H107*1.0035</f>
        <v>28417.120306310902</v>
      </c>
      <c r="J107" s="1860"/>
    </row>
    <row r="108" spans="1:11" s="295" customFormat="1" ht="16.5" hidden="1" outlineLevel="1" thickTop="1" x14ac:dyDescent="0.2">
      <c r="A108" s="904"/>
      <c r="B108" s="1530" t="s">
        <v>66</v>
      </c>
      <c r="C108" s="2135">
        <v>5021</v>
      </c>
      <c r="D108" s="2154">
        <f>'Výdaje kapitol celkem'!F9/1000</f>
        <v>1865</v>
      </c>
      <c r="E108" s="906">
        <f>+D108*1.035</f>
        <v>1930.2749999999999</v>
      </c>
      <c r="F108" s="906">
        <f t="shared" ref="F108:I108" si="50">+E108*1.035</f>
        <v>1997.8346249999997</v>
      </c>
      <c r="G108" s="906">
        <f t="shared" si="50"/>
        <v>2067.7588368749994</v>
      </c>
      <c r="H108" s="906">
        <f t="shared" si="50"/>
        <v>2140.130396165624</v>
      </c>
      <c r="I108" s="906">
        <f t="shared" si="50"/>
        <v>2215.0349600314207</v>
      </c>
      <c r="J108" s="1860"/>
    </row>
    <row r="109" spans="1:11" ht="18" hidden="1" customHeight="1" outlineLevel="1" x14ac:dyDescent="0.25">
      <c r="A109" s="898"/>
      <c r="B109" s="1526" t="s">
        <v>479</v>
      </c>
      <c r="C109" s="2132">
        <v>5023</v>
      </c>
      <c r="D109" s="843">
        <f>'Výdaje kapitol celkem'!F10/1000</f>
        <v>3020</v>
      </c>
      <c r="E109" s="906">
        <f>+D109*1.035</f>
        <v>3125.7</v>
      </c>
      <c r="F109" s="906">
        <f t="shared" ref="F109:I109" si="51">+E109*1.035</f>
        <v>3235.0994999999994</v>
      </c>
      <c r="G109" s="906">
        <f t="shared" si="51"/>
        <v>3348.3279824999991</v>
      </c>
      <c r="H109" s="906">
        <f t="shared" si="51"/>
        <v>3465.5194618874989</v>
      </c>
      <c r="I109" s="906">
        <f t="shared" si="51"/>
        <v>3586.8126430535613</v>
      </c>
      <c r="J109" s="1861"/>
    </row>
    <row r="110" spans="1:11" ht="18" hidden="1" customHeight="1" outlineLevel="1" x14ac:dyDescent="0.25">
      <c r="A110" s="898"/>
      <c r="B110" s="1531" t="s">
        <v>738</v>
      </c>
      <c r="C110" s="2128">
        <v>5024</v>
      </c>
      <c r="D110" s="2142">
        <f>'Výdaje kapitol celkem'!F11/1000</f>
        <v>0</v>
      </c>
      <c r="E110" s="443"/>
      <c r="F110" s="443"/>
      <c r="G110" s="443"/>
      <c r="H110" s="443"/>
      <c r="I110" s="443"/>
      <c r="J110" s="291"/>
    </row>
    <row r="111" spans="1:11" ht="18" hidden="1" customHeight="1" outlineLevel="1" x14ac:dyDescent="0.25">
      <c r="A111" s="898"/>
      <c r="B111" s="1526" t="s">
        <v>67</v>
      </c>
      <c r="C111" s="2132">
        <v>5029</v>
      </c>
      <c r="D111" s="843">
        <f>'Výdaje kapitol celkem'!F12/1000</f>
        <v>30</v>
      </c>
      <c r="E111" s="212">
        <f>+D111*1.035</f>
        <v>31.049999999999997</v>
      </c>
      <c r="F111" s="212">
        <f t="shared" ref="F111:I111" si="52">+E111*1.035</f>
        <v>32.136749999999992</v>
      </c>
      <c r="G111" s="212">
        <f t="shared" si="52"/>
        <v>33.261536249999992</v>
      </c>
      <c r="H111" s="212">
        <f t="shared" si="52"/>
        <v>34.425690018749989</v>
      </c>
      <c r="I111" s="212">
        <f t="shared" si="52"/>
        <v>35.630589169406235</v>
      </c>
      <c r="J111" s="291"/>
    </row>
    <row r="112" spans="1:11" ht="18" hidden="1" customHeight="1" outlineLevel="1" x14ac:dyDescent="0.25">
      <c r="A112" s="898"/>
      <c r="B112" s="1526" t="s">
        <v>68</v>
      </c>
      <c r="C112" s="2132">
        <v>5031</v>
      </c>
      <c r="D112" s="843">
        <f>'Výdaje kapitol celkem'!F13/1000</f>
        <v>8112.5</v>
      </c>
      <c r="E112" s="212">
        <f>+D112/(D107+D108+D109)*(E107+E108+E109)</f>
        <v>8178.9410288402933</v>
      </c>
      <c r="F112" s="212">
        <f t="shared" ref="F112:I112" si="53">+E112/(E107+E108+E109)*(F107+F108+F109)</f>
        <v>8246.9462560409374</v>
      </c>
      <c r="G112" s="212">
        <f t="shared" si="53"/>
        <v>8316.5677642127739</v>
      </c>
      <c r="H112" s="212">
        <f t="shared" si="53"/>
        <v>8387.8594495328598</v>
      </c>
      <c r="I112" s="212">
        <f t="shared" si="53"/>
        <v>8460.8770851866557</v>
      </c>
      <c r="J112" s="291"/>
    </row>
    <row r="113" spans="1:12" ht="18" hidden="1" customHeight="1" outlineLevel="1" x14ac:dyDescent="0.25">
      <c r="A113" s="898"/>
      <c r="B113" s="1526" t="s">
        <v>69</v>
      </c>
      <c r="C113" s="2132">
        <v>5032</v>
      </c>
      <c r="D113" s="843">
        <f>'Výdaje kapitol celkem'!F14/1000</f>
        <v>2920.5</v>
      </c>
      <c r="E113" s="212">
        <f>+D113/(D107+D108+D109)*(E107+E108+E109)</f>
        <v>2944.4187703825055</v>
      </c>
      <c r="F113" s="212">
        <f t="shared" ref="F113:I113" si="54">+E113/(E107+E108+E109)*(F107+F108+F109)</f>
        <v>2968.9006521747374</v>
      </c>
      <c r="G113" s="212">
        <f t="shared" si="54"/>
        <v>2993.9643951165981</v>
      </c>
      <c r="H113" s="212">
        <f t="shared" si="54"/>
        <v>3019.629401831829</v>
      </c>
      <c r="I113" s="212">
        <f t="shared" si="54"/>
        <v>3045.9157506671954</v>
      </c>
      <c r="J113" s="291"/>
    </row>
    <row r="114" spans="1:12" ht="18" hidden="1" customHeight="1" outlineLevel="1" x14ac:dyDescent="0.25">
      <c r="A114" s="898"/>
      <c r="B114" s="1526" t="s">
        <v>70</v>
      </c>
      <c r="C114" s="2132">
        <v>5038</v>
      </c>
      <c r="D114" s="843">
        <f>'Výdaje kapitol celkem'!F15/1000</f>
        <v>136.28999999999996</v>
      </c>
      <c r="E114" s="212">
        <f>+D114</f>
        <v>136.28999999999996</v>
      </c>
      <c r="F114" s="212">
        <f t="shared" ref="F114:I114" si="55">+E114</f>
        <v>136.28999999999996</v>
      </c>
      <c r="G114" s="212">
        <f t="shared" si="55"/>
        <v>136.28999999999996</v>
      </c>
      <c r="H114" s="212">
        <f t="shared" si="55"/>
        <v>136.28999999999996</v>
      </c>
      <c r="I114" s="212">
        <f t="shared" si="55"/>
        <v>136.28999999999996</v>
      </c>
      <c r="J114" s="291"/>
    </row>
    <row r="115" spans="1:12" ht="16.5" hidden="1" outlineLevel="1" thickTop="1" x14ac:dyDescent="0.25">
      <c r="A115" s="898"/>
      <c r="B115" s="1532"/>
      <c r="C115" s="114"/>
      <c r="D115" s="2155"/>
      <c r="E115" s="907"/>
      <c r="F115" s="907"/>
      <c r="G115" s="907"/>
      <c r="H115" s="907"/>
      <c r="I115" s="907"/>
      <c r="J115" s="291"/>
    </row>
    <row r="116" spans="1:12" s="282" customFormat="1" ht="18" collapsed="1" thickTop="1" thickBot="1" x14ac:dyDescent="0.35">
      <c r="A116" s="903"/>
      <c r="B116" s="1956" t="s">
        <v>241</v>
      </c>
      <c r="C116" s="1939"/>
      <c r="D116" s="2144">
        <f>SUM(D117:D153)</f>
        <v>128535.85161175999</v>
      </c>
      <c r="E116" s="1941">
        <f t="shared" ref="E116:I116" si="56">SUM(E117:E153)</f>
        <v>131478.59023724499</v>
      </c>
      <c r="F116" s="1941">
        <f t="shared" si="56"/>
        <v>135188.95128692235</v>
      </c>
      <c r="G116" s="1941">
        <f t="shared" si="56"/>
        <v>138871.21045966004</v>
      </c>
      <c r="H116" s="1941">
        <f t="shared" si="56"/>
        <v>142424.12921421177</v>
      </c>
      <c r="I116" s="1941">
        <f t="shared" si="56"/>
        <v>146261.03455927013</v>
      </c>
      <c r="J116" s="291"/>
      <c r="K116" s="294"/>
      <c r="L116" s="294"/>
    </row>
    <row r="117" spans="1:12" ht="18" hidden="1" customHeight="1" outlineLevel="1" thickTop="1" x14ac:dyDescent="0.25">
      <c r="A117" s="898"/>
      <c r="B117" s="894" t="s">
        <v>72</v>
      </c>
      <c r="C117" s="2131">
        <v>5178</v>
      </c>
      <c r="D117" s="841">
        <f>'Výdaje kapitol celkem'!M17/1000</f>
        <v>0</v>
      </c>
      <c r="E117" s="902">
        <f>'Výdaje kapitol celkem'!N17</f>
        <v>0</v>
      </c>
      <c r="F117" s="902">
        <f>'Výdaje kapitol celkem'!O17</f>
        <v>0</v>
      </c>
      <c r="G117" s="902">
        <f>'Výdaje kapitol celkem'!P17</f>
        <v>0</v>
      </c>
      <c r="H117" s="902">
        <f>'Výdaje kapitol celkem'!Q17</f>
        <v>0</v>
      </c>
      <c r="I117" s="902">
        <f>'Výdaje kapitol celkem'!R17</f>
        <v>0</v>
      </c>
      <c r="J117" s="291"/>
    </row>
    <row r="118" spans="1:12" ht="18" hidden="1" customHeight="1" outlineLevel="1" x14ac:dyDescent="0.25">
      <c r="A118" s="898"/>
      <c r="B118" s="1526" t="s">
        <v>73</v>
      </c>
      <c r="C118" s="2132">
        <v>5132</v>
      </c>
      <c r="D118" s="843">
        <f>'Výdaje kapitol celkem'!M18/1000</f>
        <v>0</v>
      </c>
      <c r="E118" s="212">
        <f>'Výdaje kapitol celkem'!N18</f>
        <v>0</v>
      </c>
      <c r="F118" s="212">
        <f>'Výdaje kapitol celkem'!O18</f>
        <v>0</v>
      </c>
      <c r="G118" s="212">
        <f>'Výdaje kapitol celkem'!P18</f>
        <v>0</v>
      </c>
      <c r="H118" s="212">
        <f>'Výdaje kapitol celkem'!Q18</f>
        <v>0</v>
      </c>
      <c r="I118" s="212">
        <f>'Výdaje kapitol celkem'!R18</f>
        <v>0</v>
      </c>
      <c r="J118" s="291"/>
    </row>
    <row r="119" spans="1:12" ht="18" hidden="1" customHeight="1" outlineLevel="1" x14ac:dyDescent="0.25">
      <c r="A119" s="898"/>
      <c r="B119" s="1526" t="s">
        <v>74</v>
      </c>
      <c r="C119" s="2132">
        <v>5134</v>
      </c>
      <c r="D119" s="843">
        <f>'Výdaje kapitol celkem'!F19/1000</f>
        <v>195</v>
      </c>
      <c r="E119" s="212">
        <f>+D119*1.03</f>
        <v>200.85</v>
      </c>
      <c r="F119" s="212">
        <f t="shared" ref="F119:I119" si="57">+E119*1.03</f>
        <v>206.87549999999999</v>
      </c>
      <c r="G119" s="212">
        <f t="shared" si="57"/>
        <v>213.08176499999999</v>
      </c>
      <c r="H119" s="212">
        <f t="shared" si="57"/>
        <v>219.47421795</v>
      </c>
      <c r="I119" s="212">
        <f t="shared" si="57"/>
        <v>226.05844448850002</v>
      </c>
      <c r="J119" s="291"/>
    </row>
    <row r="120" spans="1:12" ht="18" hidden="1" customHeight="1" outlineLevel="1" x14ac:dyDescent="0.25">
      <c r="A120" s="898"/>
      <c r="B120" s="1526" t="s">
        <v>75</v>
      </c>
      <c r="C120" s="2132">
        <v>5136</v>
      </c>
      <c r="D120" s="843">
        <f>'Výdaje kapitol celkem'!F20/1000</f>
        <v>313</v>
      </c>
      <c r="E120" s="212">
        <f t="shared" ref="E120:I151" si="58">+D120*1.03</f>
        <v>322.39</v>
      </c>
      <c r="F120" s="212">
        <f t="shared" si="58"/>
        <v>332.06169999999997</v>
      </c>
      <c r="G120" s="212">
        <f t="shared" si="58"/>
        <v>342.023551</v>
      </c>
      <c r="H120" s="212">
        <f t="shared" si="58"/>
        <v>352.28425752999999</v>
      </c>
      <c r="I120" s="212">
        <f t="shared" si="58"/>
        <v>362.85278525590002</v>
      </c>
      <c r="J120" s="291"/>
    </row>
    <row r="121" spans="1:12" ht="16.5" hidden="1" outlineLevel="1" thickTop="1" x14ac:dyDescent="0.25">
      <c r="A121" s="904"/>
      <c r="B121" s="1530" t="s">
        <v>76</v>
      </c>
      <c r="C121" s="2135">
        <v>5137</v>
      </c>
      <c r="D121" s="2154">
        <f>'Výdaje kapitol celkem'!F21/1000</f>
        <v>2110</v>
      </c>
      <c r="E121" s="212">
        <f t="shared" si="58"/>
        <v>2173.3000000000002</v>
      </c>
      <c r="F121" s="212">
        <f t="shared" si="58"/>
        <v>2238.4990000000003</v>
      </c>
      <c r="G121" s="212">
        <f t="shared" si="58"/>
        <v>2305.6539700000003</v>
      </c>
      <c r="H121" s="212">
        <f t="shared" si="58"/>
        <v>2374.8235891000004</v>
      </c>
      <c r="I121" s="212">
        <f t="shared" si="58"/>
        <v>2446.0682967730004</v>
      </c>
      <c r="J121" s="291"/>
    </row>
    <row r="122" spans="1:12" ht="18" hidden="1" customHeight="1" outlineLevel="1" x14ac:dyDescent="0.25">
      <c r="A122" s="898"/>
      <c r="B122" s="1526" t="s">
        <v>77</v>
      </c>
      <c r="C122" s="2132">
        <v>5139</v>
      </c>
      <c r="D122" s="843">
        <f>'Výdaje kapitol celkem'!F22/1000</f>
        <v>2269</v>
      </c>
      <c r="E122" s="212">
        <f t="shared" si="58"/>
        <v>2337.0700000000002</v>
      </c>
      <c r="F122" s="212">
        <f t="shared" si="58"/>
        <v>2407.1821000000004</v>
      </c>
      <c r="G122" s="212">
        <f t="shared" si="58"/>
        <v>2479.3975630000004</v>
      </c>
      <c r="H122" s="212">
        <f t="shared" si="58"/>
        <v>2553.7794898900006</v>
      </c>
      <c r="I122" s="212">
        <f t="shared" si="58"/>
        <v>2630.3928745867006</v>
      </c>
      <c r="J122" s="291"/>
    </row>
    <row r="123" spans="1:12" ht="18" hidden="1" customHeight="1" outlineLevel="1" x14ac:dyDescent="0.25">
      <c r="A123" s="898"/>
      <c r="B123" s="1526" t="s">
        <v>78</v>
      </c>
      <c r="C123" s="2132">
        <v>5151</v>
      </c>
      <c r="D123" s="843">
        <f>'Výdaje kapitol celkem'!F23/1000</f>
        <v>710</v>
      </c>
      <c r="E123" s="212">
        <f t="shared" si="58"/>
        <v>731.30000000000007</v>
      </c>
      <c r="F123" s="212">
        <f t="shared" si="58"/>
        <v>753.23900000000015</v>
      </c>
      <c r="G123" s="212">
        <f t="shared" si="58"/>
        <v>775.83617000000015</v>
      </c>
      <c r="H123" s="212">
        <f t="shared" si="58"/>
        <v>799.11125510000022</v>
      </c>
      <c r="I123" s="212">
        <f t="shared" si="58"/>
        <v>823.08459275300027</v>
      </c>
      <c r="J123" s="291"/>
    </row>
    <row r="124" spans="1:12" ht="18" hidden="1" customHeight="1" outlineLevel="1" x14ac:dyDescent="0.25">
      <c r="A124" s="898"/>
      <c r="B124" s="1526" t="s">
        <v>79</v>
      </c>
      <c r="C124" s="2132">
        <v>5153</v>
      </c>
      <c r="D124" s="843">
        <f>'Výdaje kapitol celkem'!F24/1000</f>
        <v>5440.45</v>
      </c>
      <c r="E124" s="212">
        <f t="shared" si="58"/>
        <v>5603.6634999999997</v>
      </c>
      <c r="F124" s="212">
        <f t="shared" si="58"/>
        <v>5771.7734049999999</v>
      </c>
      <c r="G124" s="212">
        <f>+F124</f>
        <v>5771.7734049999999</v>
      </c>
      <c r="H124" s="212">
        <f>+G124</f>
        <v>5771.7734049999999</v>
      </c>
      <c r="I124" s="212">
        <f t="shared" si="58"/>
        <v>5944.9266071499997</v>
      </c>
      <c r="J124" s="291"/>
    </row>
    <row r="125" spans="1:12" ht="18" hidden="1" customHeight="1" outlineLevel="1" x14ac:dyDescent="0.25">
      <c r="A125" s="898"/>
      <c r="B125" s="1526" t="s">
        <v>80</v>
      </c>
      <c r="C125" s="2132">
        <v>5154</v>
      </c>
      <c r="D125" s="843">
        <f>'Výdaje kapitol celkem'!F25/1000</f>
        <v>7444.8</v>
      </c>
      <c r="E125" s="212">
        <f t="shared" si="58"/>
        <v>7668.1440000000002</v>
      </c>
      <c r="F125" s="212">
        <f t="shared" si="58"/>
        <v>7898.1883200000002</v>
      </c>
      <c r="G125" s="212">
        <f t="shared" si="58"/>
        <v>8135.1339696000005</v>
      </c>
      <c r="H125" s="212">
        <f>+G125</f>
        <v>8135.1339696000005</v>
      </c>
      <c r="I125" s="212">
        <f>+H125</f>
        <v>8135.1339696000005</v>
      </c>
      <c r="J125" s="291"/>
    </row>
    <row r="126" spans="1:12" ht="18" hidden="1" customHeight="1" outlineLevel="1" x14ac:dyDescent="0.25">
      <c r="A126" s="898"/>
      <c r="B126" s="1526" t="s">
        <v>81</v>
      </c>
      <c r="C126" s="2132">
        <v>5156</v>
      </c>
      <c r="D126" s="843">
        <f>'Výdaje kapitol celkem'!F26/1000</f>
        <v>640</v>
      </c>
      <c r="E126" s="212">
        <f t="shared" si="58"/>
        <v>659.2</v>
      </c>
      <c r="F126" s="212">
        <f t="shared" si="58"/>
        <v>678.97600000000011</v>
      </c>
      <c r="G126" s="212">
        <f t="shared" si="58"/>
        <v>699.34528000000012</v>
      </c>
      <c r="H126" s="212">
        <f t="shared" si="58"/>
        <v>720.32563840000012</v>
      </c>
      <c r="I126" s="212">
        <f t="shared" si="58"/>
        <v>741.93540755200013</v>
      </c>
      <c r="J126" s="291"/>
    </row>
    <row r="127" spans="1:12" ht="18" hidden="1" customHeight="1" outlineLevel="1" x14ac:dyDescent="0.25">
      <c r="A127" s="898"/>
      <c r="B127" s="1526" t="s">
        <v>82</v>
      </c>
      <c r="C127" s="2132">
        <v>5161</v>
      </c>
      <c r="D127" s="843">
        <f>'Výdaje kapitol celkem'!F27/1000</f>
        <v>695</v>
      </c>
      <c r="E127" s="212">
        <f t="shared" si="58"/>
        <v>715.85</v>
      </c>
      <c r="F127" s="212">
        <f t="shared" si="58"/>
        <v>737.32550000000003</v>
      </c>
      <c r="G127" s="212">
        <f t="shared" si="58"/>
        <v>759.44526500000006</v>
      </c>
      <c r="H127" s="212">
        <f t="shared" si="58"/>
        <v>782.22862295000004</v>
      </c>
      <c r="I127" s="212">
        <f t="shared" si="58"/>
        <v>805.69548163850004</v>
      </c>
      <c r="J127" s="291"/>
    </row>
    <row r="128" spans="1:12" ht="18" hidden="1" customHeight="1" outlineLevel="1" x14ac:dyDescent="0.25">
      <c r="A128" s="898"/>
      <c r="B128" s="1526" t="s">
        <v>83</v>
      </c>
      <c r="C128" s="2132">
        <v>5162</v>
      </c>
      <c r="D128" s="843">
        <f>'Výdaje kapitol celkem'!F28/1000</f>
        <v>564</v>
      </c>
      <c r="E128" s="212">
        <f t="shared" si="58"/>
        <v>580.91999999999996</v>
      </c>
      <c r="F128" s="212">
        <f t="shared" si="58"/>
        <v>598.34759999999994</v>
      </c>
      <c r="G128" s="212">
        <f t="shared" si="58"/>
        <v>616.29802799999993</v>
      </c>
      <c r="H128" s="212">
        <f t="shared" si="58"/>
        <v>634.78696883999999</v>
      </c>
      <c r="I128" s="212">
        <f t="shared" si="58"/>
        <v>653.83057790520002</v>
      </c>
      <c r="J128" s="291"/>
    </row>
    <row r="129" spans="1:11" ht="18" hidden="1" customHeight="1" outlineLevel="1" x14ac:dyDescent="0.25">
      <c r="A129" s="898"/>
      <c r="B129" s="1526" t="s">
        <v>84</v>
      </c>
      <c r="C129" s="2132">
        <v>5163</v>
      </c>
      <c r="D129" s="843">
        <f>'Výdaje kapitol celkem'!F29/1000</f>
        <v>1096.68</v>
      </c>
      <c r="E129" s="212">
        <f t="shared" si="58"/>
        <v>1129.5804000000001</v>
      </c>
      <c r="F129" s="212">
        <f t="shared" si="58"/>
        <v>1163.4678120000001</v>
      </c>
      <c r="G129" s="212">
        <f t="shared" si="58"/>
        <v>1198.3718463600001</v>
      </c>
      <c r="H129" s="212">
        <f t="shared" si="58"/>
        <v>1234.3230017508001</v>
      </c>
      <c r="I129" s="212">
        <f t="shared" si="58"/>
        <v>1271.3526918033242</v>
      </c>
      <c r="J129" s="291"/>
    </row>
    <row r="130" spans="1:11" ht="18" hidden="1" customHeight="1" outlineLevel="1" x14ac:dyDescent="0.25">
      <c r="A130" s="898"/>
      <c r="B130" s="1526" t="s">
        <v>85</v>
      </c>
      <c r="C130" s="2132">
        <v>5164</v>
      </c>
      <c r="D130" s="843">
        <f>'Výdaje kapitol celkem'!F30/1000</f>
        <v>1538.1369999999999</v>
      </c>
      <c r="E130" s="212">
        <f t="shared" si="58"/>
        <v>1584.2811099999999</v>
      </c>
      <c r="F130" s="212">
        <f t="shared" si="58"/>
        <v>1631.8095432999999</v>
      </c>
      <c r="G130" s="212">
        <f t="shared" si="58"/>
        <v>1680.7638295989998</v>
      </c>
      <c r="H130" s="212">
        <f t="shared" si="58"/>
        <v>1731.1867444869699</v>
      </c>
      <c r="I130" s="212">
        <f t="shared" si="58"/>
        <v>1783.1223468215792</v>
      </c>
      <c r="J130" s="291"/>
      <c r="K130" s="296"/>
    </row>
    <row r="131" spans="1:11" ht="18" hidden="1" customHeight="1" outlineLevel="1" x14ac:dyDescent="0.25">
      <c r="A131" s="898"/>
      <c r="B131" s="1526" t="s">
        <v>86</v>
      </c>
      <c r="C131" s="2132">
        <v>5166</v>
      </c>
      <c r="D131" s="843">
        <f>'Výdaje kapitol celkem'!F31/1000</f>
        <v>700</v>
      </c>
      <c r="E131" s="212">
        <f t="shared" si="58"/>
        <v>721</v>
      </c>
      <c r="F131" s="212">
        <f t="shared" si="58"/>
        <v>742.63</v>
      </c>
      <c r="G131" s="212">
        <f t="shared" si="58"/>
        <v>764.90890000000002</v>
      </c>
      <c r="H131" s="212">
        <f t="shared" si="58"/>
        <v>787.85616700000003</v>
      </c>
      <c r="I131" s="212">
        <f t="shared" si="58"/>
        <v>811.49185201</v>
      </c>
      <c r="J131" s="291"/>
    </row>
    <row r="132" spans="1:11" ht="18" hidden="1" customHeight="1" outlineLevel="1" x14ac:dyDescent="0.25">
      <c r="A132" s="898"/>
      <c r="B132" s="1526" t="s">
        <v>87</v>
      </c>
      <c r="C132" s="2132">
        <v>5167</v>
      </c>
      <c r="D132" s="843">
        <f>'Výdaje kapitol celkem'!F32/1000</f>
        <v>375</v>
      </c>
      <c r="E132" s="212">
        <f t="shared" si="58"/>
        <v>386.25</v>
      </c>
      <c r="F132" s="212">
        <f t="shared" si="58"/>
        <v>397.83750000000003</v>
      </c>
      <c r="G132" s="212">
        <f t="shared" si="58"/>
        <v>409.77262500000006</v>
      </c>
      <c r="H132" s="212">
        <f t="shared" si="58"/>
        <v>422.0658037500001</v>
      </c>
      <c r="I132" s="212">
        <f t="shared" si="58"/>
        <v>434.72777786250009</v>
      </c>
      <c r="J132" s="291"/>
    </row>
    <row r="133" spans="1:11" ht="18" hidden="1" customHeight="1" outlineLevel="1" x14ac:dyDescent="0.25">
      <c r="A133" s="898"/>
      <c r="B133" s="1526" t="s">
        <v>88</v>
      </c>
      <c r="C133" s="2132">
        <v>5168</v>
      </c>
      <c r="D133" s="843">
        <f>'Výdaje kapitol celkem'!F33/1000</f>
        <v>615</v>
      </c>
      <c r="E133" s="212">
        <f t="shared" si="58"/>
        <v>633.45000000000005</v>
      </c>
      <c r="F133" s="212">
        <f t="shared" si="58"/>
        <v>652.45350000000008</v>
      </c>
      <c r="G133" s="212">
        <f t="shared" si="58"/>
        <v>672.02710500000012</v>
      </c>
      <c r="H133" s="212">
        <f t="shared" si="58"/>
        <v>692.18791815000009</v>
      </c>
      <c r="I133" s="212">
        <f t="shared" si="58"/>
        <v>712.9535556945001</v>
      </c>
      <c r="J133" s="291"/>
    </row>
    <row r="134" spans="1:11" ht="16.5" hidden="1" outlineLevel="1" thickTop="1" x14ac:dyDescent="0.25">
      <c r="A134" s="904"/>
      <c r="B134" s="1530" t="s">
        <v>89</v>
      </c>
      <c r="C134" s="2135">
        <v>5169</v>
      </c>
      <c r="D134" s="2154">
        <f>'Výdaje kapitol celkem'!F34/1000</f>
        <v>18712.900000000001</v>
      </c>
      <c r="E134" s="212">
        <f t="shared" si="58"/>
        <v>19274.287</v>
      </c>
      <c r="F134" s="212">
        <f t="shared" si="58"/>
        <v>19852.515610000002</v>
      </c>
      <c r="G134" s="212">
        <f t="shared" si="58"/>
        <v>20448.091078300004</v>
      </c>
      <c r="H134" s="212">
        <f t="shared" si="58"/>
        <v>21061.533810649005</v>
      </c>
      <c r="I134" s="212">
        <f t="shared" si="58"/>
        <v>21693.379824968477</v>
      </c>
      <c r="J134" s="291"/>
      <c r="K134" s="296"/>
    </row>
    <row r="135" spans="1:11" s="295" customFormat="1" ht="16.5" hidden="1" outlineLevel="1" thickTop="1" x14ac:dyDescent="0.25">
      <c r="A135" s="904"/>
      <c r="B135" s="1530" t="s">
        <v>90</v>
      </c>
      <c r="C135" s="2135">
        <v>5171</v>
      </c>
      <c r="D135" s="2154">
        <f>'Výdaje kapitol celkem'!F35/1000</f>
        <v>26616.48</v>
      </c>
      <c r="E135" s="212">
        <f t="shared" si="58"/>
        <v>27414.974399999999</v>
      </c>
      <c r="F135" s="212">
        <f t="shared" si="58"/>
        <v>28237.423631999998</v>
      </c>
      <c r="G135" s="212">
        <f t="shared" si="58"/>
        <v>29084.546340959998</v>
      </c>
      <c r="H135" s="212">
        <f t="shared" si="58"/>
        <v>29957.082731188799</v>
      </c>
      <c r="I135" s="212">
        <f t="shared" si="58"/>
        <v>30855.795213124464</v>
      </c>
      <c r="J135" s="1870"/>
    </row>
    <row r="136" spans="1:11" ht="18" hidden="1" customHeight="1" outlineLevel="1" x14ac:dyDescent="0.25">
      <c r="A136" s="898"/>
      <c r="B136" s="1526" t="s">
        <v>91</v>
      </c>
      <c r="C136" s="2132">
        <v>5172</v>
      </c>
      <c r="D136" s="843">
        <f>'Výdaje kapitol celkem'!F36/1000</f>
        <v>3364.3</v>
      </c>
      <c r="E136" s="212">
        <f t="shared" si="58"/>
        <v>3465.2290000000003</v>
      </c>
      <c r="F136" s="212">
        <f t="shared" si="58"/>
        <v>3569.1858700000003</v>
      </c>
      <c r="G136" s="212">
        <f t="shared" si="58"/>
        <v>3676.2614461000003</v>
      </c>
      <c r="H136" s="212">
        <f t="shared" si="58"/>
        <v>3786.5492894830004</v>
      </c>
      <c r="I136" s="212">
        <f t="shared" si="58"/>
        <v>3900.1457681674906</v>
      </c>
      <c r="J136" s="291"/>
    </row>
    <row r="137" spans="1:11" ht="18" hidden="1" customHeight="1" outlineLevel="1" x14ac:dyDescent="0.25">
      <c r="A137" s="898"/>
      <c r="B137" s="1526" t="s">
        <v>92</v>
      </c>
      <c r="C137" s="2132">
        <v>5173</v>
      </c>
      <c r="D137" s="843">
        <f>'Výdaje kapitol celkem'!F37/1000</f>
        <v>62</v>
      </c>
      <c r="E137" s="212">
        <f t="shared" si="58"/>
        <v>63.86</v>
      </c>
      <c r="F137" s="212">
        <f t="shared" si="58"/>
        <v>65.775800000000004</v>
      </c>
      <c r="G137" s="212">
        <f t="shared" si="58"/>
        <v>67.749074000000007</v>
      </c>
      <c r="H137" s="212">
        <f t="shared" si="58"/>
        <v>69.78154622000001</v>
      </c>
      <c r="I137" s="212">
        <f t="shared" si="58"/>
        <v>71.874992606600017</v>
      </c>
      <c r="J137" s="291"/>
    </row>
    <row r="138" spans="1:11" ht="18" hidden="1" customHeight="1" outlineLevel="1" x14ac:dyDescent="0.25">
      <c r="A138" s="898"/>
      <c r="B138" s="1526" t="s">
        <v>93</v>
      </c>
      <c r="C138" s="2132">
        <v>5175</v>
      </c>
      <c r="D138" s="843">
        <f>'Výdaje kapitol celkem'!F38/1000</f>
        <v>431</v>
      </c>
      <c r="E138" s="212">
        <f t="shared" si="58"/>
        <v>443.93</v>
      </c>
      <c r="F138" s="212">
        <f t="shared" si="58"/>
        <v>457.24790000000002</v>
      </c>
      <c r="G138" s="212">
        <f t="shared" si="58"/>
        <v>470.96533700000003</v>
      </c>
      <c r="H138" s="212">
        <f t="shared" si="58"/>
        <v>485.09429711000007</v>
      </c>
      <c r="I138" s="212">
        <f t="shared" si="58"/>
        <v>499.64712602330007</v>
      </c>
      <c r="J138" s="291"/>
    </row>
    <row r="139" spans="1:11" ht="18" hidden="1" customHeight="1" outlineLevel="1" x14ac:dyDescent="0.25">
      <c r="A139" s="898"/>
      <c r="B139" s="1526" t="s">
        <v>94</v>
      </c>
      <c r="C139" s="2132">
        <v>5179</v>
      </c>
      <c r="D139" s="843">
        <f>'Výdaje kapitol celkem'!F39/1000</f>
        <v>0</v>
      </c>
      <c r="E139" s="212">
        <f t="shared" si="58"/>
        <v>0</v>
      </c>
      <c r="F139" s="212">
        <f t="shared" si="58"/>
        <v>0</v>
      </c>
      <c r="G139" s="212">
        <f t="shared" si="58"/>
        <v>0</v>
      </c>
      <c r="H139" s="212">
        <f t="shared" si="58"/>
        <v>0</v>
      </c>
      <c r="I139" s="212">
        <f t="shared" si="58"/>
        <v>0</v>
      </c>
      <c r="J139" s="291"/>
    </row>
    <row r="140" spans="1:11" ht="18" hidden="1" customHeight="1" outlineLevel="1" x14ac:dyDescent="0.25">
      <c r="A140" s="898"/>
      <c r="B140" s="1526" t="s">
        <v>359</v>
      </c>
      <c r="C140" s="2132">
        <v>5192</v>
      </c>
      <c r="D140" s="843">
        <f>'Výdaje kapitol celkem'!F40/1000</f>
        <v>0</v>
      </c>
      <c r="E140" s="212">
        <f t="shared" si="58"/>
        <v>0</v>
      </c>
      <c r="F140" s="212">
        <f t="shared" si="58"/>
        <v>0</v>
      </c>
      <c r="G140" s="212">
        <f t="shared" si="58"/>
        <v>0</v>
      </c>
      <c r="H140" s="212">
        <f t="shared" si="58"/>
        <v>0</v>
      </c>
      <c r="I140" s="212">
        <f t="shared" si="58"/>
        <v>0</v>
      </c>
      <c r="J140" s="291"/>
    </row>
    <row r="141" spans="1:11" ht="18" hidden="1" customHeight="1" outlineLevel="1" x14ac:dyDescent="0.25">
      <c r="A141" s="898"/>
      <c r="B141" s="1526" t="s">
        <v>95</v>
      </c>
      <c r="C141" s="2132">
        <v>5193</v>
      </c>
      <c r="D141" s="843">
        <f>'Výdaje kapitol celkem'!F41/1000</f>
        <v>2978.5749999999998</v>
      </c>
      <c r="E141" s="212">
        <f t="shared" si="58"/>
        <v>3067.9322499999998</v>
      </c>
      <c r="F141" s="212">
        <f t="shared" si="58"/>
        <v>3159.9702174999998</v>
      </c>
      <c r="G141" s="212">
        <f t="shared" si="58"/>
        <v>3254.7693240250001</v>
      </c>
      <c r="H141" s="212">
        <f t="shared" si="58"/>
        <v>3352.41240374575</v>
      </c>
      <c r="I141" s="212">
        <f t="shared" si="58"/>
        <v>3452.9847758581227</v>
      </c>
      <c r="J141" s="291"/>
    </row>
    <row r="142" spans="1:11" ht="18" hidden="1" customHeight="1" outlineLevel="1" x14ac:dyDescent="0.25">
      <c r="A142" s="898"/>
      <c r="B142" s="1526" t="s">
        <v>96</v>
      </c>
      <c r="C142" s="2132">
        <v>5194</v>
      </c>
      <c r="D142" s="843">
        <f>'Výdaje kapitol celkem'!F42/1000</f>
        <v>310</v>
      </c>
      <c r="E142" s="212">
        <f t="shared" si="58"/>
        <v>319.3</v>
      </c>
      <c r="F142" s="212">
        <f t="shared" si="58"/>
        <v>328.87900000000002</v>
      </c>
      <c r="G142" s="212">
        <f t="shared" si="58"/>
        <v>338.74537000000004</v>
      </c>
      <c r="H142" s="212">
        <f t="shared" si="58"/>
        <v>348.90773110000003</v>
      </c>
      <c r="I142" s="212">
        <f t="shared" si="58"/>
        <v>359.37496303300003</v>
      </c>
      <c r="J142" s="291"/>
    </row>
    <row r="143" spans="1:11" ht="18" hidden="1" customHeight="1" outlineLevel="1" x14ac:dyDescent="0.25">
      <c r="A143" s="898"/>
      <c r="B143" s="1526" t="s">
        <v>97</v>
      </c>
      <c r="C143" s="2132">
        <v>5329</v>
      </c>
      <c r="D143" s="843">
        <f>'Výdaje kapitol celkem'!F43/1000</f>
        <v>2514.38</v>
      </c>
      <c r="E143" s="212">
        <f t="shared" si="58"/>
        <v>2589.8114</v>
      </c>
      <c r="F143" s="212">
        <f t="shared" si="58"/>
        <v>2667.5057420000003</v>
      </c>
      <c r="G143" s="212">
        <f t="shared" si="58"/>
        <v>2747.5309142600004</v>
      </c>
      <c r="H143" s="212">
        <f t="shared" si="58"/>
        <v>2829.9568416878005</v>
      </c>
      <c r="I143" s="212">
        <f t="shared" si="58"/>
        <v>2914.8555469384346</v>
      </c>
      <c r="J143" s="291"/>
    </row>
    <row r="144" spans="1:11" s="295" customFormat="1" ht="16.5" hidden="1" outlineLevel="1" thickTop="1" x14ac:dyDescent="0.25">
      <c r="A144" s="904"/>
      <c r="B144" s="1530" t="s">
        <v>98</v>
      </c>
      <c r="C144" s="2135">
        <v>5331</v>
      </c>
      <c r="D144" s="2154">
        <f>'Výdaje kapitol celkem'!F44/1000</f>
        <v>40903.591999999997</v>
      </c>
      <c r="E144" s="212">
        <f t="shared" si="58"/>
        <v>42130.699759999996</v>
      </c>
      <c r="F144" s="212">
        <f t="shared" si="58"/>
        <v>43394.620752799994</v>
      </c>
      <c r="G144" s="212">
        <f t="shared" si="58"/>
        <v>44696.459375383994</v>
      </c>
      <c r="H144" s="212">
        <f t="shared" si="58"/>
        <v>46037.353156645513</v>
      </c>
      <c r="I144" s="212">
        <f t="shared" si="58"/>
        <v>47418.473751344878</v>
      </c>
      <c r="J144" s="1859"/>
    </row>
    <row r="145" spans="1:10" ht="18" hidden="1" customHeight="1" outlineLevel="1" x14ac:dyDescent="0.25">
      <c r="A145" s="898"/>
      <c r="B145" s="1526" t="s">
        <v>99</v>
      </c>
      <c r="C145" s="2132">
        <v>5361</v>
      </c>
      <c r="D145" s="843">
        <f>'Výdaje kapitol celkem'!F45/1000</f>
        <v>40</v>
      </c>
      <c r="E145" s="212">
        <f t="shared" si="58"/>
        <v>41.2</v>
      </c>
      <c r="F145" s="212">
        <f t="shared" si="58"/>
        <v>42.436000000000007</v>
      </c>
      <c r="G145" s="212">
        <f t="shared" si="58"/>
        <v>43.709080000000007</v>
      </c>
      <c r="H145" s="212">
        <f t="shared" si="58"/>
        <v>45.020352400000007</v>
      </c>
      <c r="I145" s="212">
        <f t="shared" si="58"/>
        <v>46.370962972000008</v>
      </c>
      <c r="J145" s="291"/>
    </row>
    <row r="146" spans="1:10" ht="18" hidden="1" customHeight="1" outlineLevel="1" x14ac:dyDescent="0.25">
      <c r="A146" s="898"/>
      <c r="B146" s="1526" t="s">
        <v>100</v>
      </c>
      <c r="C146" s="2132">
        <v>5362</v>
      </c>
      <c r="D146" s="843">
        <f>'Výdaje kapitol celkem'!F46/1000</f>
        <v>1130</v>
      </c>
      <c r="E146" s="212">
        <f t="shared" si="58"/>
        <v>1163.9000000000001</v>
      </c>
      <c r="F146" s="212">
        <f t="shared" si="58"/>
        <v>1198.8170000000002</v>
      </c>
      <c r="G146" s="212">
        <f t="shared" si="58"/>
        <v>1234.7815100000003</v>
      </c>
      <c r="H146" s="212">
        <f t="shared" si="58"/>
        <v>1271.8249553000003</v>
      </c>
      <c r="I146" s="212">
        <f t="shared" si="58"/>
        <v>1309.9797039590003</v>
      </c>
      <c r="J146" s="291"/>
    </row>
    <row r="147" spans="1:10" ht="18" hidden="1" customHeight="1" outlineLevel="1" x14ac:dyDescent="0.25">
      <c r="A147" s="898"/>
      <c r="B147" s="1526" t="s">
        <v>781</v>
      </c>
      <c r="C147" s="2132">
        <v>5363</v>
      </c>
      <c r="D147" s="843">
        <f>'Výdaje kapitol celkem'!F47/1000</f>
        <v>0</v>
      </c>
      <c r="E147" s="212">
        <f t="shared" si="58"/>
        <v>0</v>
      </c>
      <c r="F147" s="212">
        <f t="shared" si="58"/>
        <v>0</v>
      </c>
      <c r="G147" s="212">
        <f t="shared" si="58"/>
        <v>0</v>
      </c>
      <c r="H147" s="212">
        <f t="shared" si="58"/>
        <v>0</v>
      </c>
      <c r="I147" s="212">
        <f t="shared" si="58"/>
        <v>0</v>
      </c>
      <c r="J147" s="291"/>
    </row>
    <row r="148" spans="1:10" ht="16.5" hidden="1" outlineLevel="1" thickTop="1" x14ac:dyDescent="0.25">
      <c r="A148" s="898"/>
      <c r="B148" s="1526" t="s">
        <v>101</v>
      </c>
      <c r="C148" s="2132">
        <v>5492</v>
      </c>
      <c r="D148" s="843">
        <f>'Výdaje kapitol celkem'!F48/1000</f>
        <v>930</v>
      </c>
      <c r="E148" s="212">
        <f t="shared" si="58"/>
        <v>957.9</v>
      </c>
      <c r="F148" s="212">
        <f t="shared" si="58"/>
        <v>986.63700000000006</v>
      </c>
      <c r="G148" s="212">
        <f t="shared" si="58"/>
        <v>1016.2361100000001</v>
      </c>
      <c r="H148" s="212">
        <f t="shared" si="58"/>
        <v>1046.7231933</v>
      </c>
      <c r="I148" s="212">
        <f t="shared" si="58"/>
        <v>1078.124889099</v>
      </c>
      <c r="J148" s="1864"/>
    </row>
    <row r="149" spans="1:10" ht="18" hidden="1" customHeight="1" outlineLevel="1" x14ac:dyDescent="0.25">
      <c r="A149" s="898"/>
      <c r="B149" s="1526" t="s">
        <v>740</v>
      </c>
      <c r="C149" s="2132">
        <v>5499</v>
      </c>
      <c r="D149" s="843">
        <f>'Výdaje kapitol celkem'!F49/1000</f>
        <v>1620</v>
      </c>
      <c r="E149" s="212">
        <f t="shared" si="58"/>
        <v>1668.6000000000001</v>
      </c>
      <c r="F149" s="212">
        <f t="shared" si="58"/>
        <v>1718.6580000000001</v>
      </c>
      <c r="G149" s="212">
        <f t="shared" si="58"/>
        <v>1770.2177400000003</v>
      </c>
      <c r="H149" s="212">
        <f t="shared" si="58"/>
        <v>1823.3242722000002</v>
      </c>
      <c r="I149" s="212">
        <f t="shared" si="58"/>
        <v>1878.0240003660003</v>
      </c>
      <c r="J149" s="291"/>
    </row>
    <row r="150" spans="1:10" ht="18" hidden="1" customHeight="1" outlineLevel="1" x14ac:dyDescent="0.25">
      <c r="A150" s="898"/>
      <c r="B150" s="1526" t="s">
        <v>102</v>
      </c>
      <c r="C150" s="2132">
        <v>5222</v>
      </c>
      <c r="D150" s="843">
        <f>'Výdaje kapitol celkem'!F50/1000</f>
        <v>1195</v>
      </c>
      <c r="E150" s="212">
        <f t="shared" si="58"/>
        <v>1230.8500000000001</v>
      </c>
      <c r="F150" s="212">
        <f t="shared" si="58"/>
        <v>1267.7755000000002</v>
      </c>
      <c r="G150" s="212">
        <f t="shared" si="58"/>
        <v>1305.8087650000002</v>
      </c>
      <c r="H150" s="212">
        <f t="shared" si="58"/>
        <v>1344.9830279500002</v>
      </c>
      <c r="I150" s="212">
        <f t="shared" si="58"/>
        <v>1385.3325187885002</v>
      </c>
      <c r="J150" s="291"/>
    </row>
    <row r="151" spans="1:10" ht="18" hidden="1" customHeight="1" outlineLevel="1" x14ac:dyDescent="0.25">
      <c r="A151" s="898"/>
      <c r="B151" s="1526" t="s">
        <v>767</v>
      </c>
      <c r="C151" s="2132">
        <v>5903</v>
      </c>
      <c r="D151" s="843">
        <f>'Výdaje kapitol celkem'!F51/1000</f>
        <v>69.012591499999999</v>
      </c>
      <c r="E151" s="212">
        <f t="shared" si="58"/>
        <v>71.082969245000001</v>
      </c>
      <c r="F151" s="212">
        <f t="shared" si="58"/>
        <v>73.215458322350003</v>
      </c>
      <c r="G151" s="212">
        <f t="shared" si="58"/>
        <v>75.411922072020502</v>
      </c>
      <c r="H151" s="212">
        <f t="shared" si="58"/>
        <v>77.674279734181113</v>
      </c>
      <c r="I151" s="212">
        <f t="shared" si="58"/>
        <v>80.004508126206545</v>
      </c>
      <c r="J151" s="291"/>
    </row>
    <row r="152" spans="1:10" s="288" customFormat="1" ht="18" hidden="1" customHeight="1" outlineLevel="1" x14ac:dyDescent="0.25">
      <c r="A152" s="897"/>
      <c r="B152" s="1531" t="s">
        <v>130</v>
      </c>
      <c r="C152" s="2128">
        <v>5141</v>
      </c>
      <c r="D152" s="2142">
        <f>'Výdaje kapitol celkem'!F53/1000</f>
        <v>2952.54502026</v>
      </c>
      <c r="E152" s="443">
        <f>+('plán - úvěrů a úroků'!J12+'plán - úvěrů a úroků'!J14+'plán - úvěrů a úroků'!J17+'plán - úvěrů a úroků'!J19+'plán - úvěrů a úroků'!J21)/1000</f>
        <v>2127.7844479999999</v>
      </c>
      <c r="F152" s="443">
        <f>+('plán - úvěrů a úroků'!K12+'plán - úvěrů a úroků'!K14+'plán - úvěrů a úroků'!K17+'plán - úvěrů a úroků'!K19+'plán - úvěrů a úroků'!K21)/1000</f>
        <v>1957.621324</v>
      </c>
      <c r="G152" s="443">
        <f>+('plán - úvěrů a úroků'!L12+'plán - úvěrů a úroků'!L14+'plán - úvěrů a úroků'!L17+'plán - úvěrů a úroků'!L19+'plán - úvěrů a úroků'!L21)/1000</f>
        <v>1816.0938000000001</v>
      </c>
      <c r="H152" s="443">
        <f>+('plán - úvěrů a úroků'!M12+'plán - úvěrů a úroků'!M14+'plán - úvěrů a úroků'!M17+'plán - úvěrů a úroků'!M19+'plán - úvěrů a úroků'!M21)/1000</f>
        <v>1674.5662759999998</v>
      </c>
      <c r="I152" s="443">
        <f>+('plán - úvěrů a úroků'!N12+'plán - úvěrů a úroků'!N14+'plán - úvěrů a úroků'!N17+'plán - úvěrů a úroků'!N19+'plán - úvěrů a úroků'!N21)/1000</f>
        <v>1533.0387520000002</v>
      </c>
      <c r="J152" s="291"/>
    </row>
    <row r="153" spans="1:10" ht="16.5" hidden="1" outlineLevel="1" thickTop="1" x14ac:dyDescent="0.25">
      <c r="A153" s="898"/>
      <c r="B153" s="1526" t="s">
        <v>741</v>
      </c>
      <c r="C153" s="2130">
        <v>5144</v>
      </c>
      <c r="D153" s="844">
        <f>'Výdaje kapitol celkem'!F54/1000</f>
        <v>0</v>
      </c>
      <c r="E153" s="1525"/>
      <c r="F153" s="1525"/>
      <c r="G153" s="1525"/>
      <c r="H153" s="1525"/>
      <c r="I153" s="1525"/>
      <c r="J153" s="291"/>
    </row>
    <row r="154" spans="1:10" s="282" customFormat="1" ht="18" collapsed="1" thickTop="1" thickBot="1" x14ac:dyDescent="0.35">
      <c r="A154" s="1937" t="s">
        <v>242</v>
      </c>
      <c r="B154" s="1957" t="s">
        <v>243</v>
      </c>
      <c r="C154" s="1939"/>
      <c r="D154" s="2144">
        <f>SUM(D155:D165)</f>
        <v>70231.778480000008</v>
      </c>
      <c r="E154" s="1941">
        <f t="shared" ref="E154:I154" si="59">SUM(E155:E165)</f>
        <v>38558.413864855967</v>
      </c>
      <c r="F154" s="1941">
        <f t="shared" si="59"/>
        <v>86472.196162764478</v>
      </c>
      <c r="G154" s="1941">
        <f t="shared" si="59"/>
        <v>19320.245203455597</v>
      </c>
      <c r="H154" s="1941">
        <f t="shared" si="59"/>
        <v>7114.5376695463001</v>
      </c>
      <c r="I154" s="1941">
        <f t="shared" si="59"/>
        <v>8332.6839025916997</v>
      </c>
      <c r="J154" s="291"/>
    </row>
    <row r="155" spans="1:10" ht="21" hidden="1" customHeight="1" outlineLevel="1" thickTop="1" x14ac:dyDescent="0.25">
      <c r="A155" s="898"/>
      <c r="B155" s="1533" t="s">
        <v>91</v>
      </c>
      <c r="C155" s="2131">
        <v>6111</v>
      </c>
      <c r="D155" s="841">
        <f>'Výdaje kapitol celkem'!F57/1000</f>
        <v>0</v>
      </c>
      <c r="E155" s="902">
        <f>'Výdaje kapitol celkem'!G57</f>
        <v>0</v>
      </c>
      <c r="F155" s="902">
        <f>'Výdaje kapitol celkem'!H57</f>
        <v>0</v>
      </c>
      <c r="G155" s="902">
        <f>'Výdaje kapitol celkem'!I57</f>
        <v>0</v>
      </c>
      <c r="H155" s="902">
        <f>'Výdaje kapitol celkem'!J57</f>
        <v>0</v>
      </c>
      <c r="I155" s="902">
        <f>'Výdaje kapitol celkem'!K57</f>
        <v>0</v>
      </c>
      <c r="J155" s="291"/>
    </row>
    <row r="156" spans="1:10" s="295" customFormat="1" hidden="1" outlineLevel="1" x14ac:dyDescent="0.25">
      <c r="A156" s="904"/>
      <c r="B156" s="1530" t="s">
        <v>106</v>
      </c>
      <c r="C156" s="2135">
        <v>6121</v>
      </c>
      <c r="D156" s="2154">
        <f>'Výdaje kapitol celkem'!F58/1000</f>
        <v>55289.654480000005</v>
      </c>
      <c r="E156" s="906">
        <f>750+550+25000-12+3141-792+200</f>
        <v>28837</v>
      </c>
      <c r="F156" s="906">
        <f>48000+2368</f>
        <v>50368</v>
      </c>
      <c r="G156" s="906">
        <f>60000-58010</f>
        <v>1990</v>
      </c>
      <c r="H156" s="906">
        <f>50000-48000-494</f>
        <v>1506</v>
      </c>
      <c r="I156" s="906">
        <f>45000-40171</f>
        <v>4829</v>
      </c>
      <c r="J156" s="1870"/>
    </row>
    <row r="157" spans="1:10" s="295" customFormat="1" hidden="1" outlineLevel="1" x14ac:dyDescent="0.25">
      <c r="A157" s="904"/>
      <c r="B157" s="1530" t="s">
        <v>107</v>
      </c>
      <c r="C157" s="2135">
        <v>6121</v>
      </c>
      <c r="D157" s="843">
        <f>'Výdaje kapitol celkem'!F59/1000</f>
        <v>8660</v>
      </c>
      <c r="E157" s="212">
        <v>7221.4138648559647</v>
      </c>
      <c r="F157" s="212">
        <v>12104.196162764476</v>
      </c>
      <c r="G157" s="212">
        <v>15130.245203455595</v>
      </c>
      <c r="H157" s="212">
        <v>3608.5376695463001</v>
      </c>
      <c r="I157" s="212">
        <v>1347.6839025917</v>
      </c>
      <c r="J157" s="1870"/>
    </row>
    <row r="158" spans="1:10" hidden="1" outlineLevel="1" x14ac:dyDescent="0.25">
      <c r="A158" s="904"/>
      <c r="B158" s="1530" t="s">
        <v>108</v>
      </c>
      <c r="C158" s="2135">
        <v>6122</v>
      </c>
      <c r="D158" s="2154">
        <f>'Výdaje kapitol celkem'!F60/1000</f>
        <v>200</v>
      </c>
      <c r="E158" s="906"/>
      <c r="F158" s="906"/>
      <c r="G158" s="906"/>
      <c r="H158" s="906"/>
      <c r="I158" s="906"/>
      <c r="J158" s="291"/>
    </row>
    <row r="159" spans="1:10" ht="18.75" hidden="1" customHeight="1" outlineLevel="1" x14ac:dyDescent="0.25">
      <c r="A159" s="898"/>
      <c r="B159" s="1526" t="s">
        <v>109</v>
      </c>
      <c r="C159" s="2132">
        <v>6123</v>
      </c>
      <c r="D159" s="843">
        <f>'Výdaje kapitol celkem'!F61/1000</f>
        <v>0</v>
      </c>
      <c r="E159" s="212"/>
      <c r="F159" s="212"/>
      <c r="G159" s="212"/>
      <c r="H159" s="212"/>
      <c r="I159" s="212"/>
      <c r="J159" s="291"/>
    </row>
    <row r="160" spans="1:10" ht="18.75" hidden="1" customHeight="1" outlineLevel="1" x14ac:dyDescent="0.25">
      <c r="A160" s="898"/>
      <c r="B160" s="1526" t="s">
        <v>110</v>
      </c>
      <c r="C160" s="2132">
        <v>6125</v>
      </c>
      <c r="D160" s="843">
        <f>'Výdaje kapitol celkem'!F62/1000</f>
        <v>240</v>
      </c>
      <c r="E160" s="212"/>
      <c r="F160" s="212"/>
      <c r="G160" s="212"/>
      <c r="H160" s="212"/>
      <c r="I160" s="212"/>
      <c r="J160" s="291"/>
    </row>
    <row r="161" spans="1:10" ht="18.75" hidden="1" customHeight="1" outlineLevel="1" x14ac:dyDescent="0.25">
      <c r="A161" s="898"/>
      <c r="B161" s="1526" t="s">
        <v>111</v>
      </c>
      <c r="C161" s="2132">
        <v>6129</v>
      </c>
      <c r="D161" s="843">
        <f>'Výdaje kapitol celkem'!F63/1000</f>
        <v>0</v>
      </c>
      <c r="E161" s="212"/>
      <c r="F161" s="212"/>
      <c r="G161" s="212"/>
      <c r="H161" s="212"/>
      <c r="I161" s="212"/>
      <c r="J161" s="291"/>
    </row>
    <row r="162" spans="1:10" hidden="1" outlineLevel="1" x14ac:dyDescent="0.25">
      <c r="A162" s="898"/>
      <c r="B162" s="1526" t="s">
        <v>112</v>
      </c>
      <c r="C162" s="2132">
        <v>6130</v>
      </c>
      <c r="D162" s="843">
        <f>'Výdaje kapitol celkem'!F64/1000</f>
        <v>2472.1239999999998</v>
      </c>
      <c r="E162" s="212"/>
      <c r="F162" s="212"/>
      <c r="G162" s="212"/>
      <c r="H162" s="212"/>
      <c r="I162" s="212"/>
      <c r="J162" s="1870"/>
    </row>
    <row r="163" spans="1:10" ht="18.75" hidden="1" customHeight="1" outlineLevel="1" x14ac:dyDescent="0.25">
      <c r="A163" s="898"/>
      <c r="B163" s="1526" t="s">
        <v>1154</v>
      </c>
      <c r="C163" s="2132">
        <v>6349</v>
      </c>
      <c r="D163" s="843">
        <f>'Výdaje kapitol celkem'!F65/1000</f>
        <v>0</v>
      </c>
      <c r="E163" s="212"/>
      <c r="F163" s="212"/>
      <c r="G163" s="212"/>
      <c r="H163" s="212"/>
      <c r="I163" s="212"/>
      <c r="J163" s="291"/>
    </row>
    <row r="164" spans="1:10" ht="18.75" hidden="1" customHeight="1" outlineLevel="1" x14ac:dyDescent="0.25">
      <c r="A164" s="898"/>
      <c r="B164" s="1526" t="s">
        <v>296</v>
      </c>
      <c r="C164" s="2132">
        <v>6351</v>
      </c>
      <c r="D164" s="843">
        <f>'Výdaje kapitol celkem'!F66/1000</f>
        <v>3370</v>
      </c>
      <c r="E164" s="212">
        <v>2500</v>
      </c>
      <c r="F164" s="212">
        <v>24000</v>
      </c>
      <c r="G164" s="212">
        <v>2200</v>
      </c>
      <c r="H164" s="212">
        <v>2000</v>
      </c>
      <c r="I164" s="212">
        <v>2156</v>
      </c>
      <c r="J164" s="291"/>
    </row>
    <row r="165" spans="1:10" ht="18.75" hidden="1" customHeight="1" outlineLevel="1" x14ac:dyDescent="0.25">
      <c r="A165" s="898" t="s">
        <v>584</v>
      </c>
      <c r="B165" s="1526" t="s">
        <v>296</v>
      </c>
      <c r="C165" s="2132">
        <v>6349</v>
      </c>
      <c r="D165" s="843">
        <f>'Výdaje kapitol celkem'!F68/1000</f>
        <v>0</v>
      </c>
      <c r="E165" s="212"/>
      <c r="F165" s="212"/>
      <c r="G165" s="212"/>
      <c r="H165" s="212"/>
      <c r="I165" s="212"/>
      <c r="J165" s="291"/>
    </row>
    <row r="166" spans="1:10" hidden="1" outlineLevel="1" x14ac:dyDescent="0.25">
      <c r="A166" s="898"/>
      <c r="B166" s="1528"/>
      <c r="C166" s="2130"/>
      <c r="D166" s="844"/>
      <c r="E166" s="1525"/>
      <c r="F166" s="1525"/>
      <c r="G166" s="1525"/>
      <c r="H166" s="1525"/>
      <c r="I166" s="1525"/>
      <c r="J166" s="291"/>
    </row>
    <row r="167" spans="1:10" s="282" customFormat="1" ht="18" collapsed="1" thickTop="1" thickBot="1" x14ac:dyDescent="0.35">
      <c r="A167" s="1937" t="s">
        <v>233</v>
      </c>
      <c r="B167" s="1957" t="s">
        <v>234</v>
      </c>
      <c r="C167" s="1939"/>
      <c r="D167" s="2144">
        <f>SUM(D168:D170)</f>
        <v>19282.485908239974</v>
      </c>
      <c r="E167" s="1941">
        <f t="shared" ref="E167:I167" si="60">SUM(E168:E170)</f>
        <v>8114.2520000000004</v>
      </c>
      <c r="F167" s="1941">
        <f t="shared" si="60"/>
        <v>7705.1719999999996</v>
      </c>
      <c r="G167" s="1941">
        <f t="shared" si="60"/>
        <v>7705.1719999999996</v>
      </c>
      <c r="H167" s="1941">
        <f t="shared" si="60"/>
        <v>7705.1719999999996</v>
      </c>
      <c r="I167" s="1941">
        <f t="shared" si="60"/>
        <v>7705.1719999999996</v>
      </c>
      <c r="J167" s="291"/>
    </row>
    <row r="168" spans="1:10" ht="20.25" hidden="1" customHeight="1" outlineLevel="1" thickTop="1" x14ac:dyDescent="0.25">
      <c r="A168" s="898"/>
      <c r="B168" s="1533" t="s">
        <v>742</v>
      </c>
      <c r="C168" s="2131">
        <v>8115</v>
      </c>
      <c r="D168" s="841">
        <f>'Výdaje kapitol celkem'!F67/1000</f>
        <v>168.22190823997556</v>
      </c>
      <c r="E168" s="902"/>
      <c r="F168" s="902"/>
      <c r="G168" s="902"/>
      <c r="H168" s="902"/>
      <c r="I168" s="902"/>
      <c r="J168" s="291"/>
    </row>
    <row r="169" spans="1:10" ht="20.25" hidden="1" customHeight="1" outlineLevel="1" x14ac:dyDescent="0.25">
      <c r="A169" s="898"/>
      <c r="B169" s="1526" t="s">
        <v>119</v>
      </c>
      <c r="C169" s="2132">
        <v>8115</v>
      </c>
      <c r="D169" s="843"/>
      <c r="E169" s="212"/>
      <c r="F169" s="212"/>
      <c r="G169" s="212"/>
      <c r="H169" s="212"/>
      <c r="I169" s="212"/>
      <c r="J169" s="291"/>
    </row>
    <row r="170" spans="1:10" s="292" customFormat="1" ht="20.25" hidden="1" customHeight="1" outlineLevel="1" x14ac:dyDescent="0.25">
      <c r="A170" s="899"/>
      <c r="B170" s="1531" t="s">
        <v>743</v>
      </c>
      <c r="C170" s="2128" t="s">
        <v>116</v>
      </c>
      <c r="D170" s="2142">
        <f>'Výdaje kapitol celkem'!F71/1000</f>
        <v>19114.263999999999</v>
      </c>
      <c r="E170" s="443">
        <f>+('plán - úvěrů a úroků'!J13+'plán - úvěrů a úroků'!J15+'plán - úvěrů a úroků'!J18+'plán - úvěrů a úroků'!J20+'plán - úvěrů a úroků'!J22)/1000</f>
        <v>8114.2520000000004</v>
      </c>
      <c r="F170" s="443">
        <f>+('plán - úvěrů a úroků'!K13+'plán - úvěrů a úroků'!K15+'plán - úvěrů a úroků'!K18+'plán - úvěrů a úroků'!K20+'plán - úvěrů a úroků'!K22)/1000</f>
        <v>7705.1719999999996</v>
      </c>
      <c r="G170" s="443">
        <f>+('plán - úvěrů a úroků'!L13+'plán - úvěrů a úroků'!L15+'plán - úvěrů a úroků'!L18+'plán - úvěrů a úroků'!L20+'plán - úvěrů a úroků'!L22)/1000</f>
        <v>7705.1719999999996</v>
      </c>
      <c r="H170" s="443">
        <f>+('plán - úvěrů a úroků'!M13+'plán - úvěrů a úroků'!M15+'plán - úvěrů a úroků'!M18+'plán - úvěrů a úroků'!M20+'plán - úvěrů a úroků'!M22)/1000</f>
        <v>7705.1719999999996</v>
      </c>
      <c r="I170" s="443">
        <f>+('plán - úvěrů a úroků'!N13+'plán - úvěrů a úroků'!N15+'plán - úvěrů a úroků'!N18+'plán - úvěrů a úroků'!N20+'plán - úvěrů a úroků'!N22)/1000</f>
        <v>7705.1719999999996</v>
      </c>
      <c r="J170" s="291"/>
    </row>
    <row r="171" spans="1:10" ht="16.5" hidden="1" outlineLevel="1" thickBot="1" x14ac:dyDescent="0.3">
      <c r="A171" s="898"/>
      <c r="B171" s="1534"/>
      <c r="C171" s="2136"/>
      <c r="D171" s="836"/>
      <c r="E171" s="901"/>
      <c r="F171" s="901"/>
      <c r="G171" s="901"/>
      <c r="H171" s="901"/>
      <c r="I171" s="901"/>
      <c r="J171" s="291"/>
    </row>
    <row r="172" spans="1:10" s="282" customFormat="1" ht="18" collapsed="1" thickTop="1" thickBot="1" x14ac:dyDescent="0.35">
      <c r="A172" s="1947" t="s">
        <v>244</v>
      </c>
      <c r="B172" s="1948"/>
      <c r="C172" s="1949"/>
      <c r="D172" s="2151">
        <f>+D167+D154+D105</f>
        <v>262059.40599999996</v>
      </c>
      <c r="E172" s="1951">
        <f t="shared" ref="E172:I172" si="61">+E167+E154+E105</f>
        <v>222520.66840132378</v>
      </c>
      <c r="F172" s="1951">
        <f t="shared" si="61"/>
        <v>274104.34431415249</v>
      </c>
      <c r="G172" s="1951">
        <f t="shared" si="61"/>
        <v>211012.0381191044</v>
      </c>
      <c r="H172" s="1951">
        <f t="shared" si="61"/>
        <v>202745.70056402264</v>
      </c>
      <c r="I172" s="1951">
        <f t="shared" si="61"/>
        <v>208196.57179628097</v>
      </c>
      <c r="J172" s="291"/>
    </row>
    <row r="173" spans="1:10" s="288" customFormat="1" hidden="1" x14ac:dyDescent="0.25">
      <c r="A173" s="180"/>
      <c r="B173" s="180" t="s">
        <v>245</v>
      </c>
      <c r="C173" s="284"/>
      <c r="D173" s="285">
        <f>+D172-'Výdaje kapitol celkem'!F74/1000</f>
        <v>0</v>
      </c>
      <c r="E173" s="285"/>
      <c r="F173" s="285"/>
      <c r="G173" s="285"/>
      <c r="H173" s="285"/>
      <c r="I173" s="285"/>
      <c r="J173" s="291"/>
    </row>
    <row r="174" spans="1:10" s="282" customFormat="1" ht="17.25" thickBot="1" x14ac:dyDescent="0.35">
      <c r="A174" s="1958" t="s">
        <v>1612</v>
      </c>
      <c r="B174" s="1959"/>
      <c r="C174" s="1960"/>
      <c r="D174" s="1962">
        <f>+D100-D172</f>
        <v>-11070.751999999949</v>
      </c>
      <c r="E174" s="1962">
        <f>+E100-E172</f>
        <v>6996.4145986762305</v>
      </c>
      <c r="F174" s="1962">
        <f t="shared" ref="F174:I174" si="62">+F100-F172</f>
        <v>7556.1229238475207</v>
      </c>
      <c r="G174" s="1962">
        <f t="shared" si="62"/>
        <v>7509.0849467235676</v>
      </c>
      <c r="H174" s="1962">
        <f t="shared" si="62"/>
        <v>7431.5306657388574</v>
      </c>
      <c r="I174" s="1962">
        <f t="shared" si="62"/>
        <v>7553.6376199694059</v>
      </c>
      <c r="J174" s="291"/>
    </row>
    <row r="175" spans="1:10" s="288" customFormat="1" ht="16.5" thickTop="1" x14ac:dyDescent="0.25">
      <c r="A175" s="180"/>
      <c r="B175" s="180"/>
      <c r="C175" s="284"/>
      <c r="D175" s="285"/>
      <c r="E175" s="285"/>
      <c r="F175" s="285"/>
      <c r="G175" s="285"/>
      <c r="H175" s="285"/>
      <c r="I175" s="285"/>
      <c r="J175" s="291"/>
    </row>
    <row r="176" spans="1:10" ht="15.75" hidden="1" customHeight="1" x14ac:dyDescent="0.25">
      <c r="A176" s="109"/>
      <c r="B176" s="109"/>
      <c r="C176" s="114"/>
      <c r="D176" s="190"/>
      <c r="E176" s="190"/>
      <c r="F176" s="190"/>
      <c r="G176" s="190"/>
      <c r="H176" s="190"/>
      <c r="I176" s="190"/>
      <c r="J176" s="291"/>
    </row>
    <row r="177" spans="1:10" ht="15.75" customHeight="1" x14ac:dyDescent="0.25">
      <c r="A177" s="109"/>
      <c r="B177" s="109" t="s">
        <v>791</v>
      </c>
      <c r="C177" s="114"/>
      <c r="D177" s="113">
        <f>+D6+D27+D74+D80+D82+D84</f>
        <v>217145.27799999999</v>
      </c>
      <c r="E177" s="113">
        <f t="shared" ref="E177:I177" si="63">+E6+E27+E74+E80+E82+E84</f>
        <v>211859.783</v>
      </c>
      <c r="F177" s="113">
        <f t="shared" si="63"/>
        <v>203503.16723799999</v>
      </c>
      <c r="G177" s="113">
        <f t="shared" si="63"/>
        <v>208621.82306582798</v>
      </c>
      <c r="H177" s="113">
        <f t="shared" si="63"/>
        <v>203584.93122976151</v>
      </c>
      <c r="I177" s="113">
        <f t="shared" si="63"/>
        <v>209157.90941625039</v>
      </c>
      <c r="J177" s="291"/>
    </row>
    <row r="178" spans="1:10" ht="15.75" customHeight="1" x14ac:dyDescent="0.25">
      <c r="A178" s="109"/>
      <c r="B178" s="109" t="s">
        <v>792</v>
      </c>
      <c r="C178" s="114"/>
      <c r="D178" s="113">
        <f>+D106+D116</f>
        <v>172545.14161175999</v>
      </c>
      <c r="E178" s="113">
        <f t="shared" ref="E178:I178" si="64">+E106+E116</f>
        <v>175848.0025364678</v>
      </c>
      <c r="F178" s="113">
        <f t="shared" si="64"/>
        <v>179926.97615138802</v>
      </c>
      <c r="G178" s="113">
        <f t="shared" si="64"/>
        <v>183986.62091564879</v>
      </c>
      <c r="H178" s="113">
        <f t="shared" si="64"/>
        <v>187925.99089447633</v>
      </c>
      <c r="I178" s="113">
        <f t="shared" si="64"/>
        <v>192158.71589368928</v>
      </c>
      <c r="J178" s="291"/>
    </row>
    <row r="179" spans="1:10" s="302" customFormat="1" ht="15.75" customHeight="1" thickBot="1" x14ac:dyDescent="0.35">
      <c r="A179" s="298"/>
      <c r="B179" s="908" t="s">
        <v>793</v>
      </c>
      <c r="C179" s="909"/>
      <c r="D179" s="910">
        <f t="shared" ref="D179:I179" si="65">+D177-D178</f>
        <v>44600.136388240004</v>
      </c>
      <c r="E179" s="910">
        <f t="shared" si="65"/>
        <v>36011.780463532195</v>
      </c>
      <c r="F179" s="910">
        <f t="shared" si="65"/>
        <v>23576.191086611972</v>
      </c>
      <c r="G179" s="910">
        <f t="shared" si="65"/>
        <v>24635.20215017919</v>
      </c>
      <c r="H179" s="910">
        <f t="shared" si="65"/>
        <v>15658.94033528518</v>
      </c>
      <c r="I179" s="910">
        <f t="shared" si="65"/>
        <v>16999.193522561109</v>
      </c>
      <c r="J179" s="301"/>
    </row>
    <row r="180" spans="1:10" ht="15.75" customHeight="1" thickTop="1" x14ac:dyDescent="0.25">
      <c r="A180" s="109"/>
      <c r="B180" s="109"/>
      <c r="C180" s="114"/>
      <c r="D180" s="190"/>
      <c r="E180" s="190"/>
      <c r="F180" s="190"/>
      <c r="G180" s="190"/>
      <c r="H180" s="190"/>
      <c r="I180" s="190"/>
      <c r="J180" s="291"/>
    </row>
    <row r="181" spans="1:10" ht="15.75" customHeight="1" x14ac:dyDescent="0.25">
      <c r="A181" s="109"/>
      <c r="B181" s="109" t="s">
        <v>794</v>
      </c>
      <c r="C181" s="114"/>
      <c r="D181" s="113">
        <f t="shared" ref="D181:I181" si="66">+D170</f>
        <v>19114.263999999999</v>
      </c>
      <c r="E181" s="113">
        <f t="shared" si="66"/>
        <v>8114.2520000000004</v>
      </c>
      <c r="F181" s="113">
        <f t="shared" si="66"/>
        <v>7705.1719999999996</v>
      </c>
      <c r="G181" s="113">
        <f t="shared" si="66"/>
        <v>7705.1719999999996</v>
      </c>
      <c r="H181" s="113">
        <f t="shared" si="66"/>
        <v>7705.1719999999996</v>
      </c>
      <c r="I181" s="113">
        <f t="shared" si="66"/>
        <v>7705.1719999999996</v>
      </c>
      <c r="J181" s="291"/>
    </row>
    <row r="182" spans="1:10" s="302" customFormat="1" ht="15.75" customHeight="1" thickBot="1" x14ac:dyDescent="0.35">
      <c r="A182" s="298"/>
      <c r="B182" s="908" t="s">
        <v>795</v>
      </c>
      <c r="C182" s="909"/>
      <c r="D182" s="910">
        <f t="shared" ref="D182:I182" si="67">+D179-D181</f>
        <v>25485.872388240005</v>
      </c>
      <c r="E182" s="910">
        <f t="shared" si="67"/>
        <v>27897.528463532195</v>
      </c>
      <c r="F182" s="910">
        <f t="shared" si="67"/>
        <v>15871.019086611974</v>
      </c>
      <c r="G182" s="910">
        <f t="shared" si="67"/>
        <v>16930.030150179191</v>
      </c>
      <c r="H182" s="910">
        <f t="shared" si="67"/>
        <v>7953.7683352851809</v>
      </c>
      <c r="I182" s="910">
        <f t="shared" si="67"/>
        <v>9294.02152256111</v>
      </c>
      <c r="J182" s="301"/>
    </row>
    <row r="183" spans="1:10" ht="15.75" customHeight="1" thickTop="1" x14ac:dyDescent="0.25">
      <c r="A183" s="109"/>
      <c r="B183" s="109"/>
      <c r="C183" s="114"/>
      <c r="D183" s="190"/>
      <c r="E183" s="190"/>
      <c r="F183" s="190"/>
      <c r="G183" s="190"/>
      <c r="H183" s="190"/>
      <c r="I183" s="190"/>
      <c r="J183" s="291"/>
    </row>
    <row r="184" spans="1:10" ht="15.75" customHeight="1" x14ac:dyDescent="0.25">
      <c r="A184" s="109"/>
      <c r="B184" s="109" t="s">
        <v>796</v>
      </c>
      <c r="C184" s="114"/>
      <c r="D184" s="113">
        <f>+D79-D80-D82-D84</f>
        <v>19043.376</v>
      </c>
      <c r="E184" s="113">
        <f t="shared" ref="E184:I184" si="68">+E79-E80-E82-E84</f>
        <v>2657.2999999999993</v>
      </c>
      <c r="F184" s="113">
        <f t="shared" si="68"/>
        <v>2657.2999999999993</v>
      </c>
      <c r="G184" s="113">
        <f t="shared" si="68"/>
        <v>2657.2999999999993</v>
      </c>
      <c r="H184" s="113">
        <f t="shared" si="68"/>
        <v>2657.2999999999993</v>
      </c>
      <c r="I184" s="113">
        <f t="shared" si="68"/>
        <v>2657.2999999999993</v>
      </c>
      <c r="J184" s="291"/>
    </row>
    <row r="185" spans="1:10" ht="15.75" customHeight="1" x14ac:dyDescent="0.25">
      <c r="A185" s="109"/>
      <c r="B185" s="109" t="s">
        <v>3</v>
      </c>
      <c r="C185" s="114"/>
      <c r="D185" s="113">
        <f>+D154</f>
        <v>70231.778480000008</v>
      </c>
      <c r="E185" s="113">
        <f t="shared" ref="E185:I185" si="69">+E154</f>
        <v>38558.413864855967</v>
      </c>
      <c r="F185" s="113">
        <f t="shared" si="69"/>
        <v>86472.196162764478</v>
      </c>
      <c r="G185" s="113">
        <f t="shared" si="69"/>
        <v>19320.245203455597</v>
      </c>
      <c r="H185" s="113">
        <f t="shared" si="69"/>
        <v>7114.5376695463001</v>
      </c>
      <c r="I185" s="113">
        <f t="shared" si="69"/>
        <v>8332.6839025916997</v>
      </c>
      <c r="J185" s="291"/>
    </row>
    <row r="186" spans="1:10" s="302" customFormat="1" ht="15.75" customHeight="1" thickBot="1" x14ac:dyDescent="0.35">
      <c r="A186" s="298"/>
      <c r="B186" s="908" t="s">
        <v>797</v>
      </c>
      <c r="C186" s="909"/>
      <c r="D186" s="910">
        <f>+D182+D184-D185</f>
        <v>-25702.530091760003</v>
      </c>
      <c r="E186" s="910">
        <f t="shared" ref="E186:I186" si="70">+E182+E184-E185</f>
        <v>-8003.5854013237731</v>
      </c>
      <c r="F186" s="910">
        <f t="shared" si="70"/>
        <v>-67943.877076152508</v>
      </c>
      <c r="G186" s="910">
        <f t="shared" si="70"/>
        <v>267.08494672359302</v>
      </c>
      <c r="H186" s="910">
        <f t="shared" si="70"/>
        <v>3496.530665738881</v>
      </c>
      <c r="I186" s="910">
        <f t="shared" si="70"/>
        <v>3618.6376199694096</v>
      </c>
      <c r="J186" s="301"/>
    </row>
    <row r="187" spans="1:10" ht="15.75" customHeight="1" thickTop="1" x14ac:dyDescent="0.25">
      <c r="A187" s="109"/>
      <c r="B187" s="109"/>
      <c r="C187" s="114"/>
      <c r="D187" s="190"/>
      <c r="E187" s="190"/>
      <c r="F187" s="190"/>
      <c r="G187" s="190"/>
      <c r="H187" s="190"/>
      <c r="I187" s="190"/>
      <c r="J187" s="291"/>
    </row>
    <row r="188" spans="1:10" s="302" customFormat="1" ht="15.75" customHeight="1" thickBot="1" x14ac:dyDescent="0.35">
      <c r="A188" s="298"/>
      <c r="B188" s="908" t="s">
        <v>798</v>
      </c>
      <c r="C188" s="909"/>
      <c r="D188" s="910">
        <f>+D189+D190</f>
        <v>14800</v>
      </c>
      <c r="E188" s="910">
        <f t="shared" ref="E188:I188" si="71">+E189+E190</f>
        <v>15000</v>
      </c>
      <c r="F188" s="910">
        <f t="shared" si="71"/>
        <v>15500</v>
      </c>
      <c r="G188" s="910">
        <f t="shared" si="71"/>
        <v>7242</v>
      </c>
      <c r="H188" s="910">
        <f t="shared" si="71"/>
        <v>3935</v>
      </c>
      <c r="I188" s="910">
        <f t="shared" si="71"/>
        <v>3935</v>
      </c>
      <c r="J188" s="301"/>
    </row>
    <row r="189" spans="1:10" ht="15.75" customHeight="1" thickTop="1" x14ac:dyDescent="0.25">
      <c r="A189" s="109"/>
      <c r="B189" s="109" t="s">
        <v>799</v>
      </c>
      <c r="C189" s="114"/>
      <c r="D189" s="113">
        <f>+D96</f>
        <v>14800</v>
      </c>
      <c r="E189" s="113">
        <f t="shared" ref="E189:I189" si="72">+E96</f>
        <v>15000</v>
      </c>
      <c r="F189" s="113">
        <f t="shared" si="72"/>
        <v>15500</v>
      </c>
      <c r="G189" s="113">
        <f t="shared" si="72"/>
        <v>7242</v>
      </c>
      <c r="H189" s="113">
        <f t="shared" si="72"/>
        <v>3935</v>
      </c>
      <c r="I189" s="113">
        <f t="shared" si="72"/>
        <v>3935</v>
      </c>
      <c r="J189" s="291"/>
    </row>
    <row r="190" spans="1:10" ht="15.75" customHeight="1" x14ac:dyDescent="0.25">
      <c r="A190" s="109"/>
      <c r="B190" s="109" t="s">
        <v>800</v>
      </c>
      <c r="C190" s="114"/>
      <c r="D190" s="113"/>
      <c r="E190" s="113"/>
      <c r="F190" s="113"/>
      <c r="G190" s="113"/>
      <c r="H190" s="113"/>
      <c r="I190" s="113"/>
      <c r="J190" s="291"/>
    </row>
    <row r="191" spans="1:10" ht="15.75" customHeight="1" x14ac:dyDescent="0.25">
      <c r="A191" s="109"/>
      <c r="B191" s="109"/>
      <c r="C191" s="114"/>
      <c r="D191" s="190"/>
      <c r="E191" s="190"/>
      <c r="F191" s="190"/>
      <c r="G191" s="190"/>
      <c r="H191" s="190"/>
      <c r="I191" s="190"/>
      <c r="J191" s="291"/>
    </row>
    <row r="192" spans="1:10" s="302" customFormat="1" ht="16.5" x14ac:dyDescent="0.3">
      <c r="A192" s="888" t="s">
        <v>659</v>
      </c>
      <c r="B192" s="888"/>
      <c r="C192" s="889"/>
      <c r="D192" s="890">
        <f>+D199/D194</f>
        <v>9.5476203488285102E-2</v>
      </c>
      <c r="E192" s="890">
        <f t="shared" ref="E192:I192" si="73">+E199/E194</f>
        <v>4.9355386338898848E-2</v>
      </c>
      <c r="F192" s="890">
        <f t="shared" si="73"/>
        <v>4.7935404614356747E-2</v>
      </c>
      <c r="G192" s="890">
        <f t="shared" si="73"/>
        <v>4.670810343018051E-2</v>
      </c>
      <c r="H192" s="890">
        <f t="shared" si="73"/>
        <v>4.5493569877011919E-2</v>
      </c>
      <c r="I192" s="890">
        <f t="shared" si="73"/>
        <v>4.362787067586734E-2</v>
      </c>
      <c r="J192" s="893"/>
    </row>
    <row r="193" spans="1:1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s="307" customFormat="1" ht="17.25" thickBot="1" x14ac:dyDescent="0.35">
      <c r="A194" s="303"/>
      <c r="B194" s="911" t="s">
        <v>654</v>
      </c>
      <c r="C194" s="912"/>
      <c r="D194" s="913">
        <f>SUM(D195:D197)</f>
        <v>231123.65400000001</v>
      </c>
      <c r="E194" s="913">
        <f t="shared" ref="E194:I194" si="74">SUM(E195:E197)</f>
        <v>207516.08300000001</v>
      </c>
      <c r="F194" s="913">
        <f t="shared" si="74"/>
        <v>201579.46723800001</v>
      </c>
      <c r="G194" s="913">
        <f t="shared" si="74"/>
        <v>203846.123065828</v>
      </c>
      <c r="H194" s="913">
        <f t="shared" si="74"/>
        <v>206177.23122976153</v>
      </c>
      <c r="I194" s="913">
        <f t="shared" si="74"/>
        <v>211750.20941625041</v>
      </c>
      <c r="J194" s="301"/>
      <c r="K194" s="306"/>
    </row>
    <row r="195" spans="1:11" ht="16.5" thickTop="1" x14ac:dyDescent="0.25">
      <c r="A195" s="109"/>
      <c r="B195" s="289" t="s">
        <v>656</v>
      </c>
      <c r="C195" s="114"/>
      <c r="D195" s="190">
        <f>+D6-D21</f>
        <v>172345.71100000001</v>
      </c>
      <c r="E195" s="190">
        <f>+E6-E21</f>
        <v>172986.71100000001</v>
      </c>
      <c r="F195" s="190">
        <f t="shared" ref="F195:I195" si="75">+F6-F21</f>
        <v>173776.48523799999</v>
      </c>
      <c r="G195" s="190">
        <f t="shared" si="75"/>
        <v>176043.14106582798</v>
      </c>
      <c r="H195" s="190">
        <f t="shared" si="75"/>
        <v>178374.24922976151</v>
      </c>
      <c r="I195" s="190">
        <f t="shared" si="75"/>
        <v>183947.22741625039</v>
      </c>
      <c r="J195" s="291"/>
    </row>
    <row r="196" spans="1:11" x14ac:dyDescent="0.25">
      <c r="A196" s="109"/>
      <c r="B196" s="289" t="s">
        <v>657</v>
      </c>
      <c r="C196" s="114"/>
      <c r="D196" s="190">
        <f>+D27</f>
        <v>29226.267</v>
      </c>
      <c r="E196" s="190">
        <f t="shared" ref="E196:I196" si="76">+E27</f>
        <v>21363.772000000001</v>
      </c>
      <c r="F196" s="190">
        <f t="shared" si="76"/>
        <v>14637.382</v>
      </c>
      <c r="G196" s="190">
        <f t="shared" si="76"/>
        <v>14637.382</v>
      </c>
      <c r="H196" s="190">
        <f t="shared" si="76"/>
        <v>14637.382</v>
      </c>
      <c r="I196" s="190">
        <f t="shared" si="76"/>
        <v>14637.382</v>
      </c>
      <c r="J196" s="291"/>
    </row>
    <row r="197" spans="1:11" x14ac:dyDescent="0.25">
      <c r="A197" s="109"/>
      <c r="B197" s="289" t="s">
        <v>658</v>
      </c>
      <c r="C197" s="114"/>
      <c r="D197" s="190">
        <f>+D79</f>
        <v>29551.675999999999</v>
      </c>
      <c r="E197" s="190">
        <f t="shared" ref="E197:I197" si="77">+E79</f>
        <v>13165.599999999999</v>
      </c>
      <c r="F197" s="190">
        <f t="shared" si="77"/>
        <v>13165.599999999999</v>
      </c>
      <c r="G197" s="190">
        <f t="shared" si="77"/>
        <v>13165.599999999999</v>
      </c>
      <c r="H197" s="190">
        <f t="shared" si="77"/>
        <v>13165.599999999999</v>
      </c>
      <c r="I197" s="190">
        <f t="shared" si="77"/>
        <v>13165.599999999999</v>
      </c>
      <c r="J197" s="291"/>
    </row>
    <row r="198" spans="1:11" x14ac:dyDescent="0.25">
      <c r="A198" s="109"/>
      <c r="B198" s="109"/>
      <c r="C198" s="285"/>
      <c r="D198" s="109"/>
      <c r="E198" s="109"/>
      <c r="F198" s="109"/>
      <c r="G198" s="109"/>
      <c r="H198" s="109"/>
      <c r="I198" s="109"/>
      <c r="J198" s="291"/>
    </row>
    <row r="199" spans="1:11" s="307" customFormat="1" ht="17.25" thickBot="1" x14ac:dyDescent="0.35">
      <c r="A199" s="303"/>
      <c r="B199" s="911" t="s">
        <v>655</v>
      </c>
      <c r="C199" s="912"/>
      <c r="D199" s="913">
        <f>SUM(D200:D201)</f>
        <v>22066.80902026</v>
      </c>
      <c r="E199" s="913">
        <f t="shared" ref="E199:I199" si="78">SUM(E200:E201)</f>
        <v>10242.036448000001</v>
      </c>
      <c r="F199" s="913">
        <f t="shared" si="78"/>
        <v>9662.7933240000002</v>
      </c>
      <c r="G199" s="913">
        <f t="shared" si="78"/>
        <v>9521.2657999999992</v>
      </c>
      <c r="H199" s="913">
        <f t="shared" si="78"/>
        <v>9379.738276</v>
      </c>
      <c r="I199" s="913">
        <f t="shared" si="78"/>
        <v>9238.210751999999</v>
      </c>
      <c r="J199" s="301"/>
      <c r="K199" s="306"/>
    </row>
    <row r="200" spans="1:11" ht="16.5" thickTop="1" x14ac:dyDescent="0.25">
      <c r="A200" s="109"/>
      <c r="B200" s="289" t="s">
        <v>130</v>
      </c>
      <c r="C200" s="114"/>
      <c r="D200" s="190">
        <f>+D152+D153</f>
        <v>2952.54502026</v>
      </c>
      <c r="E200" s="190">
        <f>+('plán - úvěrů a úroků'!J12+'plán - úvěrů a úroků'!J14+'plán - úvěrů a úroků'!J17+'plán - úvěrů a úroků'!J19+'plán - úvěrů a úroků'!J21)/1000</f>
        <v>2127.7844479999999</v>
      </c>
      <c r="F200" s="190">
        <f>+('plán - úvěrů a úroků'!K12+'plán - úvěrů a úroků'!K14+'plán - úvěrů a úroků'!K17+'plán - úvěrů a úroků'!K19+'plán - úvěrů a úroků'!K21)/1000</f>
        <v>1957.621324</v>
      </c>
      <c r="G200" s="190">
        <f>+('plán - úvěrů a úroků'!L12+'plán - úvěrů a úroků'!L14+'plán - úvěrů a úroků'!L17+'plán - úvěrů a úroků'!L19+'plán - úvěrů a úroků'!L21)/1000</f>
        <v>1816.0938000000001</v>
      </c>
      <c r="H200" s="190">
        <f>+('plán - úvěrů a úroků'!M12+'plán - úvěrů a úroků'!M14+'plán - úvěrů a úroků'!M17+'plán - úvěrů a úroků'!M19+'plán - úvěrů a úroků'!M21)/1000</f>
        <v>1674.5662759999998</v>
      </c>
      <c r="I200" s="190">
        <f>+('plán - úvěrů a úroků'!N12+'plán - úvěrů a úroků'!N14+'plán - úvěrů a úroků'!N17+'plán - úvěrů a úroků'!N19+'plán - úvěrů a úroků'!N21)/1000</f>
        <v>1533.0387520000002</v>
      </c>
      <c r="J200" s="291"/>
    </row>
    <row r="201" spans="1:11" x14ac:dyDescent="0.25">
      <c r="A201" s="109"/>
      <c r="B201" s="289" t="s">
        <v>743</v>
      </c>
      <c r="C201" s="114"/>
      <c r="D201" s="190">
        <f>+D170</f>
        <v>19114.263999999999</v>
      </c>
      <c r="E201" s="190">
        <f>+('plán - úvěrů a úroků'!J13+'plán - úvěrů a úroků'!J15+'plán - úvěrů a úroků'!J18+'plán - úvěrů a úroků'!J20+'plán - úvěrů a úroků'!J22)/1000</f>
        <v>8114.2520000000004</v>
      </c>
      <c r="F201" s="190">
        <f>+('plán - úvěrů a úroků'!K13+'plán - úvěrů a úroků'!K15+'plán - úvěrů a úroků'!K18+'plán - úvěrů a úroků'!K20+'plán - úvěrů a úroků'!K22)/1000</f>
        <v>7705.1719999999996</v>
      </c>
      <c r="G201" s="190">
        <f>+('plán - úvěrů a úroků'!L13+'plán - úvěrů a úroků'!L15+'plán - úvěrů a úroků'!L18+'plán - úvěrů a úroků'!L20+'plán - úvěrů a úroků'!L22)/1000</f>
        <v>7705.1719999999996</v>
      </c>
      <c r="H201" s="190">
        <f>+('plán - úvěrů a úroků'!M13+'plán - úvěrů a úroků'!M15+'plán - úvěrů a úroků'!M18+'plán - úvěrů a úroků'!M20+'plán - úvěrů a úroků'!M22)/1000</f>
        <v>7705.1719999999996</v>
      </c>
      <c r="I201" s="190">
        <f>+('plán - úvěrů a úroků'!N13+'plán - úvěrů a úroků'!N15+'plán - úvěrů a úroků'!N18+'plán - úvěrů a úroků'!N20+'plán - úvěrů a úroků'!N22)/1000</f>
        <v>7705.1719999999996</v>
      </c>
      <c r="J201" s="291"/>
    </row>
    <row r="202" spans="1:11" x14ac:dyDescent="0.25">
      <c r="A202" s="109"/>
      <c r="B202" s="109"/>
      <c r="C202" s="114"/>
      <c r="D202" s="190"/>
      <c r="E202" s="190"/>
      <c r="F202" s="190"/>
      <c r="G202" s="190"/>
      <c r="H202" s="190"/>
      <c r="I202" s="190"/>
      <c r="J202" s="291"/>
    </row>
    <row r="203" spans="1:11" ht="16.5" x14ac:dyDescent="0.3">
      <c r="A203" s="112" t="s">
        <v>246</v>
      </c>
      <c r="B203" s="109"/>
      <c r="C203" s="114"/>
      <c r="D203" s="190"/>
      <c r="E203" s="190"/>
      <c r="F203" s="190"/>
      <c r="G203" s="190"/>
      <c r="H203" s="190"/>
      <c r="I203" s="190"/>
      <c r="J203" s="291"/>
    </row>
    <row r="204" spans="1:11" s="282" customFormat="1" ht="16.5" x14ac:dyDescent="0.3">
      <c r="A204" s="189"/>
      <c r="B204" s="189" t="s">
        <v>247</v>
      </c>
      <c r="C204" s="114"/>
      <c r="D204" s="308">
        <f>+D6+D27+D80+D83-D105-D21</f>
        <v>40033.536388239998</v>
      </c>
      <c r="E204" s="308">
        <f t="shared" ref="E204:I204" si="79">+E6+E27+E80+E83-E105-E21</f>
        <v>29509.18046353219</v>
      </c>
      <c r="F204" s="308">
        <f t="shared" si="79"/>
        <v>19493.591086611967</v>
      </c>
      <c r="G204" s="308">
        <f t="shared" si="79"/>
        <v>17700.602150179184</v>
      </c>
      <c r="H204" s="308">
        <f t="shared" si="79"/>
        <v>16092.340335285175</v>
      </c>
      <c r="I204" s="308">
        <f t="shared" si="79"/>
        <v>17432.593522561103</v>
      </c>
      <c r="J204" s="291"/>
    </row>
    <row r="205" spans="1:11" s="307" customFormat="1" ht="17.25" thickBot="1" x14ac:dyDescent="0.35">
      <c r="A205" s="189"/>
      <c r="B205" s="911" t="s">
        <v>248</v>
      </c>
      <c r="C205" s="912"/>
      <c r="D205" s="914">
        <f>D204/(D6+D27+D80+D82+D74)</f>
        <v>0.18436291480508271</v>
      </c>
      <c r="E205" s="914">
        <f t="shared" ref="E205:I205" si="80">E204/(E6+E27+E80+E82+E74)</f>
        <v>0.13928637160707463</v>
      </c>
      <c r="F205" s="914">
        <f t="shared" si="80"/>
        <v>9.5790111530863406E-2</v>
      </c>
      <c r="G205" s="914">
        <f t="shared" si="80"/>
        <v>8.484540059164368E-2</v>
      </c>
      <c r="H205" s="914">
        <f t="shared" si="80"/>
        <v>7.904484992125331E-2</v>
      </c>
      <c r="I205" s="914">
        <f t="shared" si="80"/>
        <v>8.3346566100295366E-2</v>
      </c>
      <c r="J205" s="291"/>
    </row>
    <row r="206" spans="1:11" ht="16.5" thickTop="1" x14ac:dyDescent="0.25">
      <c r="A206" s="18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282" customFormat="1" ht="16.5" x14ac:dyDescent="0.3">
      <c r="A207" s="189"/>
      <c r="B207" s="112" t="s">
        <v>680</v>
      </c>
      <c r="C207" s="297"/>
      <c r="D207" s="312">
        <f>+D208/D209</f>
        <v>2.9547879620520126E-5</v>
      </c>
      <c r="E207" s="312">
        <f t="shared" ref="E207:I207" si="81">+E208/E209</f>
        <v>5.6633800184626192E-5</v>
      </c>
      <c r="F207" s="312">
        <f t="shared" si="81"/>
        <v>5.5074267649925926E-5</v>
      </c>
      <c r="G207" s="312">
        <f t="shared" si="81"/>
        <v>1.0101724364348994E-4</v>
      </c>
      <c r="H207" s="312">
        <f t="shared" si="81"/>
        <v>1.5169212566175692E-4</v>
      </c>
      <c r="I207" s="312">
        <f t="shared" si="81"/>
        <v>1.5169212566175692E-4</v>
      </c>
      <c r="J207" s="301"/>
    </row>
    <row r="208" spans="1:11" x14ac:dyDescent="0.25">
      <c r="A208" s="189"/>
      <c r="B208" s="289" t="s">
        <v>766</v>
      </c>
      <c r="C208" s="114"/>
      <c r="D208" s="313">
        <f>+D199/(D189+D184)</f>
        <v>0.65202741653965013</v>
      </c>
      <c r="E208" s="313">
        <f>+E199/(E189+E184)</f>
        <v>0.58004544567969063</v>
      </c>
      <c r="F208" s="313">
        <f t="shared" ref="F208:I208" si="82">+F199/(F189+F184)</f>
        <v>0.53217126577189344</v>
      </c>
      <c r="G208" s="313">
        <f t="shared" si="82"/>
        <v>0.96181202711302816</v>
      </c>
      <c r="H208" s="313">
        <f t="shared" si="82"/>
        <v>1.4228324372373831</v>
      </c>
      <c r="I208" s="313">
        <f t="shared" si="82"/>
        <v>1.4013638262821777</v>
      </c>
      <c r="J208" s="291"/>
    </row>
    <row r="209" spans="1:11" x14ac:dyDescent="0.25">
      <c r="A209" s="189"/>
      <c r="B209" s="289"/>
      <c r="C209" s="114"/>
      <c r="D209" s="188">
        <f>+D199</f>
        <v>22066.80902026</v>
      </c>
      <c r="E209" s="188">
        <f t="shared" ref="E209:I209" si="83">+E199</f>
        <v>10242.036448000001</v>
      </c>
      <c r="F209" s="188">
        <f t="shared" si="83"/>
        <v>9662.7933240000002</v>
      </c>
      <c r="G209" s="188">
        <f t="shared" si="83"/>
        <v>9521.2657999999992</v>
      </c>
      <c r="H209" s="188">
        <f t="shared" si="83"/>
        <v>9379.738276</v>
      </c>
      <c r="I209" s="188">
        <f t="shared" si="83"/>
        <v>9238.210751999999</v>
      </c>
      <c r="J209" s="291"/>
    </row>
    <row r="210" spans="1:11" ht="27" x14ac:dyDescent="0.25">
      <c r="A210" s="109"/>
      <c r="B210" s="289"/>
      <c r="C210" s="114"/>
      <c r="D210" s="314" t="s">
        <v>1611</v>
      </c>
      <c r="E210" s="314" t="s">
        <v>1903</v>
      </c>
      <c r="F210" s="314" t="s">
        <v>1904</v>
      </c>
      <c r="G210" s="314" t="s">
        <v>1905</v>
      </c>
      <c r="H210" s="314" t="s">
        <v>1906</v>
      </c>
      <c r="I210" s="314" t="s">
        <v>1907</v>
      </c>
      <c r="J210" s="291"/>
    </row>
    <row r="211" spans="1:11" s="282" customFormat="1" ht="17.25" thickBot="1" x14ac:dyDescent="0.35">
      <c r="A211" s="189"/>
      <c r="B211" s="915" t="s">
        <v>731</v>
      </c>
      <c r="C211" s="916"/>
      <c r="D211" s="1968">
        <f>SUM(D212:D218)</f>
        <v>125007.12300000001</v>
      </c>
      <c r="E211" s="1968">
        <f t="shared" ref="E211:I211" si="84">SUM(E212:E218)</f>
        <v>515694.20799999998</v>
      </c>
      <c r="F211" s="1968">
        <f t="shared" si="84"/>
        <v>98909.035999999993</v>
      </c>
      <c r="G211" s="1968">
        <f t="shared" si="84"/>
        <v>91203.863999999987</v>
      </c>
      <c r="H211" s="1968">
        <f t="shared" si="84"/>
        <v>83498.691999999995</v>
      </c>
      <c r="I211" s="1968">
        <f t="shared" si="84"/>
        <v>75793.51999999999</v>
      </c>
      <c r="J211" s="301"/>
      <c r="K211" s="315"/>
    </row>
    <row r="212" spans="1:11" s="282" customFormat="1" ht="17.25" thickTop="1" x14ac:dyDescent="0.3">
      <c r="A212" s="189"/>
      <c r="B212" s="316" t="s">
        <v>733</v>
      </c>
      <c r="C212" s="114"/>
      <c r="D212" s="1964">
        <f>11818172/1000</f>
        <v>11818.172</v>
      </c>
      <c r="E212" s="1964">
        <f>+'plán - úvěrů a úroků'!I25</f>
        <v>409080</v>
      </c>
      <c r="F212" s="1964">
        <f>+'plán - úvěrů a úroků'!J25</f>
        <v>0</v>
      </c>
      <c r="G212" s="1964">
        <f>+'plán - úvěrů a úroků'!K25</f>
        <v>0</v>
      </c>
      <c r="H212" s="1964">
        <f>+'plán - úvěrů a úroků'!L25</f>
        <v>0</v>
      </c>
      <c r="I212" s="1964">
        <f>+'plán - úvěrů a úroků'!M25</f>
        <v>0</v>
      </c>
      <c r="J212" s="301"/>
      <c r="K212" s="315"/>
    </row>
    <row r="213" spans="1:11" s="282" customFormat="1" ht="16.5" x14ac:dyDescent="0.3">
      <c r="A213" s="189"/>
      <c r="B213" s="316" t="s">
        <v>734</v>
      </c>
      <c r="C213" s="114"/>
      <c r="D213" s="1964">
        <f>72938360/1000</f>
        <v>72938.36</v>
      </c>
      <c r="E213" s="1964">
        <f>+'plán - úvěrů a úroků'!I26/1000</f>
        <v>67819.868000000002</v>
      </c>
      <c r="F213" s="1964">
        <f>+'plán - úvěrů a úroků'!J26/1000</f>
        <v>62701.375999999997</v>
      </c>
      <c r="G213" s="1964">
        <f>+'plán - úvěrů a úroků'!K26/1000</f>
        <v>57582.883999999998</v>
      </c>
      <c r="H213" s="1964">
        <f>+'plán - úvěrů a úroků'!L26/1000</f>
        <v>52464.392</v>
      </c>
      <c r="I213" s="1964">
        <f>+'plán - úvěrů a úroků'!M26/1000</f>
        <v>47345.9</v>
      </c>
      <c r="J213" s="301"/>
      <c r="K213" s="315"/>
    </row>
    <row r="214" spans="1:11" s="282" customFormat="1" ht="16.5" x14ac:dyDescent="0.3">
      <c r="A214" s="189"/>
      <c r="B214" s="316" t="s">
        <v>771</v>
      </c>
      <c r="C214" s="114"/>
      <c r="D214" s="1964">
        <f>24905640/1000</f>
        <v>24905.64</v>
      </c>
      <c r="E214" s="1964">
        <f>+'plán - úvěrů a úroků'!I27/1000</f>
        <v>24337.72</v>
      </c>
      <c r="F214" s="1964">
        <f>+'plán - úvěrů a úroků'!J27/1000</f>
        <v>22637.72</v>
      </c>
      <c r="G214" s="1964">
        <f>+'plán - úvěrů a úroků'!K27/1000</f>
        <v>20937.72</v>
      </c>
      <c r="H214" s="1964">
        <f>+'plán - úvěrů a úroků'!L27/1000</f>
        <v>19237.72</v>
      </c>
      <c r="I214" s="1964">
        <f>+'plán - úvěrů a úroků'!M27/1000</f>
        <v>17537.72</v>
      </c>
      <c r="J214" s="301"/>
      <c r="K214" s="315"/>
    </row>
    <row r="215" spans="1:11" s="288" customFormat="1" hidden="1" x14ac:dyDescent="0.25">
      <c r="A215" s="180"/>
      <c r="B215" s="316" t="s">
        <v>771</v>
      </c>
      <c r="C215" s="284"/>
      <c r="D215" s="1965"/>
      <c r="E215" s="1965"/>
      <c r="F215" s="1965"/>
      <c r="G215" s="1965"/>
      <c r="H215" s="1965"/>
      <c r="I215" s="1965"/>
      <c r="J215" s="291"/>
    </row>
    <row r="216" spans="1:11" s="282" customFormat="1" ht="16.5" hidden="1" x14ac:dyDescent="0.3">
      <c r="A216" s="189"/>
      <c r="B216" s="316" t="s">
        <v>771</v>
      </c>
      <c r="C216" s="297"/>
      <c r="D216" s="1966">
        <v>1.651</v>
      </c>
      <c r="E216" s="1966"/>
      <c r="F216" s="1966"/>
      <c r="G216" s="1966"/>
      <c r="H216" s="1966"/>
      <c r="I216" s="1966"/>
      <c r="J216" s="301"/>
    </row>
    <row r="217" spans="1:11" s="302" customFormat="1" ht="16.5" x14ac:dyDescent="0.3">
      <c r="A217" s="298"/>
      <c r="B217" s="316" t="s">
        <v>1167</v>
      </c>
      <c r="C217" s="300"/>
      <c r="D217" s="1964">
        <f>13260000/1000</f>
        <v>13260</v>
      </c>
      <c r="E217" s="1964">
        <f>+'plán - úvěrů a úroků'!I28/1000</f>
        <v>12540</v>
      </c>
      <c r="F217" s="1964">
        <f>+'plán - úvěrů a úroků'!J28/1000</f>
        <v>11820</v>
      </c>
      <c r="G217" s="1964">
        <f>+'plán - úvěrů a úroků'!K28/1000</f>
        <v>11100</v>
      </c>
      <c r="H217" s="1964">
        <f>+'plán - úvěrů a úroků'!L28/1000</f>
        <v>10380</v>
      </c>
      <c r="I217" s="1964">
        <f>+'plán - úvěrů a úroků'!M28/1000</f>
        <v>9660</v>
      </c>
      <c r="J217" s="301"/>
    </row>
    <row r="218" spans="1:11" s="302" customFormat="1" ht="16.5" x14ac:dyDescent="0.3">
      <c r="A218" s="299"/>
      <c r="B218" s="1963" t="s">
        <v>1610</v>
      </c>
      <c r="C218" s="317"/>
      <c r="D218" s="1967">
        <f>2083300/1000</f>
        <v>2083.3000000000002</v>
      </c>
      <c r="E218" s="1967">
        <f>+'plán - úvěrů a úroků'!I29/1000</f>
        <v>1916.62</v>
      </c>
      <c r="F218" s="1967">
        <f>+'plán - úvěrů a úroků'!J29/1000</f>
        <v>1749.94</v>
      </c>
      <c r="G218" s="1967">
        <f>+'plán - úvěrů a úroků'!K29/1000</f>
        <v>1583.26</v>
      </c>
      <c r="H218" s="1967">
        <f>+'plán - úvěrů a úroků'!L29/1000</f>
        <v>1416.58</v>
      </c>
      <c r="I218" s="1967">
        <f>+'plán - úvěrů a úroků'!M29/1000</f>
        <v>1249.9000000000001</v>
      </c>
      <c r="J218" s="301"/>
    </row>
    <row r="219" spans="1:11" s="302" customFormat="1" ht="16.5" x14ac:dyDescent="0.3">
      <c r="A219" s="319" t="s">
        <v>546</v>
      </c>
      <c r="B219" s="320"/>
      <c r="C219" s="321"/>
      <c r="D219" s="321"/>
      <c r="E219" s="322"/>
      <c r="F219" s="323"/>
      <c r="G219" s="323"/>
      <c r="H219" s="1866"/>
      <c r="I219" s="1866"/>
      <c r="J219" s="1866"/>
    </row>
  </sheetData>
  <sheetProtection algorithmName="SHA-512" hashValue="x+E3DL2aZiM9YFNUbnSflGgi3Dy+CIwTNZV8IwOzcfgzd6nYI81+HxHESTR/fX03bR7DkvuhYGws9TJKq3pcKQ==" saltValue="uMEq2RB9xKwYU3ezE9S8aA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.140625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42578125" style="275" bestFit="1" customWidth="1"/>
    <col min="7" max="7" width="27.7109375" style="275" customWidth="1"/>
    <col min="8" max="8" width="21.140625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.14062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42578125" style="275" bestFit="1" customWidth="1"/>
    <col min="17" max="17" width="7.42578125" style="275" bestFit="1" customWidth="1"/>
    <col min="18" max="18" width="9.140625" style="275" bestFit="1" customWidth="1"/>
    <col min="19" max="19" width="9" style="275" bestFit="1" customWidth="1"/>
    <col min="20" max="20" width="4.425781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8" t="s">
        <v>725</v>
      </c>
    </row>
    <row r="2" spans="2:25" x14ac:dyDescent="0.25">
      <c r="B2" s="449" t="s">
        <v>510</v>
      </c>
    </row>
    <row r="3" spans="2:25" x14ac:dyDescent="0.25">
      <c r="B3" s="449" t="s">
        <v>789</v>
      </c>
    </row>
    <row r="4" spans="2:25" x14ac:dyDescent="0.25">
      <c r="B4" s="450" t="s">
        <v>365</v>
      </c>
    </row>
    <row r="5" spans="2:25" x14ac:dyDescent="0.25">
      <c r="K5" s="2755" t="s">
        <v>366</v>
      </c>
      <c r="L5" s="2755"/>
      <c r="M5" s="2755"/>
      <c r="N5" s="2755"/>
      <c r="O5" s="2755"/>
      <c r="W5" s="448" t="s">
        <v>367</v>
      </c>
    </row>
    <row r="6" spans="2:25" s="452" customFormat="1" x14ac:dyDescent="0.25">
      <c r="B6" s="451" t="s">
        <v>726</v>
      </c>
      <c r="K6" s="453"/>
      <c r="L6" s="453"/>
      <c r="M6" s="453"/>
      <c r="N6" s="453"/>
      <c r="O6" s="453"/>
      <c r="W6" s="451"/>
    </row>
    <row r="7" spans="2:25" s="454" customFormat="1" ht="14.25" thickBot="1" x14ac:dyDescent="0.3">
      <c r="K7" s="455"/>
      <c r="L7" s="455"/>
      <c r="M7" s="455"/>
      <c r="N7" s="455"/>
      <c r="O7" s="455"/>
      <c r="W7" s="456"/>
    </row>
    <row r="8" spans="2:25" ht="14.25" thickBot="1" x14ac:dyDescent="0.3">
      <c r="B8" s="457" t="s">
        <v>368</v>
      </c>
      <c r="C8" s="458" t="s">
        <v>369</v>
      </c>
      <c r="D8" s="458" t="s">
        <v>370</v>
      </c>
      <c r="E8" s="458" t="s">
        <v>371</v>
      </c>
      <c r="F8" s="458" t="s">
        <v>372</v>
      </c>
      <c r="G8" s="458" t="s">
        <v>373</v>
      </c>
      <c r="H8" s="458" t="s">
        <v>374</v>
      </c>
      <c r="I8" s="458" t="s">
        <v>375</v>
      </c>
      <c r="J8" s="458" t="s">
        <v>376</v>
      </c>
      <c r="K8" s="459" t="s">
        <v>78</v>
      </c>
      <c r="L8" s="459" t="s">
        <v>79</v>
      </c>
      <c r="M8" s="459" t="s">
        <v>377</v>
      </c>
      <c r="N8" s="459" t="s">
        <v>378</v>
      </c>
      <c r="O8" s="459" t="s">
        <v>379</v>
      </c>
      <c r="P8" s="458" t="s">
        <v>380</v>
      </c>
      <c r="Q8" s="458" t="s">
        <v>381</v>
      </c>
      <c r="R8" s="458" t="s">
        <v>382</v>
      </c>
      <c r="S8" s="458" t="s">
        <v>383</v>
      </c>
      <c r="T8" s="460" t="s">
        <v>140</v>
      </c>
      <c r="U8" s="461" t="s">
        <v>384</v>
      </c>
      <c r="W8" s="448" t="s">
        <v>373</v>
      </c>
      <c r="Y8" s="449" t="s">
        <v>385</v>
      </c>
    </row>
    <row r="9" spans="2:25" x14ac:dyDescent="0.25">
      <c r="B9" s="462" t="s">
        <v>511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390</v>
      </c>
      <c r="K9" s="466" t="s">
        <v>387</v>
      </c>
      <c r="L9" s="466" t="s">
        <v>387</v>
      </c>
      <c r="M9" s="466" t="s">
        <v>387</v>
      </c>
      <c r="N9" s="466" t="s">
        <v>387</v>
      </c>
      <c r="O9" s="466" t="s">
        <v>387</v>
      </c>
      <c r="P9" s="467" t="s">
        <v>413</v>
      </c>
      <c r="Q9" s="467" t="s">
        <v>392</v>
      </c>
      <c r="R9" s="467" t="s">
        <v>392</v>
      </c>
      <c r="S9" s="467" t="s">
        <v>392</v>
      </c>
      <c r="T9" s="468" t="s">
        <v>392</v>
      </c>
      <c r="U9" s="469"/>
      <c r="W9" s="448"/>
      <c r="Y9" s="449"/>
    </row>
    <row r="10" spans="2:25" x14ac:dyDescent="0.25">
      <c r="B10" s="462" t="s">
        <v>801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390</v>
      </c>
      <c r="K10" s="466" t="s">
        <v>512</v>
      </c>
      <c r="L10" s="466" t="s">
        <v>512</v>
      </c>
      <c r="M10" s="466" t="s">
        <v>512</v>
      </c>
      <c r="N10" s="466" t="s">
        <v>512</v>
      </c>
      <c r="O10" s="471" t="s">
        <v>401</v>
      </c>
      <c r="P10" s="467" t="s">
        <v>413</v>
      </c>
      <c r="Q10" s="467" t="s">
        <v>392</v>
      </c>
      <c r="R10" s="467" t="s">
        <v>392</v>
      </c>
      <c r="S10" s="467" t="s">
        <v>392</v>
      </c>
      <c r="T10" s="468" t="s">
        <v>392</v>
      </c>
      <c r="U10" s="469">
        <v>2020</v>
      </c>
      <c r="W10" s="448"/>
      <c r="Y10" s="449"/>
    </row>
    <row r="11" spans="2:25" x14ac:dyDescent="0.25">
      <c r="B11" s="472" t="s">
        <v>513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390</v>
      </c>
      <c r="K11" s="466" t="s">
        <v>387</v>
      </c>
      <c r="L11" s="466" t="s">
        <v>387</v>
      </c>
      <c r="M11" s="466" t="s">
        <v>387</v>
      </c>
      <c r="N11" s="471" t="s">
        <v>401</v>
      </c>
      <c r="O11" s="466" t="s">
        <v>387</v>
      </c>
      <c r="P11" s="467" t="s">
        <v>413</v>
      </c>
      <c r="Q11" s="467" t="s">
        <v>392</v>
      </c>
      <c r="R11" s="467" t="s">
        <v>392</v>
      </c>
      <c r="S11" s="467" t="s">
        <v>392</v>
      </c>
      <c r="T11" s="468" t="s">
        <v>392</v>
      </c>
      <c r="U11" s="469">
        <v>2020</v>
      </c>
      <c r="W11" s="448"/>
      <c r="Y11" s="449"/>
    </row>
    <row r="12" spans="2:25" x14ac:dyDescent="0.25">
      <c r="B12" s="473" t="s">
        <v>514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390</v>
      </c>
      <c r="K12" s="466" t="s">
        <v>387</v>
      </c>
      <c r="L12" s="466" t="s">
        <v>387</v>
      </c>
      <c r="M12" s="466" t="s">
        <v>387</v>
      </c>
      <c r="N12" s="471" t="s">
        <v>401</v>
      </c>
      <c r="O12" s="466" t="s">
        <v>387</v>
      </c>
      <c r="P12" s="467" t="s">
        <v>413</v>
      </c>
      <c r="Q12" s="467" t="s">
        <v>392</v>
      </c>
      <c r="R12" s="467" t="s">
        <v>392</v>
      </c>
      <c r="S12" s="467" t="s">
        <v>392</v>
      </c>
      <c r="T12" s="468" t="s">
        <v>392</v>
      </c>
      <c r="U12" s="469"/>
      <c r="W12" s="448"/>
      <c r="Y12" s="449"/>
    </row>
    <row r="13" spans="2:25" s="876" customFormat="1" x14ac:dyDescent="0.25">
      <c r="B13" s="877" t="s">
        <v>515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390</v>
      </c>
      <c r="K13" s="881" t="s">
        <v>387</v>
      </c>
      <c r="L13" s="881" t="s">
        <v>387</v>
      </c>
      <c r="M13" s="881" t="s">
        <v>387</v>
      </c>
      <c r="N13" s="471" t="s">
        <v>401</v>
      </c>
      <c r="O13" s="881" t="s">
        <v>387</v>
      </c>
      <c r="P13" s="467" t="s">
        <v>413</v>
      </c>
      <c r="Q13" s="467" t="s">
        <v>392</v>
      </c>
      <c r="R13" s="467" t="s">
        <v>392</v>
      </c>
      <c r="S13" s="467" t="s">
        <v>392</v>
      </c>
      <c r="T13" s="468" t="s">
        <v>392</v>
      </c>
      <c r="U13" s="882"/>
      <c r="W13" s="883"/>
      <c r="Y13" s="884"/>
    </row>
    <row r="14" spans="2:25" x14ac:dyDescent="0.25">
      <c r="B14" s="473" t="s">
        <v>516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390</v>
      </c>
      <c r="K14" s="466" t="s">
        <v>387</v>
      </c>
      <c r="L14" s="466" t="s">
        <v>387</v>
      </c>
      <c r="M14" s="466" t="s">
        <v>387</v>
      </c>
      <c r="N14" s="471" t="s">
        <v>401</v>
      </c>
      <c r="O14" s="466" t="s">
        <v>387</v>
      </c>
      <c r="P14" s="467" t="s">
        <v>413</v>
      </c>
      <c r="Q14" s="467" t="s">
        <v>392</v>
      </c>
      <c r="R14" s="467" t="s">
        <v>392</v>
      </c>
      <c r="S14" s="467" t="s">
        <v>392</v>
      </c>
      <c r="T14" s="468" t="s">
        <v>392</v>
      </c>
      <c r="U14" s="469">
        <v>2022</v>
      </c>
      <c r="W14" s="448"/>
      <c r="Y14" s="449"/>
    </row>
    <row r="15" spans="2:25" x14ac:dyDescent="0.25">
      <c r="B15" s="473" t="s">
        <v>517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390</v>
      </c>
      <c r="K15" s="466" t="s">
        <v>387</v>
      </c>
      <c r="L15" s="466" t="s">
        <v>387</v>
      </c>
      <c r="M15" s="466" t="s">
        <v>387</v>
      </c>
      <c r="N15" s="471" t="s">
        <v>401</v>
      </c>
      <c r="O15" s="466" t="s">
        <v>387</v>
      </c>
      <c r="P15" s="467" t="s">
        <v>413</v>
      </c>
      <c r="Q15" s="467" t="s">
        <v>392</v>
      </c>
      <c r="R15" s="467" t="s">
        <v>392</v>
      </c>
      <c r="S15" s="467" t="s">
        <v>392</v>
      </c>
      <c r="T15" s="468" t="s">
        <v>392</v>
      </c>
      <c r="U15" s="469"/>
      <c r="W15" s="448"/>
      <c r="Y15" s="449"/>
    </row>
    <row r="16" spans="2:25" x14ac:dyDescent="0.25">
      <c r="B16" s="473" t="s">
        <v>518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390</v>
      </c>
      <c r="K16" s="466" t="s">
        <v>387</v>
      </c>
      <c r="L16" s="466" t="s">
        <v>387</v>
      </c>
      <c r="M16" s="466" t="s">
        <v>387</v>
      </c>
      <c r="N16" s="471" t="s">
        <v>401</v>
      </c>
      <c r="O16" s="466" t="s">
        <v>387</v>
      </c>
      <c r="P16" s="467" t="s">
        <v>413</v>
      </c>
      <c r="Q16" s="467" t="s">
        <v>392</v>
      </c>
      <c r="R16" s="467" t="s">
        <v>392</v>
      </c>
      <c r="S16" s="467" t="s">
        <v>392</v>
      </c>
      <c r="T16" s="468" t="s">
        <v>392</v>
      </c>
      <c r="U16" s="469"/>
      <c r="W16" s="448"/>
      <c r="Y16" s="449"/>
    </row>
    <row r="17" spans="2:25" x14ac:dyDescent="0.25">
      <c r="B17" s="472" t="s">
        <v>519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390</v>
      </c>
      <c r="K17" s="466" t="s">
        <v>387</v>
      </c>
      <c r="L17" s="466" t="s">
        <v>387</v>
      </c>
      <c r="M17" s="466" t="s">
        <v>387</v>
      </c>
      <c r="N17" s="471" t="s">
        <v>401</v>
      </c>
      <c r="O17" s="466" t="s">
        <v>387</v>
      </c>
      <c r="P17" s="467" t="s">
        <v>413</v>
      </c>
      <c r="Q17" s="467" t="s">
        <v>392</v>
      </c>
      <c r="R17" s="467" t="s">
        <v>392</v>
      </c>
      <c r="S17" s="467" t="s">
        <v>392</v>
      </c>
      <c r="T17" s="468" t="s">
        <v>392</v>
      </c>
      <c r="U17" s="469">
        <v>2020</v>
      </c>
      <c r="W17" s="448"/>
      <c r="Y17" s="449"/>
    </row>
    <row r="18" spans="2:25" x14ac:dyDescent="0.25">
      <c r="B18" s="475" t="s">
        <v>520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390</v>
      </c>
      <c r="K18" s="479" t="s">
        <v>401</v>
      </c>
      <c r="L18" s="480" t="s">
        <v>387</v>
      </c>
      <c r="M18" s="479" t="s">
        <v>401</v>
      </c>
      <c r="N18" s="479" t="s">
        <v>401</v>
      </c>
      <c r="O18" s="480" t="s">
        <v>387</v>
      </c>
      <c r="P18" s="481" t="s">
        <v>413</v>
      </c>
      <c r="Q18" s="481" t="s">
        <v>392</v>
      </c>
      <c r="R18" s="481" t="s">
        <v>392</v>
      </c>
      <c r="S18" s="481" t="s">
        <v>392</v>
      </c>
      <c r="T18" s="482" t="s">
        <v>392</v>
      </c>
      <c r="U18" s="483">
        <v>2022</v>
      </c>
      <c r="W18" s="448"/>
      <c r="Y18" s="449"/>
    </row>
    <row r="19" spans="2:25" x14ac:dyDescent="0.25">
      <c r="B19" s="475" t="s">
        <v>521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390</v>
      </c>
      <c r="K19" s="480" t="s">
        <v>387</v>
      </c>
      <c r="L19" s="480" t="s">
        <v>387</v>
      </c>
      <c r="M19" s="480" t="s">
        <v>387</v>
      </c>
      <c r="N19" s="479" t="s">
        <v>401</v>
      </c>
      <c r="O19" s="480" t="s">
        <v>387</v>
      </c>
      <c r="P19" s="481" t="s">
        <v>413</v>
      </c>
      <c r="Q19" s="481" t="s">
        <v>392</v>
      </c>
      <c r="R19" s="481" t="s">
        <v>392</v>
      </c>
      <c r="S19" s="481" t="s">
        <v>392</v>
      </c>
      <c r="T19" s="482" t="s">
        <v>392</v>
      </c>
      <c r="U19" s="483">
        <v>2022</v>
      </c>
      <c r="W19" s="448"/>
      <c r="Y19" s="449"/>
    </row>
    <row r="20" spans="2:25" x14ac:dyDescent="0.25">
      <c r="B20" s="472" t="s">
        <v>522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390</v>
      </c>
      <c r="K20" s="466" t="s">
        <v>387</v>
      </c>
      <c r="L20" s="466" t="s">
        <v>387</v>
      </c>
      <c r="M20" s="466" t="s">
        <v>387</v>
      </c>
      <c r="N20" s="471" t="s">
        <v>401</v>
      </c>
      <c r="O20" s="466" t="s">
        <v>387</v>
      </c>
      <c r="P20" s="467" t="s">
        <v>413</v>
      </c>
      <c r="Q20" s="467" t="s">
        <v>392</v>
      </c>
      <c r="R20" s="467" t="s">
        <v>392</v>
      </c>
      <c r="S20" s="467" t="s">
        <v>392</v>
      </c>
      <c r="T20" s="468" t="s">
        <v>392</v>
      </c>
      <c r="U20" s="469">
        <v>2020</v>
      </c>
      <c r="W20" s="448"/>
      <c r="Y20" s="449"/>
    </row>
    <row r="21" spans="2:25" x14ac:dyDescent="0.25">
      <c r="B21" s="473" t="s">
        <v>523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390</v>
      </c>
      <c r="K21" s="466" t="s">
        <v>387</v>
      </c>
      <c r="L21" s="466" t="s">
        <v>387</v>
      </c>
      <c r="M21" s="466" t="s">
        <v>387</v>
      </c>
      <c r="N21" s="471" t="s">
        <v>401</v>
      </c>
      <c r="O21" s="466" t="s">
        <v>387</v>
      </c>
      <c r="P21" s="467" t="s">
        <v>413</v>
      </c>
      <c r="Q21" s="467" t="s">
        <v>392</v>
      </c>
      <c r="R21" s="467" t="s">
        <v>392</v>
      </c>
      <c r="S21" s="467" t="s">
        <v>392</v>
      </c>
      <c r="T21" s="468" t="s">
        <v>392</v>
      </c>
      <c r="U21" s="469"/>
      <c r="W21" s="448"/>
      <c r="Y21" s="449"/>
    </row>
    <row r="22" spans="2:25" x14ac:dyDescent="0.25">
      <c r="B22" s="475" t="s">
        <v>404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390</v>
      </c>
      <c r="K22" s="480" t="s">
        <v>387</v>
      </c>
      <c r="L22" s="480" t="s">
        <v>387</v>
      </c>
      <c r="M22" s="480" t="s">
        <v>387</v>
      </c>
      <c r="N22" s="479" t="s">
        <v>401</v>
      </c>
      <c r="O22" s="480" t="s">
        <v>387</v>
      </c>
      <c r="P22" s="481" t="s">
        <v>413</v>
      </c>
      <c r="Q22" s="481" t="s">
        <v>392</v>
      </c>
      <c r="R22" s="481" t="s">
        <v>392</v>
      </c>
      <c r="S22" s="481" t="s">
        <v>392</v>
      </c>
      <c r="T22" s="482" t="s">
        <v>392</v>
      </c>
      <c r="U22" s="483">
        <v>2021</v>
      </c>
      <c r="W22" s="448"/>
      <c r="Y22" s="449"/>
    </row>
    <row r="23" spans="2:25" x14ac:dyDescent="0.25">
      <c r="B23" s="484" t="s">
        <v>389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390</v>
      </c>
      <c r="K23" s="487" t="s">
        <v>387</v>
      </c>
      <c r="L23" s="487" t="s">
        <v>387</v>
      </c>
      <c r="M23" s="487" t="s">
        <v>387</v>
      </c>
      <c r="N23" s="487" t="s">
        <v>387</v>
      </c>
      <c r="O23" s="487" t="s">
        <v>387</v>
      </c>
      <c r="P23" s="470" t="s">
        <v>391</v>
      </c>
      <c r="Q23" s="470" t="s">
        <v>388</v>
      </c>
      <c r="R23" s="488" t="s">
        <v>392</v>
      </c>
      <c r="S23" s="488" t="s">
        <v>392</v>
      </c>
      <c r="T23" s="489" t="s">
        <v>392</v>
      </c>
      <c r="U23" s="490">
        <v>2022</v>
      </c>
      <c r="W23" s="448" t="s">
        <v>393</v>
      </c>
      <c r="Y23" s="449" t="s">
        <v>394</v>
      </c>
    </row>
    <row r="24" spans="2:25" x14ac:dyDescent="0.25">
      <c r="B24" s="484" t="s">
        <v>395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396</v>
      </c>
      <c r="K24" s="487" t="s">
        <v>387</v>
      </c>
      <c r="L24" s="487" t="s">
        <v>387</v>
      </c>
      <c r="M24" s="487" t="s">
        <v>387</v>
      </c>
      <c r="N24" s="487" t="s">
        <v>387</v>
      </c>
      <c r="O24" s="487" t="s">
        <v>387</v>
      </c>
      <c r="P24" s="470" t="s">
        <v>391</v>
      </c>
      <c r="Q24" s="470" t="s">
        <v>388</v>
      </c>
      <c r="R24" s="488" t="s">
        <v>392</v>
      </c>
      <c r="S24" s="488" t="s">
        <v>392</v>
      </c>
      <c r="T24" s="489" t="s">
        <v>392</v>
      </c>
      <c r="U24" s="490">
        <v>2022</v>
      </c>
      <c r="W24" s="448" t="s">
        <v>397</v>
      </c>
      <c r="Y24" s="449" t="s">
        <v>398</v>
      </c>
    </row>
    <row r="25" spans="2:25" x14ac:dyDescent="0.25">
      <c r="B25" s="491" t="s">
        <v>399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400</v>
      </c>
      <c r="K25" s="494" t="s">
        <v>387</v>
      </c>
      <c r="L25" s="494" t="s">
        <v>387</v>
      </c>
      <c r="M25" s="494" t="s">
        <v>387</v>
      </c>
      <c r="N25" s="495" t="s">
        <v>401</v>
      </c>
      <c r="O25" s="494" t="s">
        <v>387</v>
      </c>
      <c r="P25" s="478" t="s">
        <v>391</v>
      </c>
      <c r="Q25" s="478" t="s">
        <v>388</v>
      </c>
      <c r="R25" s="496" t="s">
        <v>392</v>
      </c>
      <c r="S25" s="496" t="s">
        <v>392</v>
      </c>
      <c r="T25" s="497" t="s">
        <v>392</v>
      </c>
      <c r="U25" s="498"/>
      <c r="W25" s="448" t="s">
        <v>402</v>
      </c>
      <c r="Y25" s="449" t="s">
        <v>403</v>
      </c>
    </row>
    <row r="26" spans="2:25" x14ac:dyDescent="0.25">
      <c r="B26" s="484" t="s">
        <v>405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406</v>
      </c>
      <c r="K26" s="487" t="s">
        <v>387</v>
      </c>
      <c r="L26" s="487" t="s">
        <v>387</v>
      </c>
      <c r="M26" s="487" t="s">
        <v>387</v>
      </c>
      <c r="N26" s="499" t="s">
        <v>401</v>
      </c>
      <c r="O26" s="499" t="s">
        <v>401</v>
      </c>
      <c r="P26" s="470" t="s">
        <v>391</v>
      </c>
      <c r="Q26" s="470" t="s">
        <v>388</v>
      </c>
      <c r="R26" s="488" t="s">
        <v>392</v>
      </c>
      <c r="S26" s="488" t="s">
        <v>392</v>
      </c>
      <c r="T26" s="489" t="s">
        <v>392</v>
      </c>
      <c r="U26" s="490">
        <v>2021</v>
      </c>
      <c r="W26" s="448" t="s">
        <v>140</v>
      </c>
      <c r="Y26" s="449" t="s">
        <v>407</v>
      </c>
    </row>
    <row r="27" spans="2:25" x14ac:dyDescent="0.25">
      <c r="B27" s="491" t="s">
        <v>408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406</v>
      </c>
      <c r="K27" s="494" t="s">
        <v>387</v>
      </c>
      <c r="L27" s="494" t="s">
        <v>387</v>
      </c>
      <c r="M27" s="494" t="s">
        <v>387</v>
      </c>
      <c r="N27" s="495" t="s">
        <v>409</v>
      </c>
      <c r="O27" s="494" t="s">
        <v>387</v>
      </c>
      <c r="P27" s="478" t="s">
        <v>410</v>
      </c>
      <c r="Q27" s="478" t="s">
        <v>388</v>
      </c>
      <c r="R27" s="478" t="s">
        <v>411</v>
      </c>
      <c r="S27" s="496" t="s">
        <v>392</v>
      </c>
      <c r="T27" s="497" t="s">
        <v>392</v>
      </c>
      <c r="U27" s="498">
        <v>2021</v>
      </c>
    </row>
    <row r="28" spans="2:25" x14ac:dyDescent="0.25">
      <c r="B28" s="491" t="s">
        <v>524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525</v>
      </c>
      <c r="K28" s="494" t="s">
        <v>387</v>
      </c>
      <c r="L28" s="494" t="s">
        <v>387</v>
      </c>
      <c r="M28" s="494" t="s">
        <v>387</v>
      </c>
      <c r="N28" s="495" t="s">
        <v>401</v>
      </c>
      <c r="O28" s="495" t="s">
        <v>401</v>
      </c>
      <c r="P28" s="496" t="s">
        <v>413</v>
      </c>
      <c r="Q28" s="496" t="s">
        <v>392</v>
      </c>
      <c r="R28" s="496" t="s">
        <v>392</v>
      </c>
      <c r="S28" s="496" t="s">
        <v>392</v>
      </c>
      <c r="T28" s="497" t="s">
        <v>392</v>
      </c>
      <c r="U28" s="498">
        <v>2019</v>
      </c>
    </row>
    <row r="29" spans="2:25" x14ac:dyDescent="0.25">
      <c r="B29" s="500" t="s">
        <v>790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390</v>
      </c>
      <c r="K29" s="487" t="s">
        <v>387</v>
      </c>
      <c r="L29" s="487" t="s">
        <v>387</v>
      </c>
      <c r="M29" s="487" t="s">
        <v>387</v>
      </c>
      <c r="N29" s="499" t="s">
        <v>401</v>
      </c>
      <c r="O29" s="499" t="s">
        <v>401</v>
      </c>
      <c r="P29" s="488" t="s">
        <v>413</v>
      </c>
      <c r="Q29" s="488" t="s">
        <v>392</v>
      </c>
      <c r="R29" s="488" t="s">
        <v>392</v>
      </c>
      <c r="S29" s="488" t="s">
        <v>392</v>
      </c>
      <c r="T29" s="489" t="s">
        <v>392</v>
      </c>
      <c r="U29" s="490">
        <v>2020</v>
      </c>
    </row>
    <row r="30" spans="2:25" x14ac:dyDescent="0.25">
      <c r="B30" s="491" t="s">
        <v>526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390</v>
      </c>
      <c r="K30" s="494" t="s">
        <v>387</v>
      </c>
      <c r="L30" s="494" t="s">
        <v>387</v>
      </c>
      <c r="M30" s="494" t="s">
        <v>387</v>
      </c>
      <c r="N30" s="495" t="s">
        <v>401</v>
      </c>
      <c r="O30" s="495" t="s">
        <v>401</v>
      </c>
      <c r="P30" s="496" t="s">
        <v>413</v>
      </c>
      <c r="Q30" s="496" t="s">
        <v>392</v>
      </c>
      <c r="R30" s="496" t="s">
        <v>392</v>
      </c>
      <c r="S30" s="496" t="s">
        <v>392</v>
      </c>
      <c r="T30" s="497" t="s">
        <v>392</v>
      </c>
      <c r="U30" s="498">
        <v>2022</v>
      </c>
    </row>
    <row r="31" spans="2:25" x14ac:dyDescent="0.25">
      <c r="B31" s="491" t="s">
        <v>412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390</v>
      </c>
      <c r="K31" s="494" t="s">
        <v>387</v>
      </c>
      <c r="L31" s="494" t="s">
        <v>387</v>
      </c>
      <c r="M31" s="494" t="s">
        <v>387</v>
      </c>
      <c r="N31" s="494" t="s">
        <v>387</v>
      </c>
      <c r="O31" s="495" t="s">
        <v>401</v>
      </c>
      <c r="P31" s="496" t="s">
        <v>413</v>
      </c>
      <c r="Q31" s="496" t="s">
        <v>392</v>
      </c>
      <c r="R31" s="496" t="s">
        <v>392</v>
      </c>
      <c r="S31" s="496" t="s">
        <v>392</v>
      </c>
      <c r="T31" s="497" t="s">
        <v>392</v>
      </c>
      <c r="U31" s="498">
        <v>2022</v>
      </c>
    </row>
    <row r="32" spans="2:25" x14ac:dyDescent="0.25">
      <c r="B32" s="484" t="s">
        <v>414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390</v>
      </c>
      <c r="K32" s="487" t="s">
        <v>387</v>
      </c>
      <c r="L32" s="487" t="s">
        <v>387</v>
      </c>
      <c r="M32" s="487" t="s">
        <v>387</v>
      </c>
      <c r="N32" s="487" t="s">
        <v>387</v>
      </c>
      <c r="O32" s="487" t="s">
        <v>387</v>
      </c>
      <c r="P32" s="488" t="s">
        <v>413</v>
      </c>
      <c r="Q32" s="488" t="s">
        <v>392</v>
      </c>
      <c r="R32" s="488" t="s">
        <v>392</v>
      </c>
      <c r="S32" s="488" t="s">
        <v>392</v>
      </c>
      <c r="T32" s="489" t="s">
        <v>392</v>
      </c>
      <c r="U32" s="490">
        <v>2022</v>
      </c>
    </row>
    <row r="33" spans="2:21" x14ac:dyDescent="0.25">
      <c r="B33" s="484" t="s">
        <v>415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390</v>
      </c>
      <c r="K33" s="487" t="s">
        <v>387</v>
      </c>
      <c r="L33" s="487" t="s">
        <v>387</v>
      </c>
      <c r="M33" s="499" t="s">
        <v>416</v>
      </c>
      <c r="N33" s="487" t="s">
        <v>387</v>
      </c>
      <c r="O33" s="487" t="s">
        <v>387</v>
      </c>
      <c r="P33" s="488" t="s">
        <v>413</v>
      </c>
      <c r="Q33" s="488" t="s">
        <v>392</v>
      </c>
      <c r="R33" s="488" t="s">
        <v>392</v>
      </c>
      <c r="S33" s="488" t="s">
        <v>392</v>
      </c>
      <c r="T33" s="489" t="s">
        <v>392</v>
      </c>
      <c r="U33" s="490">
        <v>2022</v>
      </c>
    </row>
    <row r="34" spans="2:21" s="876" customFormat="1" ht="14.25" thickBot="1" x14ac:dyDescent="0.3">
      <c r="B34" s="870" t="s">
        <v>788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406</v>
      </c>
      <c r="K34" s="874" t="s">
        <v>387</v>
      </c>
      <c r="L34" s="874" t="s">
        <v>387</v>
      </c>
      <c r="M34" s="502" t="s">
        <v>387</v>
      </c>
      <c r="N34" s="874" t="s">
        <v>387</v>
      </c>
      <c r="O34" s="874" t="s">
        <v>387</v>
      </c>
      <c r="P34" s="503"/>
      <c r="Q34" s="503"/>
      <c r="R34" s="503"/>
      <c r="S34" s="503"/>
      <c r="T34" s="504"/>
      <c r="U34" s="875">
        <v>2019</v>
      </c>
    </row>
    <row r="36" spans="2:21" x14ac:dyDescent="0.25">
      <c r="B36" s="448" t="s">
        <v>417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4.25" thickBot="1" x14ac:dyDescent="0.3"/>
    <row r="38" spans="2:21" ht="14.25" thickBot="1" x14ac:dyDescent="0.3">
      <c r="B38" s="457" t="s">
        <v>527</v>
      </c>
      <c r="C38" s="458" t="s">
        <v>369</v>
      </c>
      <c r="E38" s="458" t="s">
        <v>371</v>
      </c>
      <c r="F38" s="458" t="s">
        <v>418</v>
      </c>
      <c r="G38" s="458" t="s">
        <v>373</v>
      </c>
      <c r="H38" s="458" t="s">
        <v>374</v>
      </c>
      <c r="I38" s="458" t="s">
        <v>375</v>
      </c>
      <c r="J38" s="458" t="s">
        <v>376</v>
      </c>
      <c r="N38" s="458" t="s">
        <v>380</v>
      </c>
      <c r="O38" s="458" t="s">
        <v>381</v>
      </c>
      <c r="P38" s="458" t="s">
        <v>382</v>
      </c>
      <c r="Q38" s="458" t="s">
        <v>383</v>
      </c>
      <c r="R38" s="508" t="s">
        <v>140</v>
      </c>
      <c r="S38" s="508" t="s">
        <v>384</v>
      </c>
    </row>
    <row r="39" spans="2:21" x14ac:dyDescent="0.25">
      <c r="B39" s="462" t="s">
        <v>528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386</v>
      </c>
      <c r="N39" s="509" t="s">
        <v>391</v>
      </c>
      <c r="O39" s="509" t="s">
        <v>388</v>
      </c>
      <c r="P39" s="509" t="s">
        <v>388</v>
      </c>
      <c r="Q39" s="509" t="s">
        <v>388</v>
      </c>
      <c r="R39" s="510" t="s">
        <v>392</v>
      </c>
      <c r="S39" s="510"/>
    </row>
    <row r="40" spans="2:21" x14ac:dyDescent="0.25">
      <c r="B40" s="462" t="s">
        <v>420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390</v>
      </c>
      <c r="N40" s="509" t="s">
        <v>421</v>
      </c>
      <c r="O40" s="509" t="s">
        <v>388</v>
      </c>
      <c r="P40" s="509" t="s">
        <v>392</v>
      </c>
      <c r="Q40" s="509" t="s">
        <v>392</v>
      </c>
      <c r="R40" s="510" t="s">
        <v>392</v>
      </c>
      <c r="S40" s="510"/>
    </row>
    <row r="41" spans="2:21" ht="27" x14ac:dyDescent="0.25">
      <c r="B41" s="475" t="s">
        <v>529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390</v>
      </c>
      <c r="N41" s="509"/>
      <c r="O41" s="509"/>
      <c r="P41" s="509"/>
      <c r="Q41" s="509"/>
      <c r="R41" s="510"/>
      <c r="S41" s="510"/>
    </row>
    <row r="42" spans="2:21" x14ac:dyDescent="0.25">
      <c r="B42" s="512" t="s">
        <v>530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390</v>
      </c>
      <c r="N42" s="509"/>
      <c r="O42" s="509"/>
      <c r="P42" s="509"/>
      <c r="Q42" s="509"/>
      <c r="R42" s="510"/>
      <c r="S42" s="510"/>
    </row>
    <row r="43" spans="2:21" x14ac:dyDescent="0.25">
      <c r="B43" s="462" t="s">
        <v>422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390</v>
      </c>
      <c r="N43" s="509" t="s">
        <v>421</v>
      </c>
      <c r="O43" s="509" t="s">
        <v>392</v>
      </c>
      <c r="P43" s="509" t="s">
        <v>392</v>
      </c>
      <c r="Q43" s="509" t="s">
        <v>392</v>
      </c>
      <c r="R43" s="510" t="s">
        <v>392</v>
      </c>
      <c r="S43" s="510"/>
    </row>
    <row r="44" spans="2:21" x14ac:dyDescent="0.25">
      <c r="B44" s="514" t="s">
        <v>423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390</v>
      </c>
      <c r="N44" s="518" t="s">
        <v>424</v>
      </c>
      <c r="O44" s="518" t="s">
        <v>392</v>
      </c>
      <c r="P44" s="518" t="s">
        <v>392</v>
      </c>
      <c r="Q44" s="518" t="s">
        <v>392</v>
      </c>
      <c r="R44" s="519" t="s">
        <v>392</v>
      </c>
      <c r="S44" s="519"/>
    </row>
    <row r="45" spans="2:21" ht="27" x14ac:dyDescent="0.25">
      <c r="B45" s="520" t="s">
        <v>531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390</v>
      </c>
      <c r="N45" s="518"/>
      <c r="O45" s="518"/>
      <c r="P45" s="518"/>
      <c r="Q45" s="518"/>
      <c r="R45" s="519"/>
      <c r="S45" s="519"/>
    </row>
    <row r="46" spans="2:21" x14ac:dyDescent="0.25">
      <c r="B46" s="521" t="s">
        <v>532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390</v>
      </c>
      <c r="N46" s="518"/>
      <c r="O46" s="518"/>
      <c r="P46" s="518"/>
      <c r="Q46" s="518"/>
      <c r="R46" s="519"/>
      <c r="S46" s="519"/>
    </row>
    <row r="47" spans="2:21" x14ac:dyDescent="0.25">
      <c r="B47" s="521" t="s">
        <v>425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390</v>
      </c>
      <c r="N47" s="518" t="s">
        <v>424</v>
      </c>
      <c r="O47" s="518" t="s">
        <v>392</v>
      </c>
      <c r="P47" s="518" t="s">
        <v>392</v>
      </c>
      <c r="Q47" s="518" t="s">
        <v>392</v>
      </c>
      <c r="R47" s="519" t="s">
        <v>392</v>
      </c>
      <c r="S47" s="519"/>
    </row>
    <row r="48" spans="2:21" ht="14.25" thickBot="1" x14ac:dyDescent="0.3">
      <c r="B48" s="525" t="s">
        <v>426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400</v>
      </c>
      <c r="N48" s="529" t="s">
        <v>391</v>
      </c>
      <c r="O48" s="529" t="s">
        <v>388</v>
      </c>
      <c r="P48" s="529" t="s">
        <v>392</v>
      </c>
      <c r="Q48" s="529" t="s">
        <v>392</v>
      </c>
      <c r="R48" s="530" t="s">
        <v>392</v>
      </c>
      <c r="S48" s="530"/>
    </row>
    <row r="50" spans="2:19" x14ac:dyDescent="0.25">
      <c r="B50" s="448" t="s">
        <v>417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25">
      <c r="F51" s="507"/>
    </row>
    <row r="52" spans="2:19" ht="14.25" thickBot="1" x14ac:dyDescent="0.3">
      <c r="B52" s="450" t="s">
        <v>427</v>
      </c>
      <c r="F52" s="507"/>
    </row>
    <row r="53" spans="2:19" ht="14.25" thickBot="1" x14ac:dyDescent="0.3">
      <c r="B53" s="461"/>
      <c r="E53" s="457" t="s">
        <v>371</v>
      </c>
      <c r="F53" s="531" t="s">
        <v>428</v>
      </c>
      <c r="G53" s="458" t="s">
        <v>419</v>
      </c>
      <c r="H53" s="458" t="s">
        <v>376</v>
      </c>
      <c r="N53" s="458" t="s">
        <v>380</v>
      </c>
      <c r="O53" s="458" t="s">
        <v>381</v>
      </c>
      <c r="P53" s="458" t="s">
        <v>382</v>
      </c>
      <c r="Q53" s="458" t="s">
        <v>383</v>
      </c>
      <c r="R53" s="508" t="s">
        <v>140</v>
      </c>
      <c r="S53" s="508" t="s">
        <v>384</v>
      </c>
    </row>
    <row r="54" spans="2:19" x14ac:dyDescent="0.25">
      <c r="B54" s="483" t="s">
        <v>429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386</v>
      </c>
      <c r="N54" s="509" t="s">
        <v>430</v>
      </c>
      <c r="O54" s="509" t="s">
        <v>388</v>
      </c>
      <c r="P54" s="509" t="s">
        <v>388</v>
      </c>
      <c r="Q54" s="509" t="s">
        <v>388</v>
      </c>
      <c r="R54" s="509" t="s">
        <v>388</v>
      </c>
      <c r="S54" s="510"/>
    </row>
    <row r="55" spans="2:19" x14ac:dyDescent="0.25">
      <c r="B55" s="469" t="s">
        <v>431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390</v>
      </c>
      <c r="N55" s="509" t="s">
        <v>430</v>
      </c>
      <c r="O55" s="509" t="s">
        <v>388</v>
      </c>
      <c r="P55" s="509" t="s">
        <v>388</v>
      </c>
      <c r="Q55" s="509" t="s">
        <v>388</v>
      </c>
      <c r="R55" s="509" t="s">
        <v>388</v>
      </c>
      <c r="S55" s="510"/>
    </row>
    <row r="56" spans="2:19" x14ac:dyDescent="0.25">
      <c r="B56" s="536" t="s">
        <v>432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390</v>
      </c>
      <c r="N56" s="518" t="s">
        <v>433</v>
      </c>
      <c r="O56" s="518" t="s">
        <v>388</v>
      </c>
      <c r="P56" s="518" t="s">
        <v>388</v>
      </c>
      <c r="Q56" s="518" t="s">
        <v>388</v>
      </c>
      <c r="R56" s="518" t="s">
        <v>388</v>
      </c>
      <c r="S56" s="519"/>
    </row>
    <row r="57" spans="2:19" x14ac:dyDescent="0.25">
      <c r="B57" s="469" t="s">
        <v>434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390</v>
      </c>
      <c r="N57" s="518" t="s">
        <v>430</v>
      </c>
      <c r="O57" s="518" t="s">
        <v>388</v>
      </c>
      <c r="P57" s="518" t="s">
        <v>388</v>
      </c>
      <c r="Q57" s="518" t="s">
        <v>388</v>
      </c>
      <c r="R57" s="518" t="s">
        <v>388</v>
      </c>
      <c r="S57" s="519"/>
    </row>
    <row r="58" spans="2:19" x14ac:dyDescent="0.25">
      <c r="B58" s="483" t="s">
        <v>435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390</v>
      </c>
      <c r="N58" s="518" t="s">
        <v>430</v>
      </c>
      <c r="O58" s="518" t="s">
        <v>388</v>
      </c>
      <c r="P58" s="518" t="s">
        <v>388</v>
      </c>
      <c r="Q58" s="518" t="s">
        <v>388</v>
      </c>
      <c r="R58" s="518" t="s">
        <v>388</v>
      </c>
      <c r="S58" s="519"/>
    </row>
    <row r="59" spans="2:19" ht="14.25" thickBot="1" x14ac:dyDescent="0.3">
      <c r="B59" s="505" t="s">
        <v>436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390</v>
      </c>
      <c r="N59" s="545" t="s">
        <v>430</v>
      </c>
      <c r="O59" s="529" t="s">
        <v>388</v>
      </c>
      <c r="P59" s="529" t="s">
        <v>388</v>
      </c>
      <c r="Q59" s="529" t="s">
        <v>388</v>
      </c>
      <c r="R59" s="529" t="s">
        <v>388</v>
      </c>
      <c r="S59" s="530"/>
    </row>
    <row r="60" spans="2:19" x14ac:dyDescent="0.25">
      <c r="E60" s="507"/>
      <c r="F60" s="507"/>
      <c r="G60" s="507"/>
    </row>
    <row r="61" spans="2:19" x14ac:dyDescent="0.25">
      <c r="B61" s="448" t="s">
        <v>417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.25" thickBot="1" x14ac:dyDescent="0.3">
      <c r="B64" s="450" t="s">
        <v>437</v>
      </c>
      <c r="F64" s="507"/>
    </row>
    <row r="65" spans="2:18" ht="14.25" thickBot="1" x14ac:dyDescent="0.3">
      <c r="B65" s="461"/>
      <c r="E65" s="457" t="s">
        <v>371</v>
      </c>
      <c r="F65" s="531" t="s">
        <v>428</v>
      </c>
      <c r="G65" s="531" t="s">
        <v>373</v>
      </c>
      <c r="H65" s="458" t="s">
        <v>374</v>
      </c>
      <c r="I65" s="458" t="s">
        <v>375</v>
      </c>
      <c r="J65" s="508" t="s">
        <v>376</v>
      </c>
      <c r="M65" s="458" t="s">
        <v>380</v>
      </c>
      <c r="N65" s="458" t="s">
        <v>381</v>
      </c>
      <c r="O65" s="458" t="s">
        <v>382</v>
      </c>
      <c r="P65" s="458" t="s">
        <v>383</v>
      </c>
      <c r="Q65" s="508" t="s">
        <v>140</v>
      </c>
      <c r="R65" s="508" t="s">
        <v>384</v>
      </c>
    </row>
    <row r="66" spans="2:18" x14ac:dyDescent="0.25">
      <c r="B66" s="483" t="s">
        <v>438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386</v>
      </c>
      <c r="M66" s="509" t="s">
        <v>430</v>
      </c>
      <c r="N66" s="509" t="s">
        <v>388</v>
      </c>
      <c r="O66" s="509" t="s">
        <v>388</v>
      </c>
      <c r="P66" s="509" t="s">
        <v>388</v>
      </c>
      <c r="Q66" s="509" t="s">
        <v>388</v>
      </c>
      <c r="R66" s="510">
        <v>2023</v>
      </c>
    </row>
    <row r="67" spans="2:18" ht="27" x14ac:dyDescent="0.25">
      <c r="B67" s="547" t="s">
        <v>533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390</v>
      </c>
      <c r="M67" s="509"/>
      <c r="N67" s="509"/>
      <c r="O67" s="509"/>
      <c r="P67" s="509"/>
      <c r="Q67" s="509"/>
      <c r="R67" s="510">
        <v>2020</v>
      </c>
    </row>
    <row r="68" spans="2:18" x14ac:dyDescent="0.25">
      <c r="B68" s="469" t="s">
        <v>486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390</v>
      </c>
      <c r="M68" s="509"/>
      <c r="N68" s="509"/>
      <c r="O68" s="509"/>
      <c r="P68" s="509"/>
      <c r="Q68" s="509"/>
      <c r="R68" s="510">
        <v>2019</v>
      </c>
    </row>
    <row r="69" spans="2:18" x14ac:dyDescent="0.25">
      <c r="B69" s="469" t="s">
        <v>439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390</v>
      </c>
      <c r="M69" s="509" t="s">
        <v>440</v>
      </c>
      <c r="N69" s="509" t="s">
        <v>392</v>
      </c>
      <c r="O69" s="509" t="s">
        <v>392</v>
      </c>
      <c r="P69" s="509" t="s">
        <v>392</v>
      </c>
      <c r="Q69" s="509" t="s">
        <v>392</v>
      </c>
      <c r="R69" s="510">
        <v>2020</v>
      </c>
    </row>
    <row r="70" spans="2:18" x14ac:dyDescent="0.25">
      <c r="B70" s="469" t="s">
        <v>802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25">
      <c r="B71" s="549" t="s">
        <v>534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390</v>
      </c>
      <c r="M71" s="509"/>
      <c r="N71" s="509"/>
      <c r="O71" s="509"/>
      <c r="P71" s="509"/>
      <c r="Q71" s="509"/>
      <c r="R71" s="510">
        <v>2019</v>
      </c>
    </row>
    <row r="72" spans="2:18" ht="27" x14ac:dyDescent="0.25">
      <c r="B72" s="553" t="s">
        <v>535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390</v>
      </c>
      <c r="M72" s="509" t="s">
        <v>430</v>
      </c>
      <c r="N72" s="509" t="s">
        <v>388</v>
      </c>
      <c r="O72" s="509" t="s">
        <v>388</v>
      </c>
      <c r="P72" s="509" t="s">
        <v>388</v>
      </c>
      <c r="Q72" s="509" t="s">
        <v>388</v>
      </c>
      <c r="R72" s="510">
        <v>2020</v>
      </c>
    </row>
    <row r="73" spans="2:18" ht="14.25" thickBot="1" x14ac:dyDescent="0.3">
      <c r="B73" s="554" t="s">
        <v>441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390</v>
      </c>
      <c r="M73" s="518" t="s">
        <v>433</v>
      </c>
      <c r="N73" s="518" t="s">
        <v>388</v>
      </c>
      <c r="O73" s="518" t="s">
        <v>388</v>
      </c>
      <c r="P73" s="518" t="s">
        <v>388</v>
      </c>
      <c r="Q73" s="518" t="s">
        <v>388</v>
      </c>
      <c r="R73" s="519">
        <v>2020</v>
      </c>
    </row>
    <row r="74" spans="2:18" x14ac:dyDescent="0.25">
      <c r="E74" s="507"/>
      <c r="F74" s="507"/>
      <c r="G74" s="507"/>
      <c r="H74" s="507"/>
      <c r="I74" s="507"/>
    </row>
    <row r="75" spans="2:18" x14ac:dyDescent="0.25">
      <c r="B75" s="448" t="s">
        <v>417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25"/>
    <row r="78" spans="2:18" ht="14.25" thickBot="1" x14ac:dyDescent="0.3">
      <c r="B78" s="450" t="s">
        <v>442</v>
      </c>
      <c r="F78" s="507"/>
    </row>
    <row r="79" spans="2:18" ht="14.25" thickBot="1" x14ac:dyDescent="0.3">
      <c r="B79" s="461"/>
      <c r="E79" s="457" t="s">
        <v>371</v>
      </c>
      <c r="F79" s="531" t="s">
        <v>428</v>
      </c>
      <c r="G79" s="458" t="s">
        <v>419</v>
      </c>
      <c r="H79" s="508" t="s">
        <v>376</v>
      </c>
      <c r="M79" s="458" t="s">
        <v>380</v>
      </c>
      <c r="N79" s="458" t="s">
        <v>381</v>
      </c>
      <c r="O79" s="458" t="s">
        <v>382</v>
      </c>
      <c r="P79" s="458" t="s">
        <v>383</v>
      </c>
      <c r="Q79" s="508" t="s">
        <v>140</v>
      </c>
      <c r="R79" s="508" t="s">
        <v>384</v>
      </c>
    </row>
    <row r="80" spans="2:18" x14ac:dyDescent="0.25">
      <c r="B80" s="483" t="s">
        <v>724</v>
      </c>
      <c r="E80" s="532">
        <v>23000000</v>
      </c>
      <c r="F80" s="533"/>
      <c r="G80" s="477">
        <v>2000000</v>
      </c>
      <c r="H80" s="546" t="s">
        <v>390</v>
      </c>
      <c r="M80" s="509"/>
      <c r="N80" s="509"/>
      <c r="O80" s="509"/>
      <c r="P80" s="509"/>
      <c r="Q80" s="509"/>
      <c r="R80" s="510">
        <v>2020</v>
      </c>
    </row>
    <row r="81" spans="2:18" x14ac:dyDescent="0.25">
      <c r="B81" s="469" t="s">
        <v>443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390</v>
      </c>
      <c r="M81" s="509" t="s">
        <v>430</v>
      </c>
      <c r="N81" s="509" t="s">
        <v>388</v>
      </c>
      <c r="O81" s="509" t="s">
        <v>388</v>
      </c>
      <c r="P81" s="509" t="s">
        <v>388</v>
      </c>
      <c r="Q81" s="509" t="s">
        <v>388</v>
      </c>
      <c r="R81" s="510">
        <v>2020</v>
      </c>
    </row>
    <row r="82" spans="2:18" x14ac:dyDescent="0.25">
      <c r="B82" s="483" t="s">
        <v>444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390</v>
      </c>
      <c r="M82" s="509" t="s">
        <v>430</v>
      </c>
      <c r="N82" s="509" t="s">
        <v>392</v>
      </c>
      <c r="O82" s="509" t="s">
        <v>392</v>
      </c>
      <c r="P82" s="509" t="s">
        <v>392</v>
      </c>
      <c r="Q82" s="509" t="s">
        <v>392</v>
      </c>
      <c r="R82" s="510">
        <v>2020</v>
      </c>
    </row>
    <row r="83" spans="2:18" ht="27" x14ac:dyDescent="0.25">
      <c r="B83" s="558" t="s">
        <v>536</v>
      </c>
      <c r="E83" s="559"/>
      <c r="F83" s="560"/>
      <c r="G83" s="561">
        <v>3500000</v>
      </c>
      <c r="H83" s="510" t="s">
        <v>390</v>
      </c>
      <c r="M83" s="509"/>
      <c r="N83" s="509"/>
      <c r="O83" s="509"/>
      <c r="P83" s="509"/>
      <c r="Q83" s="509"/>
      <c r="R83" s="510">
        <v>2020</v>
      </c>
    </row>
    <row r="84" spans="2:18" x14ac:dyDescent="0.25">
      <c r="B84" s="483" t="s">
        <v>537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538</v>
      </c>
      <c r="M84" s="509"/>
      <c r="N84" s="509"/>
      <c r="O84" s="509"/>
      <c r="P84" s="509"/>
      <c r="Q84" s="509"/>
      <c r="R84" s="510">
        <v>2020</v>
      </c>
    </row>
    <row r="85" spans="2:18" x14ac:dyDescent="0.25">
      <c r="B85" s="483" t="s">
        <v>445</v>
      </c>
      <c r="E85" s="532">
        <v>8500000</v>
      </c>
      <c r="F85" s="533">
        <v>3500000</v>
      </c>
      <c r="G85" s="477">
        <f>E85-F85</f>
        <v>5000000</v>
      </c>
      <c r="H85" s="546" t="s">
        <v>390</v>
      </c>
      <c r="M85" s="509"/>
      <c r="N85" s="509"/>
      <c r="O85" s="509"/>
      <c r="P85" s="509"/>
      <c r="Q85" s="509"/>
      <c r="R85" s="510">
        <v>2021</v>
      </c>
    </row>
    <row r="86" spans="2:18" x14ac:dyDescent="0.25">
      <c r="B86" s="483" t="s">
        <v>803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25">
      <c r="B87" s="469" t="s">
        <v>446</v>
      </c>
      <c r="E87" s="534">
        <v>9300000</v>
      </c>
      <c r="F87" s="535">
        <v>4500000</v>
      </c>
      <c r="G87" s="464">
        <f t="shared" si="7"/>
        <v>4800000</v>
      </c>
      <c r="H87" s="548" t="s">
        <v>390</v>
      </c>
      <c r="M87" s="509" t="s">
        <v>430</v>
      </c>
      <c r="N87" s="509" t="s">
        <v>388</v>
      </c>
      <c r="O87" s="509" t="s">
        <v>392</v>
      </c>
      <c r="P87" s="509" t="s">
        <v>392</v>
      </c>
      <c r="Q87" s="509" t="s">
        <v>392</v>
      </c>
      <c r="R87" s="510">
        <v>2020</v>
      </c>
    </row>
    <row r="88" spans="2:18" ht="14.25" thickBot="1" x14ac:dyDescent="0.3">
      <c r="B88" s="562" t="s">
        <v>447</v>
      </c>
      <c r="E88" s="563">
        <v>1000000</v>
      </c>
      <c r="F88" s="564">
        <v>0</v>
      </c>
      <c r="G88" s="565">
        <f t="shared" si="7"/>
        <v>1000000</v>
      </c>
      <c r="H88" s="566" t="s">
        <v>390</v>
      </c>
      <c r="M88" s="518" t="s">
        <v>433</v>
      </c>
      <c r="N88" s="518" t="s">
        <v>388</v>
      </c>
      <c r="O88" s="518" t="s">
        <v>388</v>
      </c>
      <c r="P88" s="518" t="s">
        <v>388</v>
      </c>
      <c r="Q88" s="518" t="s">
        <v>388</v>
      </c>
      <c r="R88" s="519">
        <v>2021</v>
      </c>
    </row>
    <row r="89" spans="2:18" x14ac:dyDescent="0.25">
      <c r="E89" s="507"/>
      <c r="F89" s="507"/>
      <c r="G89" s="507"/>
    </row>
    <row r="90" spans="2:18" x14ac:dyDescent="0.25">
      <c r="B90" s="448" t="s">
        <v>417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x14ac:dyDescent="0.25">
      <c r="B91" s="448"/>
      <c r="E91" s="507"/>
      <c r="F91" s="507"/>
      <c r="G91" s="507"/>
      <c r="H91" s="507"/>
    </row>
    <row r="92" spans="2:18" x14ac:dyDescent="0.25">
      <c r="C92" s="567" t="s">
        <v>448</v>
      </c>
      <c r="D92" s="567" t="s">
        <v>449</v>
      </c>
      <c r="E92" s="567"/>
    </row>
    <row r="93" spans="2:18" x14ac:dyDescent="0.25">
      <c r="B93" s="448" t="s">
        <v>450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x14ac:dyDescent="0.25">
      <c r="B94" s="448" t="s">
        <v>451</v>
      </c>
      <c r="C94" s="507">
        <f>F36+F50+F61+F75+F90</f>
        <v>498785000</v>
      </c>
      <c r="D94" s="507">
        <f>F36+F50+F61+F75+F90</f>
        <v>498785000</v>
      </c>
      <c r="E94" s="507"/>
    </row>
    <row r="95" spans="2:18" x14ac:dyDescent="0.25">
      <c r="B95" s="448" t="s">
        <v>452</v>
      </c>
      <c r="C95" s="507">
        <f>C93-C94</f>
        <v>373671238.42000008</v>
      </c>
      <c r="D95" s="507">
        <f>D93-D94</f>
        <v>208558000</v>
      </c>
      <c r="E95" s="507"/>
    </row>
    <row r="96" spans="2:18" x14ac:dyDescent="0.25">
      <c r="B96" s="568" t="s">
        <v>453</v>
      </c>
      <c r="C96" s="569">
        <f>H36</f>
        <v>116411238.42</v>
      </c>
      <c r="D96" s="569">
        <f>I36</f>
        <v>34543000</v>
      </c>
      <c r="E96" s="569"/>
    </row>
    <row r="97" spans="2:5" x14ac:dyDescent="0.25">
      <c r="B97" s="568" t="s">
        <v>454</v>
      </c>
      <c r="C97" s="569">
        <f>H50</f>
        <v>17500000</v>
      </c>
      <c r="D97" s="569">
        <f>I50</f>
        <v>12100000</v>
      </c>
      <c r="E97" s="569"/>
    </row>
    <row r="98" spans="2:5" x14ac:dyDescent="0.25">
      <c r="B98" s="568" t="s">
        <v>455</v>
      </c>
      <c r="C98" s="569">
        <f>H75</f>
        <v>54840000</v>
      </c>
      <c r="D98" s="569">
        <f>H75</f>
        <v>54840000</v>
      </c>
      <c r="E98" s="569"/>
    </row>
    <row r="99" spans="2:5" x14ac:dyDescent="0.25">
      <c r="B99" s="568" t="s">
        <v>456</v>
      </c>
      <c r="C99" s="569">
        <f>G90</f>
        <v>96800000</v>
      </c>
      <c r="D99" s="569">
        <f>G90</f>
        <v>96800000</v>
      </c>
      <c r="E99" s="569"/>
    </row>
    <row r="100" spans="2:5" x14ac:dyDescent="0.25">
      <c r="B100" s="568" t="s">
        <v>457</v>
      </c>
      <c r="C100" s="569">
        <f>G61</f>
        <v>25275000</v>
      </c>
      <c r="D100" s="569">
        <f>G61</f>
        <v>25275000</v>
      </c>
      <c r="E100" s="569"/>
    </row>
    <row r="102" spans="2:5" x14ac:dyDescent="0.25">
      <c r="B102" s="448" t="s">
        <v>458</v>
      </c>
      <c r="C102" s="507">
        <v>40000000</v>
      </c>
      <c r="D102" s="507">
        <f>C102</f>
        <v>40000000</v>
      </c>
      <c r="E102" s="507"/>
    </row>
    <row r="103" spans="2:5" x14ac:dyDescent="0.25">
      <c r="B103" s="448" t="s">
        <v>539</v>
      </c>
      <c r="C103" s="507">
        <v>20000000</v>
      </c>
      <c r="D103" s="507">
        <v>20000000</v>
      </c>
      <c r="E103" s="507"/>
    </row>
    <row r="104" spans="2:5" x14ac:dyDescent="0.25">
      <c r="B104" s="448" t="s">
        <v>540</v>
      </c>
      <c r="C104" s="507">
        <v>20000000</v>
      </c>
      <c r="D104" s="507">
        <v>20000000</v>
      </c>
      <c r="E104" s="507"/>
    </row>
    <row r="106" spans="2:5" x14ac:dyDescent="0.25">
      <c r="B106" s="448" t="s">
        <v>459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x14ac:dyDescent="0.25">
      <c r="B108" s="448" t="s">
        <v>460</v>
      </c>
    </row>
    <row r="109" spans="2:5" x14ac:dyDescent="0.25">
      <c r="B109" s="568" t="s">
        <v>461</v>
      </c>
      <c r="C109" s="507">
        <v>10000000</v>
      </c>
      <c r="D109" s="507">
        <v>10000000</v>
      </c>
      <c r="E109" s="507"/>
    </row>
    <row r="110" spans="2:5" x14ac:dyDescent="0.25">
      <c r="B110" s="568" t="s">
        <v>462</v>
      </c>
      <c r="C110" s="507">
        <f>35000000</f>
        <v>35000000</v>
      </c>
      <c r="D110" s="507">
        <f>35000000</f>
        <v>35000000</v>
      </c>
      <c r="E110" s="507"/>
    </row>
    <row r="111" spans="2:5" x14ac:dyDescent="0.25">
      <c r="B111" s="568" t="s">
        <v>463</v>
      </c>
      <c r="C111" s="571">
        <f>33000*1800*0.7</f>
        <v>41580000</v>
      </c>
      <c r="D111" s="571">
        <f>33000*1800*0.7</f>
        <v>41580000</v>
      </c>
      <c r="E111" s="571"/>
    </row>
    <row r="112" spans="2:5" x14ac:dyDescent="0.25">
      <c r="B112" s="568" t="s">
        <v>464</v>
      </c>
      <c r="C112" s="507">
        <f>15000*780</f>
        <v>11700000</v>
      </c>
      <c r="D112" s="507">
        <f>15000*780</f>
        <v>11700000</v>
      </c>
      <c r="E112" s="507"/>
    </row>
    <row r="113" spans="2:5" x14ac:dyDescent="0.25">
      <c r="B113" s="571"/>
      <c r="C113" s="507"/>
      <c r="D113" s="507"/>
      <c r="E113" s="507"/>
    </row>
    <row r="114" spans="2:5" x14ac:dyDescent="0.25">
      <c r="B114" s="448" t="s">
        <v>465</v>
      </c>
      <c r="C114" s="507">
        <f>SUM(C109:C110,C112)</f>
        <v>56700000</v>
      </c>
      <c r="D114" s="507">
        <f>SUM(D109:D110,D112)</f>
        <v>56700000</v>
      </c>
      <c r="E114" s="507"/>
    </row>
    <row r="115" spans="2:5" x14ac:dyDescent="0.25">
      <c r="B115" s="448" t="s">
        <v>466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25">
      <c r="C116" s="507"/>
      <c r="D116" s="507"/>
      <c r="E116" s="507"/>
    </row>
    <row r="117" spans="2:5" x14ac:dyDescent="0.25">
      <c r="B117" s="448" t="s">
        <v>467</v>
      </c>
      <c r="C117" s="507">
        <v>77000000</v>
      </c>
      <c r="D117" s="507">
        <v>77000000</v>
      </c>
      <c r="E117" s="507"/>
    </row>
    <row r="118" spans="2:5" x14ac:dyDescent="0.25">
      <c r="B118" s="448" t="s">
        <v>468</v>
      </c>
      <c r="C118" s="507">
        <v>145000000</v>
      </c>
      <c r="D118" s="507">
        <v>145000000</v>
      </c>
      <c r="E118" s="507"/>
    </row>
    <row r="120" spans="2:5" x14ac:dyDescent="0.25">
      <c r="B120" s="448" t="s">
        <v>469</v>
      </c>
      <c r="C120" s="507">
        <f>C118-C117</f>
        <v>68000000</v>
      </c>
      <c r="D120" s="507">
        <f>D118-D117</f>
        <v>68000000</v>
      </c>
      <c r="E120" s="507"/>
    </row>
    <row r="121" spans="2:5" x14ac:dyDescent="0.25">
      <c r="B121" s="275" t="s">
        <v>470</v>
      </c>
      <c r="C121" s="507">
        <f>4*10908000</f>
        <v>43632000</v>
      </c>
      <c r="D121" s="507">
        <f>4*10908000</f>
        <v>43632000</v>
      </c>
      <c r="E121" s="507"/>
    </row>
    <row r="122" spans="2:5" x14ac:dyDescent="0.25">
      <c r="C122" s="507"/>
      <c r="D122" s="507"/>
      <c r="E122" s="507"/>
    </row>
    <row r="123" spans="2:5" x14ac:dyDescent="0.25">
      <c r="B123" s="448" t="s">
        <v>471</v>
      </c>
      <c r="C123" s="570">
        <f>SUM(C120:C121)</f>
        <v>111632000</v>
      </c>
      <c r="D123" s="570">
        <f>SUM(D120:D121)</f>
        <v>111632000</v>
      </c>
      <c r="E123" s="570"/>
    </row>
    <row r="125" spans="2:5" x14ac:dyDescent="0.25">
      <c r="B125" s="448" t="s">
        <v>472</v>
      </c>
      <c r="C125" s="572">
        <f>C123-C106</f>
        <v>-182039238.42000008</v>
      </c>
      <c r="D125" s="572">
        <f>D123-D106</f>
        <v>-16926000</v>
      </c>
      <c r="E125" s="572"/>
    </row>
    <row r="127" spans="2:5" x14ac:dyDescent="0.25">
      <c r="B127" s="448" t="s">
        <v>541</v>
      </c>
    </row>
    <row r="129" spans="2:4" x14ac:dyDescent="0.25">
      <c r="B129" s="448" t="s">
        <v>542</v>
      </c>
      <c r="C129" s="448" t="s">
        <v>543</v>
      </c>
      <c r="D129" s="448" t="s">
        <v>419</v>
      </c>
    </row>
    <row r="130" spans="2:4" x14ac:dyDescent="0.25">
      <c r="B130" s="449"/>
      <c r="C130" s="569"/>
      <c r="D130" s="569"/>
    </row>
    <row r="131" spans="2:4" x14ac:dyDescent="0.25">
      <c r="B131" s="573" t="s">
        <v>532</v>
      </c>
      <c r="C131" s="574">
        <f>E46</f>
        <v>3000000</v>
      </c>
      <c r="D131" s="574">
        <f>I46</f>
        <v>1500000</v>
      </c>
    </row>
    <row r="132" spans="2:4" x14ac:dyDescent="0.2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x14ac:dyDescent="0.2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x14ac:dyDescent="0.2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x14ac:dyDescent="0.2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x14ac:dyDescent="0.2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x14ac:dyDescent="0.25">
      <c r="B137" s="573"/>
      <c r="C137" s="574"/>
      <c r="D137" s="574"/>
    </row>
    <row r="138" spans="2:4" x14ac:dyDescent="0.2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x14ac:dyDescent="0.25">
      <c r="B139" s="573" t="s">
        <v>425</v>
      </c>
      <c r="C139" s="574">
        <f>E47</f>
        <v>3000000</v>
      </c>
      <c r="D139" s="574">
        <f>I47</f>
        <v>900000</v>
      </c>
    </row>
    <row r="140" spans="2:4" x14ac:dyDescent="0.25">
      <c r="B140" s="573" t="s">
        <v>426</v>
      </c>
      <c r="C140" s="574">
        <f>E48</f>
        <v>1400000</v>
      </c>
      <c r="D140" s="574">
        <f>I48</f>
        <v>400000</v>
      </c>
    </row>
    <row r="141" spans="2:4" x14ac:dyDescent="0.25">
      <c r="B141" s="573"/>
      <c r="C141" s="574"/>
      <c r="D141" s="574"/>
    </row>
    <row r="142" spans="2:4" x14ac:dyDescent="0.25">
      <c r="B142" s="573" t="s">
        <v>544</v>
      </c>
      <c r="C142" s="574">
        <f>E85</f>
        <v>8500000</v>
      </c>
      <c r="D142" s="574">
        <f>G85</f>
        <v>5000000</v>
      </c>
    </row>
    <row r="143" spans="2:4" x14ac:dyDescent="0.2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x14ac:dyDescent="0.2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x14ac:dyDescent="0.25">
      <c r="B145" s="449"/>
      <c r="C145" s="569"/>
      <c r="D145" s="569"/>
    </row>
    <row r="146" spans="2:4" x14ac:dyDescent="0.25">
      <c r="B146" s="448" t="s">
        <v>545</v>
      </c>
      <c r="C146" s="569"/>
      <c r="D146" s="569"/>
    </row>
    <row r="147" spans="2:4" x14ac:dyDescent="0.25">
      <c r="B147" s="449"/>
      <c r="C147" s="569"/>
      <c r="D147" s="569"/>
    </row>
    <row r="148" spans="2:4" x14ac:dyDescent="0.25">
      <c r="B148" s="575" t="s">
        <v>534</v>
      </c>
      <c r="C148" s="576">
        <f>E71</f>
        <v>30000000</v>
      </c>
      <c r="D148" s="576">
        <f>I71</f>
        <v>15000000</v>
      </c>
    </row>
    <row r="149" spans="2:4" x14ac:dyDescent="0.25">
      <c r="B149" s="575" t="s">
        <v>432</v>
      </c>
      <c r="C149" s="576">
        <f>E56</f>
        <v>12000000</v>
      </c>
      <c r="D149" s="576">
        <f>G56</f>
        <v>6000000</v>
      </c>
    </row>
    <row r="150" spans="2:4" x14ac:dyDescent="0.25">
      <c r="B150" s="449"/>
      <c r="D150" s="569"/>
    </row>
    <row r="151" spans="2:4" x14ac:dyDescent="0.25">
      <c r="B151" s="448" t="s">
        <v>472</v>
      </c>
      <c r="D151" s="577">
        <f>D125+SUM(D131:D144,D148:D149)</f>
        <v>29284000</v>
      </c>
    </row>
    <row r="152" spans="2:4" x14ac:dyDescent="0.25">
      <c r="B152" s="449"/>
      <c r="D152" s="569"/>
    </row>
    <row r="153" spans="2:4" x14ac:dyDescent="0.25">
      <c r="B153" s="449"/>
      <c r="D153" s="569"/>
    </row>
    <row r="154" spans="2:4" x14ac:dyDescent="0.25">
      <c r="B154" s="449"/>
      <c r="D154" s="569"/>
    </row>
    <row r="155" spans="2:4" x14ac:dyDescent="0.2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666"/>
  <sheetViews>
    <sheetView topLeftCell="A166" workbookViewId="0">
      <selection activeCell="E170" sqref="E170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43.85546875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40" width="8.7109375" customWidth="1"/>
  </cols>
  <sheetData>
    <row r="2" spans="1:17" ht="18.75" x14ac:dyDescent="0.3">
      <c r="B2" s="10" t="s">
        <v>804</v>
      </c>
      <c r="C2" s="10"/>
    </row>
    <row r="4" spans="1:17" ht="15" x14ac:dyDescent="0.25">
      <c r="A4" s="1668" t="s">
        <v>805</v>
      </c>
      <c r="B4" s="1668" t="s">
        <v>806</v>
      </c>
      <c r="C4" s="1669" t="s">
        <v>494</v>
      </c>
      <c r="D4" s="1668" t="s">
        <v>807</v>
      </c>
      <c r="G4" s="1669" t="s">
        <v>494</v>
      </c>
      <c r="H4" s="1668" t="s">
        <v>807</v>
      </c>
      <c r="I4" s="1668" t="s">
        <v>1495</v>
      </c>
      <c r="K4" s="1669" t="s">
        <v>494</v>
      </c>
      <c r="L4" s="1668" t="s">
        <v>807</v>
      </c>
      <c r="M4" s="1668" t="s">
        <v>1495</v>
      </c>
      <c r="O4" s="1669" t="s">
        <v>494</v>
      </c>
      <c r="P4" s="1668" t="s">
        <v>807</v>
      </c>
      <c r="Q4" s="1668" t="s">
        <v>1495</v>
      </c>
    </row>
    <row r="5" spans="1:17" x14ac:dyDescent="0.2">
      <c r="C5" s="1670"/>
      <c r="G5" s="1671">
        <v>163848360</v>
      </c>
      <c r="H5" s="1671"/>
      <c r="I5" s="1671"/>
      <c r="K5" s="1671">
        <v>163848360</v>
      </c>
      <c r="L5" s="1671"/>
      <c r="M5" s="1671"/>
      <c r="O5" s="1671">
        <v>163848360</v>
      </c>
      <c r="P5" s="1671"/>
      <c r="Q5" s="1671"/>
    </row>
    <row r="6" spans="1:17" x14ac:dyDescent="0.2">
      <c r="A6" t="s">
        <v>1264</v>
      </c>
      <c r="B6" t="s">
        <v>808</v>
      </c>
      <c r="C6" s="1672" t="s">
        <v>1331</v>
      </c>
      <c r="D6" s="1672" t="s">
        <v>1332</v>
      </c>
      <c r="G6" s="31">
        <v>32727265</v>
      </c>
      <c r="H6" s="31">
        <v>59882</v>
      </c>
      <c r="I6" s="31">
        <f>+'[8]od roku 2018'!F128-[8]Dluh!F6</f>
        <v>909091</v>
      </c>
      <c r="J6" s="2175"/>
      <c r="M6" s="31"/>
      <c r="Q6" s="31"/>
    </row>
    <row r="7" spans="1:17" x14ac:dyDescent="0.2">
      <c r="A7" t="s">
        <v>1267</v>
      </c>
      <c r="B7" t="s">
        <v>1471</v>
      </c>
      <c r="C7" s="1672" t="s">
        <v>1333</v>
      </c>
      <c r="D7" s="1672" t="s">
        <v>1334</v>
      </c>
      <c r="G7" s="31">
        <v>82748803</v>
      </c>
      <c r="H7" s="31">
        <v>64460</v>
      </c>
      <c r="I7" s="31">
        <f>+'[8]od roku 2018'!F129-[8]Dluh!F7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1335</v>
      </c>
      <c r="B8" t="s">
        <v>1472</v>
      </c>
      <c r="C8" s="1672" t="s">
        <v>1007</v>
      </c>
      <c r="D8" s="1672" t="s">
        <v>815</v>
      </c>
      <c r="E8" t="s">
        <v>1263</v>
      </c>
      <c r="G8" s="31">
        <v>30000000</v>
      </c>
      <c r="H8" s="31">
        <v>0</v>
      </c>
      <c r="I8" s="31">
        <f>+'[8]od roku 2018'!F130-[8]Dluh!F8</f>
        <v>0</v>
      </c>
      <c r="M8" s="31"/>
      <c r="Q8" s="31"/>
    </row>
    <row r="9" spans="1:17" x14ac:dyDescent="0.2">
      <c r="A9" t="s">
        <v>1270</v>
      </c>
      <c r="B9" t="s">
        <v>1473</v>
      </c>
      <c r="C9" s="1672" t="s">
        <v>1336</v>
      </c>
      <c r="D9" s="1672" t="s">
        <v>1337</v>
      </c>
      <c r="E9" t="s">
        <v>1273</v>
      </c>
      <c r="G9" s="31">
        <v>14530000</v>
      </c>
      <c r="H9" s="31">
        <v>10044</v>
      </c>
      <c r="I9" s="31">
        <f>+'[8]od roku 2018'!F131-[8]Dluh!F9</f>
        <v>50000</v>
      </c>
      <c r="J9" s="2176">
        <f>+H9/G9</f>
        <v>6.9125946317962839E-4</v>
      </c>
      <c r="M9" s="31"/>
      <c r="Q9" s="31"/>
    </row>
    <row r="10" spans="1:17" x14ac:dyDescent="0.2">
      <c r="A10" t="s">
        <v>1274</v>
      </c>
      <c r="B10" t="s">
        <v>1474</v>
      </c>
      <c r="C10" s="1672" t="s">
        <v>1338</v>
      </c>
      <c r="D10" s="1672" t="s">
        <v>1327</v>
      </c>
      <c r="E10" t="s">
        <v>1277</v>
      </c>
      <c r="G10" s="31">
        <v>2402770</v>
      </c>
      <c r="H10" s="31">
        <v>1674</v>
      </c>
      <c r="I10" s="31">
        <f>+'[8]od roku 2018'!F132-[8]Dluh!F10</f>
        <v>13890</v>
      </c>
      <c r="J10" s="2176">
        <f>+H10/G10</f>
        <v>6.9669589681908796E-4</v>
      </c>
      <c r="M10" s="31"/>
      <c r="Q10" s="31"/>
    </row>
    <row r="11" spans="1:17" x14ac:dyDescent="0.2">
      <c r="A11" s="1673" t="s">
        <v>1339</v>
      </c>
      <c r="B11" s="1673"/>
      <c r="C11" s="1674" t="s">
        <v>1340</v>
      </c>
      <c r="D11" s="1674" t="s">
        <v>1341</v>
      </c>
      <c r="G11" s="1671">
        <f>SUM(G6:G10)</f>
        <v>162408838</v>
      </c>
      <c r="H11" s="1671">
        <f>SUM(H6:H10)</f>
        <v>136060</v>
      </c>
      <c r="I11" s="1671">
        <f>SUM(I6:I10)</f>
        <v>1399522</v>
      </c>
      <c r="K11" s="1671"/>
      <c r="L11" s="1671"/>
      <c r="M11" s="1671"/>
      <c r="O11" s="1671"/>
      <c r="P11" s="1671"/>
      <c r="Q11" s="1671"/>
    </row>
    <row r="12" spans="1:17" x14ac:dyDescent="0.2">
      <c r="A12" t="s">
        <v>1264</v>
      </c>
      <c r="B12" t="s">
        <v>808</v>
      </c>
      <c r="C12" s="1672" t="s">
        <v>1342</v>
      </c>
      <c r="D12" s="1672" t="s">
        <v>1343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1267</v>
      </c>
      <c r="B13" t="s">
        <v>1471</v>
      </c>
      <c r="C13" s="1672" t="s">
        <v>1344</v>
      </c>
      <c r="D13" s="1672" t="s">
        <v>1345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1335</v>
      </c>
      <c r="B14" t="s">
        <v>1472</v>
      </c>
      <c r="C14" s="1672" t="s">
        <v>1007</v>
      </c>
      <c r="D14" s="1672" t="s">
        <v>815</v>
      </c>
      <c r="E14" t="s">
        <v>1263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1270</v>
      </c>
      <c r="B15" t="s">
        <v>1473</v>
      </c>
      <c r="C15" s="1672" t="s">
        <v>1346</v>
      </c>
      <c r="D15" s="1672" t="s">
        <v>1347</v>
      </c>
      <c r="E15" t="s">
        <v>1273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1274</v>
      </c>
      <c r="B16" t="s">
        <v>1474</v>
      </c>
      <c r="C16" s="1672" t="s">
        <v>1348</v>
      </c>
      <c r="D16" s="1672" t="s">
        <v>1349</v>
      </c>
      <c r="E16" t="s">
        <v>1277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73" t="s">
        <v>1350</v>
      </c>
      <c r="B17" s="1673"/>
      <c r="C17" s="1674" t="s">
        <v>1351</v>
      </c>
      <c r="D17" s="1674" t="s">
        <v>1352</v>
      </c>
      <c r="G17" s="1671">
        <f>SUM(G12:G16)</f>
        <v>161009316</v>
      </c>
      <c r="H17" s="1671">
        <f>SUM(H12:H16)</f>
        <v>124844</v>
      </c>
      <c r="I17" s="1671">
        <f>SUM(I12:I16)</f>
        <v>1399522</v>
      </c>
      <c r="K17" s="1671"/>
      <c r="L17" s="1671"/>
      <c r="M17" s="1671"/>
      <c r="O17" s="1671"/>
      <c r="P17" s="1671"/>
      <c r="Q17" s="1671"/>
    </row>
    <row r="18" spans="1:17" x14ac:dyDescent="0.2">
      <c r="A18" t="s">
        <v>1264</v>
      </c>
      <c r="B18" t="s">
        <v>808</v>
      </c>
      <c r="C18" s="1672" t="s">
        <v>1353</v>
      </c>
      <c r="D18" s="1672" t="s">
        <v>1354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1267</v>
      </c>
      <c r="B19" t="s">
        <v>1471</v>
      </c>
      <c r="C19" s="1672" t="s">
        <v>1355</v>
      </c>
      <c r="D19" s="1672" t="s">
        <v>1356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1335</v>
      </c>
      <c r="B20" t="s">
        <v>1472</v>
      </c>
      <c r="C20" s="1672" t="s">
        <v>1007</v>
      </c>
      <c r="D20" s="1672" t="s">
        <v>1357</v>
      </c>
      <c r="E20" t="s">
        <v>1263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1270</v>
      </c>
      <c r="B21" t="s">
        <v>1473</v>
      </c>
      <c r="C21" s="1672" t="s">
        <v>1358</v>
      </c>
      <c r="D21" s="1672" t="s">
        <v>1359</v>
      </c>
      <c r="E21" t="s">
        <v>1273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1274</v>
      </c>
      <c r="B22" t="s">
        <v>1474</v>
      </c>
      <c r="C22" s="1672" t="s">
        <v>1360</v>
      </c>
      <c r="D22" s="1672" t="s">
        <v>1361</v>
      </c>
      <c r="E22" t="s">
        <v>1277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73" t="s">
        <v>1362</v>
      </c>
      <c r="B23" s="1673"/>
      <c r="C23" s="1674" t="s">
        <v>1363</v>
      </c>
      <c r="D23" s="1674" t="s">
        <v>1364</v>
      </c>
      <c r="G23" s="1671">
        <f>SUM(G18:G22)</f>
        <v>159609794</v>
      </c>
      <c r="H23" s="1671">
        <f>SUM(H18:H22)</f>
        <v>281397</v>
      </c>
      <c r="I23" s="1671">
        <f>SUM(I18:I22)</f>
        <v>1399522</v>
      </c>
      <c r="K23" s="1671"/>
      <c r="L23" s="1671"/>
      <c r="M23" s="1671"/>
      <c r="O23" s="1671"/>
      <c r="P23" s="1671"/>
      <c r="Q23" s="1671"/>
    </row>
    <row r="24" spans="1:17" x14ac:dyDescent="0.2">
      <c r="A24" t="s">
        <v>1264</v>
      </c>
      <c r="B24" t="s">
        <v>808</v>
      </c>
      <c r="C24" s="1672" t="s">
        <v>1365</v>
      </c>
      <c r="D24" s="1672" t="s">
        <v>1366</v>
      </c>
      <c r="E24" t="s">
        <v>1367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1267</v>
      </c>
      <c r="B25" t="s">
        <v>1471</v>
      </c>
      <c r="C25" s="1672" t="s">
        <v>1368</v>
      </c>
      <c r="D25" s="1672" t="s">
        <v>1369</v>
      </c>
      <c r="E25" t="s">
        <v>1370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1335</v>
      </c>
      <c r="B26" t="s">
        <v>1472</v>
      </c>
      <c r="C26" s="1672" t="s">
        <v>1007</v>
      </c>
      <c r="D26" s="1672" t="s">
        <v>815</v>
      </c>
      <c r="E26" t="s">
        <v>1263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1270</v>
      </c>
      <c r="B27" t="s">
        <v>1473</v>
      </c>
      <c r="C27" s="1672" t="s">
        <v>1371</v>
      </c>
      <c r="D27" s="1672" t="s">
        <v>1372</v>
      </c>
      <c r="E27" t="s">
        <v>1273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1274</v>
      </c>
      <c r="B28" t="s">
        <v>1474</v>
      </c>
      <c r="C28" s="1672" t="s">
        <v>1373</v>
      </c>
      <c r="D28" s="1672" t="s">
        <v>1374</v>
      </c>
      <c r="E28" t="s">
        <v>1277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73" t="s">
        <v>1375</v>
      </c>
      <c r="B29" s="1673"/>
      <c r="C29" s="1674" t="s">
        <v>1376</v>
      </c>
      <c r="D29" s="1674" t="s">
        <v>1377</v>
      </c>
      <c r="G29" s="1671">
        <f>SUM(G24:G28)</f>
        <v>158210272</v>
      </c>
      <c r="H29" s="1671">
        <f>SUM(H24:H28)</f>
        <v>101354</v>
      </c>
      <c r="I29" s="1671">
        <f>SUM(I24:I28)</f>
        <v>1399522</v>
      </c>
      <c r="K29" s="1671"/>
      <c r="L29" s="1671"/>
      <c r="M29" s="1671"/>
      <c r="O29" s="1671"/>
      <c r="P29" s="1671"/>
      <c r="Q29" s="1671"/>
    </row>
    <row r="30" spans="1:17" x14ac:dyDescent="0.2">
      <c r="A30" t="s">
        <v>1264</v>
      </c>
      <c r="B30" t="s">
        <v>808</v>
      </c>
      <c r="C30" s="1672" t="s">
        <v>1378</v>
      </c>
      <c r="D30" s="1672" t="s">
        <v>1379</v>
      </c>
      <c r="E30" t="s">
        <v>1367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1267</v>
      </c>
      <c r="B31" t="s">
        <v>1471</v>
      </c>
      <c r="C31" s="1672" t="s">
        <v>1380</v>
      </c>
      <c r="D31" s="1672" t="s">
        <v>1381</v>
      </c>
      <c r="E31" t="s">
        <v>1370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1335</v>
      </c>
      <c r="B32" t="s">
        <v>1472</v>
      </c>
      <c r="C32" s="1672" t="s">
        <v>1007</v>
      </c>
      <c r="D32" s="1672" t="s">
        <v>815</v>
      </c>
      <c r="E32" t="s">
        <v>1263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1270</v>
      </c>
      <c r="B33" t="s">
        <v>1473</v>
      </c>
      <c r="C33" s="1672" t="s">
        <v>1382</v>
      </c>
      <c r="D33" s="1672" t="s">
        <v>1383</v>
      </c>
      <c r="E33" t="s">
        <v>1273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1274</v>
      </c>
      <c r="B34" t="s">
        <v>1474</v>
      </c>
      <c r="C34" s="1672" t="s">
        <v>1384</v>
      </c>
      <c r="D34" s="1672" t="s">
        <v>1385</v>
      </c>
      <c r="E34" t="s">
        <v>1277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73" t="s">
        <v>1386</v>
      </c>
      <c r="B35" s="1673"/>
      <c r="C35" s="1674" t="s">
        <v>1387</v>
      </c>
      <c r="D35" s="1674" t="s">
        <v>1388</v>
      </c>
      <c r="G35" s="1671">
        <f>SUM(G30:G34)</f>
        <v>156810750</v>
      </c>
      <c r="H35" s="1671">
        <f>SUM(H30:H34)</f>
        <v>103488</v>
      </c>
      <c r="I35" s="1671">
        <f>SUM(I30:I34)</f>
        <v>1399522</v>
      </c>
      <c r="K35" s="1671"/>
      <c r="L35" s="1671"/>
      <c r="M35" s="1671"/>
      <c r="O35" s="1671"/>
      <c r="P35" s="1671"/>
      <c r="Q35" s="1671"/>
    </row>
    <row r="36" spans="1:17" x14ac:dyDescent="0.2">
      <c r="A36" t="s">
        <v>1264</v>
      </c>
      <c r="B36" t="s">
        <v>808</v>
      </c>
      <c r="C36" s="1672" t="s">
        <v>1389</v>
      </c>
      <c r="D36" s="1672" t="s">
        <v>1390</v>
      </c>
      <c r="E36" t="s">
        <v>1367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1267</v>
      </c>
      <c r="B37" t="s">
        <v>1471</v>
      </c>
      <c r="C37" s="1672" t="s">
        <v>1391</v>
      </c>
      <c r="D37" s="1672" t="s">
        <v>1392</v>
      </c>
      <c r="E37" t="s">
        <v>1370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1393</v>
      </c>
      <c r="B38" t="s">
        <v>1472</v>
      </c>
      <c r="C38" s="1672" t="s">
        <v>1394</v>
      </c>
      <c r="D38" s="1672" t="s">
        <v>1149</v>
      </c>
      <c r="E38" t="s">
        <v>1263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1270</v>
      </c>
      <c r="B39" t="s">
        <v>1473</v>
      </c>
      <c r="C39" s="1672" t="s">
        <v>1395</v>
      </c>
      <c r="D39" s="1672" t="s">
        <v>1396</v>
      </c>
      <c r="E39" t="s">
        <v>1273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1274</v>
      </c>
      <c r="B40" t="s">
        <v>1474</v>
      </c>
      <c r="C40" s="1672" t="s">
        <v>1397</v>
      </c>
      <c r="D40" s="1672" t="s">
        <v>1398</v>
      </c>
      <c r="E40" t="s">
        <v>1277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73" t="s">
        <v>1399</v>
      </c>
      <c r="B41" s="1673"/>
      <c r="C41" s="1674" t="s">
        <v>1400</v>
      </c>
      <c r="D41" s="1674" t="s">
        <v>1401</v>
      </c>
      <c r="G41" s="1671">
        <f>SUM(G36:G40)</f>
        <v>154845188</v>
      </c>
      <c r="H41" s="1671">
        <f>SUM(H36:H40)</f>
        <v>248545</v>
      </c>
      <c r="I41" s="1671">
        <f>SUM(I36:I40)</f>
        <v>1965562</v>
      </c>
      <c r="K41" s="1671"/>
      <c r="L41" s="1671"/>
      <c r="M41" s="1671"/>
      <c r="O41" s="1671"/>
      <c r="P41" s="1671"/>
      <c r="Q41" s="1671"/>
    </row>
    <row r="42" spans="1:17" x14ac:dyDescent="0.2">
      <c r="A42" t="s">
        <v>1264</v>
      </c>
      <c r="B42" t="s">
        <v>808</v>
      </c>
      <c r="C42" s="1672" t="s">
        <v>1402</v>
      </c>
      <c r="D42" s="1672" t="s">
        <v>1403</v>
      </c>
      <c r="E42" t="s">
        <v>1367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1267</v>
      </c>
      <c r="B43" t="s">
        <v>1471</v>
      </c>
      <c r="C43" s="1672" t="s">
        <v>1404</v>
      </c>
      <c r="D43" s="1672" t="s">
        <v>1405</v>
      </c>
      <c r="E43" t="s">
        <v>1370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1393</v>
      </c>
      <c r="B44" t="s">
        <v>1472</v>
      </c>
      <c r="C44" s="1672" t="s">
        <v>1394</v>
      </c>
      <c r="D44" s="1672" t="s">
        <v>815</v>
      </c>
      <c r="E44" t="s">
        <v>1263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1270</v>
      </c>
      <c r="B45" t="s">
        <v>1473</v>
      </c>
      <c r="C45" s="1672" t="s">
        <v>1406</v>
      </c>
      <c r="D45" s="1672" t="s">
        <v>1407</v>
      </c>
      <c r="E45" t="s">
        <v>1273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1274</v>
      </c>
      <c r="B46" t="s">
        <v>1474</v>
      </c>
      <c r="C46" s="1672" t="s">
        <v>1408</v>
      </c>
      <c r="D46" s="1672" t="s">
        <v>1409</v>
      </c>
      <c r="E46" t="s">
        <v>1277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73" t="s">
        <v>1410</v>
      </c>
      <c r="B47" s="1673"/>
      <c r="C47" s="1674" t="s">
        <v>1411</v>
      </c>
      <c r="D47" s="1674" t="s">
        <v>1412</v>
      </c>
      <c r="G47" s="1671">
        <f>SUM(G42:G46)</f>
        <v>153445666</v>
      </c>
      <c r="H47" s="1671">
        <f>SUM(H42:H46)</f>
        <v>110770</v>
      </c>
      <c r="I47" s="1671">
        <f>SUM(I42:I46)</f>
        <v>1399522</v>
      </c>
      <c r="K47" s="1671"/>
      <c r="L47" s="1671"/>
      <c r="M47" s="1671"/>
      <c r="O47" s="1671"/>
      <c r="P47" s="1671"/>
      <c r="Q47" s="1671"/>
    </row>
    <row r="48" spans="1:17" x14ac:dyDescent="0.2">
      <c r="A48" t="s">
        <v>1264</v>
      </c>
      <c r="B48" t="s">
        <v>808</v>
      </c>
      <c r="C48" s="1672" t="s">
        <v>1413</v>
      </c>
      <c r="D48" s="1672" t="s">
        <v>1414</v>
      </c>
      <c r="E48" t="s">
        <v>1367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1267</v>
      </c>
      <c r="B49" t="s">
        <v>1471</v>
      </c>
      <c r="C49" s="1672" t="s">
        <v>1415</v>
      </c>
      <c r="D49" s="1672" t="s">
        <v>1416</v>
      </c>
      <c r="E49" t="s">
        <v>1370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1393</v>
      </c>
      <c r="B50" t="s">
        <v>1472</v>
      </c>
      <c r="C50" s="1672" t="s">
        <v>1394</v>
      </c>
      <c r="D50" s="1672" t="s">
        <v>815</v>
      </c>
      <c r="E50" t="s">
        <v>1263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1270</v>
      </c>
      <c r="B51" t="s">
        <v>1473</v>
      </c>
      <c r="C51" s="1672" t="s">
        <v>1417</v>
      </c>
      <c r="D51" s="1672" t="s">
        <v>1418</v>
      </c>
      <c r="E51" t="s">
        <v>1273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1274</v>
      </c>
      <c r="B52" t="s">
        <v>1474</v>
      </c>
      <c r="C52" s="1672" t="s">
        <v>1419</v>
      </c>
      <c r="D52" s="1672" t="s">
        <v>1420</v>
      </c>
      <c r="E52" t="s">
        <v>1277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73" t="s">
        <v>1421</v>
      </c>
      <c r="B53" s="1673"/>
      <c r="C53" s="1674" t="s">
        <v>1422</v>
      </c>
      <c r="D53" s="1674" t="s">
        <v>1423</v>
      </c>
      <c r="G53" s="1671">
        <f>SUM(G48:G52)</f>
        <v>152046144</v>
      </c>
      <c r="H53" s="1671">
        <f>SUM(H48:H52)</f>
        <v>110533.93</v>
      </c>
      <c r="I53" s="1671">
        <f>SUM(I48:I52)</f>
        <v>1399522</v>
      </c>
      <c r="K53" s="1671"/>
      <c r="L53" s="1671"/>
      <c r="M53" s="1671"/>
      <c r="O53" s="1671"/>
      <c r="P53" s="1671"/>
      <c r="Q53" s="1671"/>
    </row>
    <row r="54" spans="1:17" x14ac:dyDescent="0.2">
      <c r="A54" t="s">
        <v>1264</v>
      </c>
      <c r="B54" t="s">
        <v>808</v>
      </c>
      <c r="C54" s="1672" t="s">
        <v>1424</v>
      </c>
      <c r="D54" s="1672" t="s">
        <v>1425</v>
      </c>
      <c r="E54" t="s">
        <v>1367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1267</v>
      </c>
      <c r="B55" t="s">
        <v>1471</v>
      </c>
      <c r="C55" s="1672" t="s">
        <v>1426</v>
      </c>
      <c r="D55" s="1672" t="s">
        <v>1427</v>
      </c>
      <c r="E55" t="s">
        <v>1370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1393</v>
      </c>
      <c r="B56" t="s">
        <v>1472</v>
      </c>
      <c r="C56" s="1672" t="s">
        <v>1428</v>
      </c>
      <c r="D56" s="1672" t="s">
        <v>1429</v>
      </c>
      <c r="E56" t="s">
        <v>1263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1270</v>
      </c>
      <c r="B57" t="s">
        <v>1473</v>
      </c>
      <c r="C57" s="1672" t="s">
        <v>1430</v>
      </c>
      <c r="D57" s="1672" t="s">
        <v>1431</v>
      </c>
      <c r="E57" t="s">
        <v>1273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1274</v>
      </c>
      <c r="B58" t="s">
        <v>1474</v>
      </c>
      <c r="C58" s="1672" t="s">
        <v>1432</v>
      </c>
      <c r="D58" s="1672" t="s">
        <v>1433</v>
      </c>
      <c r="E58" t="s">
        <v>1277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73" t="s">
        <v>1434</v>
      </c>
      <c r="B59" s="1673"/>
      <c r="C59" s="1674" t="s">
        <v>1435</v>
      </c>
      <c r="D59" s="1674" t="s">
        <v>1436</v>
      </c>
      <c r="G59" s="1671">
        <f>SUM(G54:G58)</f>
        <v>150080582</v>
      </c>
      <c r="H59" s="1671">
        <f>SUM(H54:H58)</f>
        <v>263450</v>
      </c>
      <c r="I59" s="1671">
        <f>SUM(I54:I58)</f>
        <v>1965562</v>
      </c>
      <c r="K59" s="1671"/>
      <c r="L59" s="1671"/>
      <c r="M59" s="1671"/>
      <c r="O59" s="1671"/>
      <c r="P59" s="1671"/>
      <c r="Q59" s="1671"/>
    </row>
    <row r="60" spans="1:17" x14ac:dyDescent="0.2">
      <c r="A60" t="s">
        <v>1264</v>
      </c>
      <c r="B60" t="s">
        <v>808</v>
      </c>
      <c r="C60" s="1672" t="s">
        <v>1437</v>
      </c>
      <c r="D60" s="1672" t="s">
        <v>1438</v>
      </c>
      <c r="E60" t="s">
        <v>1367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1267</v>
      </c>
      <c r="B61" t="s">
        <v>1471</v>
      </c>
      <c r="C61" s="1672" t="s">
        <v>1439</v>
      </c>
      <c r="D61" s="1672" t="s">
        <v>1440</v>
      </c>
      <c r="E61" t="s">
        <v>1370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1393</v>
      </c>
      <c r="B62" t="s">
        <v>1472</v>
      </c>
      <c r="C62" s="1672" t="s">
        <v>1428</v>
      </c>
      <c r="D62" s="1672" t="s">
        <v>815</v>
      </c>
      <c r="E62" t="s">
        <v>1263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1270</v>
      </c>
      <c r="B63" t="s">
        <v>1473</v>
      </c>
      <c r="C63" s="1672" t="s">
        <v>1441</v>
      </c>
      <c r="D63" s="1672" t="s">
        <v>1442</v>
      </c>
      <c r="E63" t="s">
        <v>1273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1274</v>
      </c>
      <c r="B64" t="s">
        <v>1474</v>
      </c>
      <c r="C64" s="1672" t="s">
        <v>1443</v>
      </c>
      <c r="D64" s="1672" t="s">
        <v>1444</v>
      </c>
      <c r="E64" t="s">
        <v>1277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73" t="s">
        <v>1445</v>
      </c>
      <c r="B65" s="1673"/>
      <c r="C65" s="1674" t="s">
        <v>1446</v>
      </c>
      <c r="D65" s="1674" t="s">
        <v>1447</v>
      </c>
      <c r="G65" s="1671">
        <f>SUM(G60:G64)</f>
        <v>148681060</v>
      </c>
      <c r="H65" s="1671">
        <f>SUM(H60:H64)</f>
        <v>120241</v>
      </c>
      <c r="I65" s="1671">
        <f>SUM(I60:I64)</f>
        <v>1399522</v>
      </c>
      <c r="K65" s="1671"/>
      <c r="L65" s="1671"/>
      <c r="M65" s="1671"/>
      <c r="O65" s="1671"/>
      <c r="P65" s="1671"/>
      <c r="Q65" s="1671"/>
    </row>
    <row r="66" spans="1:17" x14ac:dyDescent="0.2">
      <c r="A66" t="s">
        <v>1264</v>
      </c>
      <c r="B66" t="s">
        <v>808</v>
      </c>
      <c r="C66" s="1672" t="s">
        <v>1456</v>
      </c>
      <c r="D66" s="1672" t="s">
        <v>1457</v>
      </c>
      <c r="E66" t="s">
        <v>1367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1267</v>
      </c>
      <c r="B67" t="s">
        <v>1471</v>
      </c>
      <c r="C67" s="1672" t="s">
        <v>1458</v>
      </c>
      <c r="D67" s="1672" t="s">
        <v>1459</v>
      </c>
      <c r="E67" t="s">
        <v>1370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1393</v>
      </c>
      <c r="B68" t="s">
        <v>1472</v>
      </c>
      <c r="C68" s="1672" t="s">
        <v>1428</v>
      </c>
      <c r="D68" s="1672" t="s">
        <v>815</v>
      </c>
      <c r="E68" t="s">
        <v>1263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1270</v>
      </c>
      <c r="B69" t="s">
        <v>1473</v>
      </c>
      <c r="C69" s="1672" t="s">
        <v>1271</v>
      </c>
      <c r="D69" s="1672" t="s">
        <v>1460</v>
      </c>
      <c r="E69" t="s">
        <v>1273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1274</v>
      </c>
      <c r="B70" t="s">
        <v>1474</v>
      </c>
      <c r="C70" s="1672" t="s">
        <v>1461</v>
      </c>
      <c r="D70" s="1672" t="s">
        <v>1462</v>
      </c>
      <c r="E70" t="s">
        <v>1277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73" t="s">
        <v>1475</v>
      </c>
      <c r="B71" s="1673"/>
      <c r="C71" s="1674" t="s">
        <v>1463</v>
      </c>
      <c r="D71" s="1674" t="s">
        <v>1464</v>
      </c>
      <c r="G71" s="1671">
        <f>SUM(G66:G70)</f>
        <v>147281538</v>
      </c>
      <c r="H71" s="1671">
        <f>SUM(H66:H70)</f>
        <v>142954</v>
      </c>
      <c r="I71" s="1671">
        <f>SUM(I66:I70)</f>
        <v>1399522</v>
      </c>
      <c r="K71" s="1671"/>
      <c r="L71" s="1671"/>
      <c r="M71" s="1671"/>
      <c r="O71" s="1671"/>
      <c r="P71" s="1671"/>
      <c r="Q71" s="1671"/>
    </row>
    <row r="72" spans="1:17" x14ac:dyDescent="0.2">
      <c r="A72" t="s">
        <v>1264</v>
      </c>
      <c r="B72" t="s">
        <v>808</v>
      </c>
      <c r="C72" s="1672" t="s">
        <v>1476</v>
      </c>
      <c r="D72" s="1672" t="s">
        <v>1477</v>
      </c>
      <c r="E72" t="s">
        <v>1367</v>
      </c>
      <c r="G72" s="31">
        <v>22727264</v>
      </c>
      <c r="H72" s="31">
        <v>74697</v>
      </c>
      <c r="I72" s="31">
        <f t="shared" si="0"/>
        <v>909091</v>
      </c>
      <c r="J72" s="2176">
        <f>+H72/G72</f>
        <v>3.2866692620809965E-3</v>
      </c>
      <c r="M72" s="31"/>
      <c r="Q72" s="31"/>
    </row>
    <row r="73" spans="1:17" x14ac:dyDescent="0.2">
      <c r="A73" t="s">
        <v>1267</v>
      </c>
      <c r="B73" t="s">
        <v>1471</v>
      </c>
      <c r="C73" s="1672" t="s">
        <v>1478</v>
      </c>
      <c r="D73" s="1672" t="s">
        <v>1479</v>
      </c>
      <c r="E73" t="s">
        <v>1370</v>
      </c>
      <c r="G73" s="31">
        <v>78056852</v>
      </c>
      <c r="H73" s="31">
        <v>60824</v>
      </c>
      <c r="I73" s="31">
        <f t="shared" si="0"/>
        <v>426541</v>
      </c>
      <c r="J73" s="2176">
        <f>+H73/G73</f>
        <v>7.7922691527452321E-4</v>
      </c>
      <c r="M73" s="31"/>
      <c r="Q73" s="31"/>
    </row>
    <row r="74" spans="1:17" x14ac:dyDescent="0.2">
      <c r="A74" t="s">
        <v>1393</v>
      </c>
      <c r="B74" t="s">
        <v>1472</v>
      </c>
      <c r="C74" s="1672" t="s">
        <v>1480</v>
      </c>
      <c r="D74" s="1672" t="s">
        <v>1481</v>
      </c>
      <c r="E74" t="s">
        <v>1263</v>
      </c>
      <c r="G74" s="31">
        <v>28301880</v>
      </c>
      <c r="H74" s="31">
        <v>142294</v>
      </c>
      <c r="I74" s="31">
        <f t="shared" si="0"/>
        <v>566040</v>
      </c>
      <c r="J74" s="2176">
        <f>+H74/G74</f>
        <v>5.0277225399867429E-3</v>
      </c>
      <c r="M74" s="31"/>
      <c r="Q74" s="31"/>
    </row>
    <row r="75" spans="1:17" x14ac:dyDescent="0.2">
      <c r="A75" t="s">
        <v>1270</v>
      </c>
      <c r="B75" t="s">
        <v>1473</v>
      </c>
      <c r="C75" s="1672" t="s">
        <v>1482</v>
      </c>
      <c r="D75" s="1672" t="s">
        <v>1483</v>
      </c>
      <c r="E75" t="s">
        <v>1273</v>
      </c>
      <c r="G75" s="31">
        <v>13980000</v>
      </c>
      <c r="H75" s="31">
        <v>40714</v>
      </c>
      <c r="I75" s="31">
        <f t="shared" si="0"/>
        <v>50000</v>
      </c>
      <c r="J75" s="2176">
        <f t="shared" ref="J75:J76" si="1">+H75/G75</f>
        <v>2.9123032904148785E-3</v>
      </c>
      <c r="M75" s="31"/>
      <c r="Q75" s="31"/>
    </row>
    <row r="76" spans="1:17" x14ac:dyDescent="0.2">
      <c r="A76" t="s">
        <v>1274</v>
      </c>
      <c r="B76" t="s">
        <v>1474</v>
      </c>
      <c r="C76" s="1672" t="s">
        <v>1484</v>
      </c>
      <c r="D76" s="1672" t="s">
        <v>1485</v>
      </c>
      <c r="E76" t="s">
        <v>1277</v>
      </c>
      <c r="G76" s="31">
        <v>2249980</v>
      </c>
      <c r="H76" s="31">
        <v>6748</v>
      </c>
      <c r="I76" s="31">
        <f t="shared" ref="I76" si="2">+G70-G76</f>
        <v>13890</v>
      </c>
      <c r="J76" s="2176">
        <f t="shared" si="1"/>
        <v>2.9991377701135123E-3</v>
      </c>
      <c r="M76" s="31"/>
      <c r="Q76" s="31"/>
    </row>
    <row r="77" spans="1:17" x14ac:dyDescent="0.2">
      <c r="A77" s="1675" t="s">
        <v>1486</v>
      </c>
      <c r="B77" s="1675"/>
      <c r="C77" s="1676" t="s">
        <v>1487</v>
      </c>
      <c r="D77" s="1676" t="s">
        <v>1488</v>
      </c>
      <c r="G77" s="1671">
        <f>SUM(G72:G76)</f>
        <v>145315976</v>
      </c>
      <c r="H77" s="1671">
        <f>SUM(H72:H76)</f>
        <v>325277</v>
      </c>
      <c r="I77" s="1671">
        <f>SUM(I72:I76)</f>
        <v>1965562</v>
      </c>
      <c r="K77" s="1671">
        <f>SUM(K72:K76)</f>
        <v>0</v>
      </c>
      <c r="L77" s="1671">
        <f>SUM(L72:L76)</f>
        <v>0</v>
      </c>
      <c r="M77" s="1671">
        <f>SUM(M72:M76)</f>
        <v>0</v>
      </c>
      <c r="O77" s="1671">
        <f>SUM(O72:O76)</f>
        <v>0</v>
      </c>
      <c r="P77" s="1671">
        <f>SUM(P72:P76)</f>
        <v>0</v>
      </c>
      <c r="Q77" s="1671">
        <f>SUM(Q72:Q76)</f>
        <v>0</v>
      </c>
    </row>
    <row r="78" spans="1:17" x14ac:dyDescent="0.2">
      <c r="A78" t="s">
        <v>1264</v>
      </c>
      <c r="B78" t="s">
        <v>808</v>
      </c>
      <c r="C78" s="1672" t="s">
        <v>1497</v>
      </c>
      <c r="D78" s="1672" t="s">
        <v>1498</v>
      </c>
      <c r="E78" t="s">
        <v>1367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1267</v>
      </c>
      <c r="B79" t="s">
        <v>1471</v>
      </c>
      <c r="C79" s="1672" t="s">
        <v>1499</v>
      </c>
      <c r="D79" s="1672" t="s">
        <v>1500</v>
      </c>
      <c r="E79" t="s">
        <v>1370</v>
      </c>
      <c r="G79" s="31">
        <v>77630311</v>
      </c>
      <c r="H79" s="31">
        <v>60494</v>
      </c>
      <c r="I79" s="31">
        <f>+G73-G79</f>
        <v>426541</v>
      </c>
      <c r="J79" s="2177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1393</v>
      </c>
      <c r="B80" t="s">
        <v>1472</v>
      </c>
      <c r="C80" s="1672" t="s">
        <v>1480</v>
      </c>
      <c r="D80" s="1672" t="s">
        <v>815</v>
      </c>
      <c r="E80" t="s">
        <v>1263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17" x14ac:dyDescent="0.2">
      <c r="A81" t="s">
        <v>1270</v>
      </c>
      <c r="B81" t="s">
        <v>1473</v>
      </c>
      <c r="C81" s="1672" t="s">
        <v>1501</v>
      </c>
      <c r="D81" s="1672" t="s">
        <v>1502</v>
      </c>
      <c r="E81" t="s">
        <v>1273</v>
      </c>
      <c r="G81" s="31">
        <v>13920000</v>
      </c>
      <c r="H81" s="31">
        <v>7676</v>
      </c>
      <c r="I81" s="31">
        <f>+G75-G81</f>
        <v>60000</v>
      </c>
      <c r="J81" s="2177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17" x14ac:dyDescent="0.2">
      <c r="A82" t="s">
        <v>1274</v>
      </c>
      <c r="B82" t="s">
        <v>1474</v>
      </c>
      <c r="C82" s="1672" t="s">
        <v>1503</v>
      </c>
      <c r="D82" s="1672" t="s">
        <v>1504</v>
      </c>
      <c r="E82" t="s">
        <v>1277</v>
      </c>
      <c r="G82" s="31">
        <v>2236090</v>
      </c>
      <c r="H82" s="31">
        <v>52487</v>
      </c>
      <c r="I82" s="31">
        <f>+G76-G82</f>
        <v>13890</v>
      </c>
      <c r="J82" s="2177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17" x14ac:dyDescent="0.2">
      <c r="A83" s="1673" t="s">
        <v>1505</v>
      </c>
      <c r="B83" s="1673"/>
      <c r="C83" s="1674" t="s">
        <v>1506</v>
      </c>
      <c r="D83" s="1674" t="s">
        <v>1507</v>
      </c>
      <c r="G83" s="1671">
        <f>SUM(G78:G82)</f>
        <v>143906454</v>
      </c>
      <c r="H83" s="1671">
        <f t="shared" ref="H83:I83" si="8">SUM(H78:H82)</f>
        <v>211856</v>
      </c>
      <c r="I83" s="1671">
        <f t="shared" si="8"/>
        <v>1409522</v>
      </c>
      <c r="J83" s="2177">
        <f t="shared" ref="J83:J100" si="9">+H83/G83</f>
        <v>1.472178586236306E-3</v>
      </c>
      <c r="K83" s="1671">
        <f>SUM(K78:K82)</f>
        <v>124161990</v>
      </c>
      <c r="L83" s="1671">
        <f>SUM(L78:L82)</f>
        <v>226562.20395669999</v>
      </c>
      <c r="M83" s="1671">
        <f>SUM(M78:M82)</f>
        <v>1975562</v>
      </c>
      <c r="O83" s="1671">
        <f>SUM(O78:O82)</f>
        <v>102430808</v>
      </c>
      <c r="P83" s="1671">
        <f t="shared" ref="P83:Q83" si="10">SUM(P78:P82)</f>
        <v>53815.696960000001</v>
      </c>
      <c r="Q83" s="1671">
        <f t="shared" si="10"/>
        <v>1975562</v>
      </c>
    </row>
    <row r="84" spans="1:17" x14ac:dyDescent="0.2">
      <c r="A84" t="s">
        <v>1264</v>
      </c>
      <c r="B84" t="s">
        <v>808</v>
      </c>
      <c r="C84" s="1672" t="s">
        <v>1508</v>
      </c>
      <c r="D84" s="1672" t="s">
        <v>1509</v>
      </c>
      <c r="E84" t="s">
        <v>1367</v>
      </c>
      <c r="G84" s="31">
        <v>20909082</v>
      </c>
      <c r="H84" s="31">
        <v>82133</v>
      </c>
      <c r="I84" s="31">
        <f>+G78-G84</f>
        <v>909091</v>
      </c>
      <c r="J84" s="2177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17" x14ac:dyDescent="0.2">
      <c r="A85" t="s">
        <v>1267</v>
      </c>
      <c r="B85" t="s">
        <v>1471</v>
      </c>
      <c r="C85" s="1672" t="s">
        <v>1510</v>
      </c>
      <c r="D85" s="1672" t="s">
        <v>1511</v>
      </c>
      <c r="E85" t="s">
        <v>1370</v>
      </c>
      <c r="G85" s="31">
        <v>77203770</v>
      </c>
      <c r="H85" s="31">
        <v>54341</v>
      </c>
      <c r="I85" s="31">
        <f>+G79-G85</f>
        <v>426541</v>
      </c>
      <c r="J85" s="2177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17" x14ac:dyDescent="0.2">
      <c r="A86" t="s">
        <v>1393</v>
      </c>
      <c r="B86" t="s">
        <v>1472</v>
      </c>
      <c r="C86" s="1672" t="s">
        <v>1480</v>
      </c>
      <c r="D86" s="1672" t="s">
        <v>815</v>
      </c>
      <c r="E86" t="s">
        <v>1263</v>
      </c>
      <c r="G86" s="31">
        <v>28301880</v>
      </c>
      <c r="H86" s="31">
        <v>0</v>
      </c>
      <c r="I86" s="31">
        <f>+G80-G86</f>
        <v>0</v>
      </c>
      <c r="J86" s="2177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17" x14ac:dyDescent="0.2">
      <c r="A87" t="s">
        <v>1270</v>
      </c>
      <c r="B87" t="s">
        <v>1473</v>
      </c>
      <c r="C87" s="1672" t="s">
        <v>1512</v>
      </c>
      <c r="D87" s="1672" t="s">
        <v>1513</v>
      </c>
      <c r="E87" t="s">
        <v>1273</v>
      </c>
      <c r="G87" s="31">
        <v>13860000</v>
      </c>
      <c r="H87" s="31">
        <v>49153</v>
      </c>
      <c r="I87" s="31">
        <f>+G81-G87</f>
        <v>60000</v>
      </c>
      <c r="J87" s="2177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17" x14ac:dyDescent="0.2">
      <c r="A88" t="s">
        <v>1274</v>
      </c>
      <c r="B88" t="s">
        <v>1474</v>
      </c>
      <c r="C88" s="1672" t="s">
        <v>1514</v>
      </c>
      <c r="D88" s="1672" t="s">
        <v>1515</v>
      </c>
      <c r="E88" t="s">
        <v>1277</v>
      </c>
      <c r="G88" s="31">
        <v>2222200</v>
      </c>
      <c r="H88" s="31">
        <v>8146</v>
      </c>
      <c r="I88" s="31">
        <f>+G82-G88</f>
        <v>13890</v>
      </c>
      <c r="J88" s="2177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17" x14ac:dyDescent="0.2">
      <c r="A89" s="1673" t="s">
        <v>1516</v>
      </c>
      <c r="B89" s="1673"/>
      <c r="C89" s="1674" t="s">
        <v>1517</v>
      </c>
      <c r="D89" s="1674" t="s">
        <v>1518</v>
      </c>
      <c r="G89" s="1671">
        <f>SUM(G84:G88)</f>
        <v>142496932</v>
      </c>
      <c r="H89" s="1671">
        <f t="shared" ref="H89:I89" si="14">SUM(H84:H88)</f>
        <v>193773</v>
      </c>
      <c r="I89" s="1671">
        <f t="shared" si="14"/>
        <v>1409522</v>
      </c>
      <c r="J89" s="2177">
        <f t="shared" si="9"/>
        <v>1.3598398034281888E-3</v>
      </c>
      <c r="K89" s="1671">
        <f>SUM(K84:K88)</f>
        <v>122186428</v>
      </c>
      <c r="L89" s="1671">
        <f>SUM(L84:L88)</f>
        <v>218890.4450454</v>
      </c>
      <c r="M89" s="1671">
        <f>SUM(M84:M88)</f>
        <v>1975562</v>
      </c>
      <c r="O89" s="1671">
        <f>SUM(O84:O88)</f>
        <v>100455257</v>
      </c>
      <c r="P89" s="1671">
        <f t="shared" ref="P89:Q89" si="15">SUM(P84:P88)</f>
        <v>61236.204657000002</v>
      </c>
      <c r="Q89" s="1671">
        <f t="shared" si="15"/>
        <v>1066471</v>
      </c>
    </row>
    <row r="90" spans="1:17" x14ac:dyDescent="0.2">
      <c r="A90" t="s">
        <v>1264</v>
      </c>
      <c r="B90" t="s">
        <v>808</v>
      </c>
      <c r="C90" s="1672" t="s">
        <v>1532</v>
      </c>
      <c r="D90" s="1672" t="s">
        <v>1533</v>
      </c>
      <c r="E90" t="s">
        <v>1367</v>
      </c>
      <c r="G90" s="31">
        <v>19999991</v>
      </c>
      <c r="H90" s="31">
        <v>97227</v>
      </c>
      <c r="I90" s="31">
        <f>+G84-G90</f>
        <v>909091</v>
      </c>
      <c r="J90" s="2176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</row>
    <row r="91" spans="1:17" x14ac:dyDescent="0.2">
      <c r="A91" t="s">
        <v>1267</v>
      </c>
      <c r="B91" t="s">
        <v>1471</v>
      </c>
      <c r="C91" s="1672" t="s">
        <v>1534</v>
      </c>
      <c r="D91" s="1672" t="s">
        <v>1535</v>
      </c>
      <c r="E91" t="s">
        <v>1370</v>
      </c>
      <c r="G91" s="31">
        <v>76777229</v>
      </c>
      <c r="H91" s="31">
        <v>59832</v>
      </c>
      <c r="I91" s="31">
        <f t="shared" ref="I91:I94" si="16">+G85-G91</f>
        <v>426541</v>
      </c>
      <c r="J91" s="2176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</row>
    <row r="92" spans="1:17" x14ac:dyDescent="0.2">
      <c r="A92" t="s">
        <v>1393</v>
      </c>
      <c r="B92" t="s">
        <v>1472</v>
      </c>
      <c r="C92" s="1672" t="s">
        <v>1536</v>
      </c>
      <c r="D92" s="1672" t="s">
        <v>1537</v>
      </c>
      <c r="E92" t="s">
        <v>1263</v>
      </c>
      <c r="G92" s="31">
        <v>27735840</v>
      </c>
      <c r="H92" s="31">
        <v>134905</v>
      </c>
      <c r="I92" s="31">
        <f t="shared" si="16"/>
        <v>566040</v>
      </c>
      <c r="J92" s="2176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0">+O86-Q86</f>
        <v>18113160</v>
      </c>
      <c r="P92" s="31">
        <f>+O92*0.002092</f>
        <v>37892.73072</v>
      </c>
      <c r="Q92" s="31">
        <f t="shared" si="19"/>
        <v>566040</v>
      </c>
    </row>
    <row r="93" spans="1:17" x14ac:dyDescent="0.2">
      <c r="A93" t="s">
        <v>1270</v>
      </c>
      <c r="B93" t="s">
        <v>1473</v>
      </c>
      <c r="C93" s="1672" t="s">
        <v>1538</v>
      </c>
      <c r="D93" s="1672" t="s">
        <v>1539</v>
      </c>
      <c r="E93" t="s">
        <v>1273</v>
      </c>
      <c r="G93" s="31">
        <v>13800000</v>
      </c>
      <c r="H93" s="31">
        <v>60868</v>
      </c>
      <c r="I93" s="31">
        <f t="shared" si="16"/>
        <v>60000</v>
      </c>
      <c r="J93" s="2176">
        <f t="shared" ref="J93:J94" si="21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0"/>
        <v>12420000</v>
      </c>
      <c r="P93" s="31">
        <f>+O93*0.000691</f>
        <v>8582.2199999999993</v>
      </c>
      <c r="Q93" s="31">
        <f t="shared" si="19"/>
        <v>60000</v>
      </c>
    </row>
    <row r="94" spans="1:17" x14ac:dyDescent="0.2">
      <c r="A94" t="s">
        <v>1274</v>
      </c>
      <c r="B94" t="s">
        <v>1474</v>
      </c>
      <c r="C94" s="1672" t="s">
        <v>1540</v>
      </c>
      <c r="D94" s="1672" t="s">
        <v>1541</v>
      </c>
      <c r="E94" t="s">
        <v>1277</v>
      </c>
      <c r="G94" s="31">
        <v>2208310</v>
      </c>
      <c r="H94" s="31">
        <v>9795</v>
      </c>
      <c r="I94" s="31">
        <f t="shared" si="16"/>
        <v>13890</v>
      </c>
      <c r="J94" s="2176">
        <f t="shared" si="21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0"/>
        <v>1888840</v>
      </c>
      <c r="P94" s="31">
        <f>+O94*0.000697</f>
        <v>1316.5214800000001</v>
      </c>
      <c r="Q94" s="31">
        <f t="shared" si="19"/>
        <v>13890</v>
      </c>
    </row>
    <row r="95" spans="1:17" x14ac:dyDescent="0.2">
      <c r="A95" s="1673" t="s">
        <v>1522</v>
      </c>
      <c r="B95" s="1673"/>
      <c r="C95" s="1674" t="s">
        <v>1542</v>
      </c>
      <c r="D95" s="1674" t="s">
        <v>1543</v>
      </c>
      <c r="G95" s="1671">
        <f t="shared" ref="G95:I107" si="22">SUM(G90:G94)</f>
        <v>140521370</v>
      </c>
      <c r="H95" s="1671">
        <f t="shared" si="22"/>
        <v>362627</v>
      </c>
      <c r="I95" s="1671">
        <f t="shared" si="22"/>
        <v>1975562</v>
      </c>
      <c r="J95" s="2177">
        <f t="shared" si="9"/>
        <v>2.580582583275412E-3</v>
      </c>
      <c r="K95" s="1671">
        <f>SUM(K90:K94)</f>
        <v>120210866</v>
      </c>
      <c r="L95" s="1671">
        <f>SUM(L90:L94)</f>
        <v>349954.40613409999</v>
      </c>
      <c r="M95" s="1671">
        <f>SUM(M90:M94)</f>
        <v>1975562</v>
      </c>
      <c r="O95" s="1671">
        <f t="shared" ref="O95:Q95" si="23">SUM(O90:O94)</f>
        <v>99388786</v>
      </c>
      <c r="P95" s="1671">
        <f t="shared" si="23"/>
        <v>98753.196345999997</v>
      </c>
      <c r="Q95" s="1671">
        <f t="shared" si="23"/>
        <v>1066471</v>
      </c>
    </row>
    <row r="96" spans="1:17" x14ac:dyDescent="0.2">
      <c r="A96" t="s">
        <v>1264</v>
      </c>
      <c r="B96" t="s">
        <v>808</v>
      </c>
      <c r="C96" s="1672" t="s">
        <v>1555</v>
      </c>
      <c r="D96" s="1672" t="s">
        <v>1556</v>
      </c>
      <c r="E96" t="s">
        <v>1367</v>
      </c>
      <c r="G96" s="31">
        <v>19090900</v>
      </c>
      <c r="H96" s="31">
        <v>93666</v>
      </c>
      <c r="I96" s="31">
        <f t="shared" ref="I96:I100" si="24">+G90-G96</f>
        <v>909091</v>
      </c>
      <c r="J96" s="2177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1267</v>
      </c>
      <c r="B97" t="s">
        <v>1471</v>
      </c>
      <c r="C97" s="1672" t="s">
        <v>1557</v>
      </c>
      <c r="D97" s="1672" t="s">
        <v>1558</v>
      </c>
      <c r="E97" t="s">
        <v>1370</v>
      </c>
      <c r="G97" s="31">
        <v>76350688</v>
      </c>
      <c r="H97" s="31">
        <v>57582</v>
      </c>
      <c r="I97" s="31">
        <f t="shared" si="24"/>
        <v>426541</v>
      </c>
      <c r="J97" s="2177">
        <f t="shared" si="9"/>
        <v>7.5417787983783461E-4</v>
      </c>
      <c r="K97" s="31">
        <f t="shared" ref="K97:K100" si="25">+K91-M91</f>
        <v>71232196</v>
      </c>
      <c r="L97" s="31">
        <f>+K97*0.0007793</f>
        <v>55511.250342799998</v>
      </c>
      <c r="M97" s="31">
        <f t="shared" ref="M97:M100" si="26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27">+O91-O97</f>
        <v>426541</v>
      </c>
    </row>
    <row r="98" spans="1:17" x14ac:dyDescent="0.2">
      <c r="A98" t="s">
        <v>1393</v>
      </c>
      <c r="B98" t="s">
        <v>1472</v>
      </c>
      <c r="C98" s="1672" t="s">
        <v>1536</v>
      </c>
      <c r="D98" s="1672" t="s">
        <v>815</v>
      </c>
      <c r="E98" t="s">
        <v>1263</v>
      </c>
      <c r="G98" s="31">
        <v>27735840</v>
      </c>
      <c r="H98" s="31">
        <v>0</v>
      </c>
      <c r="I98" s="31">
        <f t="shared" si="24"/>
        <v>0</v>
      </c>
      <c r="J98" s="2177">
        <f t="shared" si="9"/>
        <v>0</v>
      </c>
      <c r="K98" s="31">
        <f t="shared" si="25"/>
        <v>23773560</v>
      </c>
      <c r="L98" s="31">
        <v>0</v>
      </c>
      <c r="M98" s="31">
        <f t="shared" si="26"/>
        <v>566040</v>
      </c>
      <c r="O98" s="31">
        <f t="shared" ref="O98:O100" si="28">+O92-Q92</f>
        <v>17547120</v>
      </c>
      <c r="P98" s="31">
        <v>0</v>
      </c>
      <c r="Q98" s="31">
        <f t="shared" si="27"/>
        <v>566040</v>
      </c>
    </row>
    <row r="99" spans="1:17" x14ac:dyDescent="0.2">
      <c r="A99" t="s">
        <v>1270</v>
      </c>
      <c r="B99" t="s">
        <v>1473</v>
      </c>
      <c r="C99" s="1672" t="s">
        <v>1559</v>
      </c>
      <c r="D99" s="1672" t="s">
        <v>1560</v>
      </c>
      <c r="E99" t="s">
        <v>1273</v>
      </c>
      <c r="G99" s="31">
        <v>13740000</v>
      </c>
      <c r="H99" s="31">
        <v>61180</v>
      </c>
      <c r="I99" s="31">
        <f t="shared" si="24"/>
        <v>60000</v>
      </c>
      <c r="J99" s="2177">
        <f t="shared" si="9"/>
        <v>4.4526928675400288E-3</v>
      </c>
      <c r="K99" s="31">
        <f t="shared" si="25"/>
        <v>13020000</v>
      </c>
      <c r="L99" s="31">
        <f>+K99*0.0057</f>
        <v>74214</v>
      </c>
      <c r="M99" s="31">
        <f t="shared" si="26"/>
        <v>60000</v>
      </c>
      <c r="O99" s="31">
        <f t="shared" si="28"/>
        <v>12360000</v>
      </c>
      <c r="P99" s="31">
        <f>+O99*0.000691</f>
        <v>8540.76</v>
      </c>
      <c r="Q99" s="31">
        <f t="shared" si="27"/>
        <v>60000</v>
      </c>
    </row>
    <row r="100" spans="1:17" x14ac:dyDescent="0.2">
      <c r="A100" t="s">
        <v>1274</v>
      </c>
      <c r="B100" t="s">
        <v>1474</v>
      </c>
      <c r="C100" s="1672" t="s">
        <v>1561</v>
      </c>
      <c r="D100" s="1672" t="s">
        <v>1562</v>
      </c>
      <c r="E100" t="s">
        <v>1277</v>
      </c>
      <c r="G100" s="31">
        <v>2194420</v>
      </c>
      <c r="H100" s="31">
        <v>9889</v>
      </c>
      <c r="I100" s="31">
        <f t="shared" si="24"/>
        <v>13890</v>
      </c>
      <c r="J100" s="2177">
        <f t="shared" si="9"/>
        <v>4.5064299450424256E-3</v>
      </c>
      <c r="K100" s="31">
        <f t="shared" si="25"/>
        <v>2027740</v>
      </c>
      <c r="L100" s="31">
        <f>+K100*0.0057</f>
        <v>11558.118</v>
      </c>
      <c r="M100" s="31">
        <f t="shared" si="26"/>
        <v>13890</v>
      </c>
      <c r="O100" s="31">
        <f t="shared" si="28"/>
        <v>1874950</v>
      </c>
      <c r="P100" s="31">
        <f>+O100*0.000697</f>
        <v>1306.84015</v>
      </c>
      <c r="Q100" s="31">
        <f t="shared" si="27"/>
        <v>13890</v>
      </c>
    </row>
    <row r="101" spans="1:17" x14ac:dyDescent="0.2">
      <c r="A101" s="1673" t="s">
        <v>1523</v>
      </c>
      <c r="B101" s="1673"/>
      <c r="C101" s="1674" t="s">
        <v>1563</v>
      </c>
      <c r="D101" s="1674" t="s">
        <v>1564</v>
      </c>
      <c r="G101" s="1671">
        <f t="shared" ref="G101" si="29">SUM(G96:G100)</f>
        <v>139111848</v>
      </c>
      <c r="H101" s="1671">
        <f t="shared" si="22"/>
        <v>222317</v>
      </c>
      <c r="I101" s="1671">
        <f t="shared" si="22"/>
        <v>1409522</v>
      </c>
      <c r="K101" s="1671">
        <f>SUM(K96:K100)</f>
        <v>118235304</v>
      </c>
      <c r="L101" s="1671">
        <f>SUM(L96:L100)</f>
        <v>203546.92722279998</v>
      </c>
      <c r="M101" s="1671">
        <f>SUM(M96:M100)</f>
        <v>1975562</v>
      </c>
      <c r="O101" s="1671">
        <f t="shared" ref="O101:Q101" si="30">SUM(O96:O100)</f>
        <v>98322315</v>
      </c>
      <c r="P101" s="1671">
        <f t="shared" si="30"/>
        <v>60484.726595</v>
      </c>
      <c r="Q101" s="1671">
        <f t="shared" si="30"/>
        <v>1066471</v>
      </c>
    </row>
    <row r="102" spans="1:17" x14ac:dyDescent="0.2">
      <c r="A102" t="s">
        <v>1264</v>
      </c>
      <c r="B102" t="s">
        <v>808</v>
      </c>
      <c r="C102" s="1672" t="s">
        <v>1565</v>
      </c>
      <c r="D102" s="1672" t="s">
        <v>1566</v>
      </c>
      <c r="E102" t="s">
        <v>1367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1267</v>
      </c>
      <c r="B103" t="s">
        <v>1471</v>
      </c>
      <c r="C103" s="1672" t="s">
        <v>1567</v>
      </c>
      <c r="D103" s="1672" t="s">
        <v>1568</v>
      </c>
      <c r="E103" t="s">
        <v>1370</v>
      </c>
      <c r="G103" s="31">
        <v>75924147</v>
      </c>
      <c r="H103" s="31">
        <v>59171</v>
      </c>
      <c r="I103" s="31">
        <f t="shared" ref="I103:I106" si="31">+G97-G103</f>
        <v>426541</v>
      </c>
      <c r="K103" s="31">
        <f t="shared" ref="K103:K106" si="32">+K97-M97</f>
        <v>70805655</v>
      </c>
      <c r="L103" s="31">
        <f>+K103*0.0007793</f>
        <v>55178.8469415</v>
      </c>
      <c r="M103" s="31">
        <f t="shared" ref="M103:M106" si="33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4">+O97-O103</f>
        <v>426541</v>
      </c>
    </row>
    <row r="104" spans="1:17" x14ac:dyDescent="0.2">
      <c r="A104" t="s">
        <v>1393</v>
      </c>
      <c r="B104" t="s">
        <v>1472</v>
      </c>
      <c r="C104" s="1672" t="s">
        <v>1536</v>
      </c>
      <c r="D104" s="1672" t="s">
        <v>815</v>
      </c>
      <c r="E104" t="s">
        <v>1263</v>
      </c>
      <c r="G104" s="31">
        <v>27735840</v>
      </c>
      <c r="H104" s="31">
        <v>0</v>
      </c>
      <c r="I104" s="31">
        <f t="shared" si="31"/>
        <v>0</v>
      </c>
      <c r="K104" s="31">
        <f t="shared" si="32"/>
        <v>23207520</v>
      </c>
      <c r="L104" s="31">
        <v>0</v>
      </c>
      <c r="M104" s="31">
        <f t="shared" si="33"/>
        <v>566040</v>
      </c>
      <c r="O104" s="31">
        <f t="shared" ref="O104:O106" si="35">+O98-Q98</f>
        <v>16981080</v>
      </c>
      <c r="P104" s="31">
        <v>0</v>
      </c>
      <c r="Q104" s="31">
        <f t="shared" si="34"/>
        <v>566040</v>
      </c>
    </row>
    <row r="105" spans="1:17" x14ac:dyDescent="0.2">
      <c r="A105" t="s">
        <v>1270</v>
      </c>
      <c r="B105" t="s">
        <v>1473</v>
      </c>
      <c r="C105" s="1672" t="s">
        <v>1569</v>
      </c>
      <c r="D105" s="1672" t="s">
        <v>1570</v>
      </c>
      <c r="E105" t="s">
        <v>1273</v>
      </c>
      <c r="G105" s="31">
        <v>13680000</v>
      </c>
      <c r="H105" s="31">
        <v>68032</v>
      </c>
      <c r="I105" s="31">
        <f t="shared" si="31"/>
        <v>60000</v>
      </c>
      <c r="K105" s="31">
        <f t="shared" si="32"/>
        <v>12960000</v>
      </c>
      <c r="L105" s="31">
        <f>+K105*0.0057</f>
        <v>73872</v>
      </c>
      <c r="M105" s="31">
        <f t="shared" si="33"/>
        <v>60000</v>
      </c>
      <c r="O105" s="31">
        <f t="shared" si="35"/>
        <v>12300000</v>
      </c>
      <c r="P105" s="31">
        <f>+O105*0.000691</f>
        <v>8499.2999999999993</v>
      </c>
      <c r="Q105" s="31">
        <f t="shared" si="34"/>
        <v>60000</v>
      </c>
    </row>
    <row r="106" spans="1:17" x14ac:dyDescent="0.2">
      <c r="A106" t="s">
        <v>1274</v>
      </c>
      <c r="B106" t="s">
        <v>1474</v>
      </c>
      <c r="C106" s="1672" t="s">
        <v>1571</v>
      </c>
      <c r="D106" s="1672" t="s">
        <v>1572</v>
      </c>
      <c r="E106" t="s">
        <v>1277</v>
      </c>
      <c r="G106" s="31">
        <v>2180530</v>
      </c>
      <c r="H106" s="31">
        <v>11296</v>
      </c>
      <c r="I106" s="31">
        <f t="shared" si="31"/>
        <v>13890</v>
      </c>
      <c r="K106" s="31">
        <f t="shared" si="32"/>
        <v>2013850</v>
      </c>
      <c r="L106" s="31">
        <f>+K106*0.0057</f>
        <v>11478.945</v>
      </c>
      <c r="M106" s="31">
        <f t="shared" si="33"/>
        <v>13890</v>
      </c>
      <c r="O106" s="31">
        <f t="shared" si="35"/>
        <v>1861060</v>
      </c>
      <c r="P106" s="31">
        <f>+O106*0.000697</f>
        <v>1297.1588200000001</v>
      </c>
      <c r="Q106" s="31">
        <f t="shared" si="34"/>
        <v>13890</v>
      </c>
    </row>
    <row r="107" spans="1:17" x14ac:dyDescent="0.2">
      <c r="A107" s="1673" t="s">
        <v>1524</v>
      </c>
      <c r="B107" s="1673"/>
      <c r="C107" s="1674" t="s">
        <v>1573</v>
      </c>
      <c r="D107" s="1674" t="s">
        <v>1574</v>
      </c>
      <c r="G107" s="1671">
        <f t="shared" ref="G107" si="36">SUM(G102:G106)</f>
        <v>137702326</v>
      </c>
      <c r="H107" s="1671">
        <f t="shared" si="22"/>
        <v>237957</v>
      </c>
      <c r="I107" s="1671">
        <f t="shared" si="22"/>
        <v>1409522</v>
      </c>
      <c r="K107" s="1671">
        <f>SUM(K102:K106)</f>
        <v>116259742</v>
      </c>
      <c r="L107" s="1671">
        <f>SUM(L102:L106)</f>
        <v>195875.16831149999</v>
      </c>
      <c r="M107" s="1671">
        <f>SUM(M102:M106)</f>
        <v>1975562</v>
      </c>
      <c r="O107" s="1671">
        <f t="shared" ref="O107:Q107" si="37">SUM(O102:O106)</f>
        <v>97255844</v>
      </c>
      <c r="P107" s="1671">
        <f t="shared" si="37"/>
        <v>60108.987563999995</v>
      </c>
      <c r="Q107" s="1671">
        <f t="shared" si="37"/>
        <v>1066471</v>
      </c>
    </row>
    <row r="108" spans="1:17" x14ac:dyDescent="0.2">
      <c r="A108" t="s">
        <v>1264</v>
      </c>
      <c r="B108" t="s">
        <v>808</v>
      </c>
      <c r="C108" s="1672" t="s">
        <v>1598</v>
      </c>
      <c r="D108" s="1672" t="s">
        <v>1599</v>
      </c>
      <c r="E108" t="s">
        <v>1367</v>
      </c>
      <c r="G108" s="31">
        <v>17272718</v>
      </c>
      <c r="H108" s="31">
        <v>101212</v>
      </c>
      <c r="I108" s="31">
        <f>+G102-G108</f>
        <v>909091</v>
      </c>
      <c r="J108" s="2176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1267</v>
      </c>
      <c r="B109" t="s">
        <v>1471</v>
      </c>
      <c r="C109" s="1672" t="s">
        <v>1600</v>
      </c>
      <c r="D109" s="1672" t="s">
        <v>1601</v>
      </c>
      <c r="E109" t="s">
        <v>1370</v>
      </c>
      <c r="G109" s="31">
        <v>75497606</v>
      </c>
      <c r="H109" s="31">
        <v>56943</v>
      </c>
      <c r="I109" s="31">
        <f t="shared" ref="I109:I112" si="38">+G103-G109</f>
        <v>426541</v>
      </c>
      <c r="J109" s="2176">
        <f>+H109/G109</f>
        <v>7.5423583629923312E-4</v>
      </c>
      <c r="K109" s="31">
        <f t="shared" ref="K109:K112" si="39">+K103-M103</f>
        <v>70379114</v>
      </c>
      <c r="L109" s="31">
        <f>+K109*0.0007793</f>
        <v>54846.443540200002</v>
      </c>
      <c r="M109" s="31">
        <f t="shared" ref="M109:M112" si="40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1">+O103-O109</f>
        <v>426541</v>
      </c>
    </row>
    <row r="110" spans="1:17" x14ac:dyDescent="0.2">
      <c r="A110" t="s">
        <v>1393</v>
      </c>
      <c r="B110" t="s">
        <v>1472</v>
      </c>
      <c r="C110" s="1672" t="s">
        <v>1602</v>
      </c>
      <c r="D110" s="1672" t="s">
        <v>1603</v>
      </c>
      <c r="E110" t="s">
        <v>1263</v>
      </c>
      <c r="G110" s="31">
        <v>27169800</v>
      </c>
      <c r="H110" s="31">
        <v>141221</v>
      </c>
      <c r="I110" s="31">
        <f t="shared" si="38"/>
        <v>566040</v>
      </c>
      <c r="J110" s="2176">
        <f>+H110/G110</f>
        <v>5.1977195268275806E-3</v>
      </c>
      <c r="K110" s="31">
        <f t="shared" si="39"/>
        <v>22641480</v>
      </c>
      <c r="L110" s="31">
        <f>+K110*0.0057</f>
        <v>129056.436</v>
      </c>
      <c r="M110" s="31">
        <f t="shared" si="40"/>
        <v>566040</v>
      </c>
      <c r="O110" s="31">
        <f t="shared" ref="O110:O112" si="42">+O104-Q104</f>
        <v>16415040</v>
      </c>
      <c r="P110" s="31">
        <f>+O110*0.002092</f>
        <v>34340.263680000004</v>
      </c>
      <c r="Q110" s="31">
        <f t="shared" si="41"/>
        <v>566040</v>
      </c>
    </row>
    <row r="111" spans="1:17" x14ac:dyDescent="0.2">
      <c r="A111" t="s">
        <v>1270</v>
      </c>
      <c r="B111" t="s">
        <v>1473</v>
      </c>
      <c r="C111" s="1672" t="s">
        <v>1604</v>
      </c>
      <c r="D111" s="1672" t="s">
        <v>1605</v>
      </c>
      <c r="E111" t="s">
        <v>1273</v>
      </c>
      <c r="G111" s="31">
        <v>13620000</v>
      </c>
      <c r="H111" s="31">
        <v>72732</v>
      </c>
      <c r="I111" s="31">
        <f t="shared" si="38"/>
        <v>60000</v>
      </c>
      <c r="J111" s="2176">
        <f t="shared" ref="J111:J112" si="43">+H111/G111</f>
        <v>5.3400881057268723E-3</v>
      </c>
      <c r="K111" s="31">
        <f t="shared" si="39"/>
        <v>12900000</v>
      </c>
      <c r="L111" s="31">
        <f>+K111*0.0057</f>
        <v>73530</v>
      </c>
      <c r="M111" s="31">
        <f t="shared" si="40"/>
        <v>60000</v>
      </c>
      <c r="O111" s="31">
        <f t="shared" si="42"/>
        <v>12240000</v>
      </c>
      <c r="P111" s="31">
        <f>+O111*0.000691</f>
        <v>8457.84</v>
      </c>
      <c r="Q111" s="31">
        <f t="shared" si="41"/>
        <v>60000</v>
      </c>
    </row>
    <row r="112" spans="1:17" x14ac:dyDescent="0.2">
      <c r="A112" t="s">
        <v>1274</v>
      </c>
      <c r="B112" t="s">
        <v>1474</v>
      </c>
      <c r="C112" s="1672" t="s">
        <v>1606</v>
      </c>
      <c r="D112" s="1672" t="s">
        <v>1607</v>
      </c>
      <c r="E112" t="s">
        <v>1277</v>
      </c>
      <c r="G112" s="31">
        <v>2166640</v>
      </c>
      <c r="H112" s="31">
        <v>11776</v>
      </c>
      <c r="I112" s="31">
        <f t="shared" si="38"/>
        <v>13890</v>
      </c>
      <c r="J112" s="2176">
        <f t="shared" si="43"/>
        <v>5.4351438171546728E-3</v>
      </c>
      <c r="K112" s="31">
        <f t="shared" si="39"/>
        <v>1999960</v>
      </c>
      <c r="L112" s="31">
        <f>+K112*0.0057</f>
        <v>11399.772000000001</v>
      </c>
      <c r="M112" s="31">
        <f t="shared" si="40"/>
        <v>13890</v>
      </c>
      <c r="O112" s="31">
        <f t="shared" si="42"/>
        <v>1847170</v>
      </c>
      <c r="P112" s="31">
        <f>+O112*0.000697</f>
        <v>1287.47749</v>
      </c>
      <c r="Q112" s="31">
        <f t="shared" si="41"/>
        <v>13890</v>
      </c>
    </row>
    <row r="113" spans="1:17" x14ac:dyDescent="0.2">
      <c r="A113" s="1673" t="s">
        <v>1525</v>
      </c>
      <c r="B113" s="1673"/>
      <c r="C113" s="1674" t="s">
        <v>1608</v>
      </c>
      <c r="D113" s="1674" t="s">
        <v>1609</v>
      </c>
      <c r="G113" s="1671">
        <f t="shared" ref="G113:I125" si="44">SUM(G108:G112)</f>
        <v>135726764</v>
      </c>
      <c r="H113" s="1671">
        <f t="shared" si="44"/>
        <v>383884</v>
      </c>
      <c r="I113" s="1671">
        <f t="shared" si="44"/>
        <v>1975562</v>
      </c>
      <c r="K113" s="1671">
        <f>SUM(K108:K112)</f>
        <v>114284180</v>
      </c>
      <c r="L113" s="1671">
        <f>SUM(L108:L112)</f>
        <v>317259.84540019999</v>
      </c>
      <c r="M113" s="1671">
        <f>SUM(M108:M112)</f>
        <v>1975562</v>
      </c>
      <c r="O113" s="1671">
        <f t="shared" ref="O113:Q113" si="45">SUM(O108:O112)</f>
        <v>96189373</v>
      </c>
      <c r="P113" s="1671">
        <f t="shared" si="45"/>
        <v>94073.512212999995</v>
      </c>
      <c r="Q113" s="1671">
        <f t="shared" si="45"/>
        <v>1066471</v>
      </c>
    </row>
    <row r="114" spans="1:17" x14ac:dyDescent="0.2">
      <c r="A114" t="s">
        <v>1264</v>
      </c>
      <c r="B114" t="s">
        <v>808</v>
      </c>
      <c r="C114" s="1672" t="s">
        <v>2097</v>
      </c>
      <c r="D114" s="1672" t="s">
        <v>2098</v>
      </c>
      <c r="E114" t="s">
        <v>1367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1267</v>
      </c>
      <c r="B115" t="s">
        <v>1471</v>
      </c>
      <c r="C115" s="1672" t="s">
        <v>2099</v>
      </c>
      <c r="D115" s="1672" t="s">
        <v>2100</v>
      </c>
      <c r="E115" t="s">
        <v>1370</v>
      </c>
      <c r="G115" s="31">
        <v>75071065</v>
      </c>
      <c r="H115" s="31">
        <v>58510</v>
      </c>
      <c r="I115" s="31">
        <f t="shared" ref="I115:I118" si="46">+G109-G115</f>
        <v>426541</v>
      </c>
      <c r="K115" s="31">
        <f t="shared" ref="K115:K118" si="47">+K109-M109</f>
        <v>69952573</v>
      </c>
      <c r="L115" s="31">
        <f>+K115*0.0007793</f>
        <v>54514.040138900004</v>
      </c>
      <c r="M115" s="31">
        <f t="shared" ref="M115:M118" si="48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49">+O109-O115</f>
        <v>426541</v>
      </c>
    </row>
    <row r="116" spans="1:17" x14ac:dyDescent="0.2">
      <c r="A116" t="s">
        <v>1393</v>
      </c>
      <c r="B116" t="s">
        <v>1472</v>
      </c>
      <c r="C116" s="1672" t="s">
        <v>1602</v>
      </c>
      <c r="D116" s="1672" t="s">
        <v>815</v>
      </c>
      <c r="E116" t="s">
        <v>1263</v>
      </c>
      <c r="G116" s="31">
        <v>27169800</v>
      </c>
      <c r="H116" s="31">
        <v>0</v>
      </c>
      <c r="I116" s="31">
        <f t="shared" si="46"/>
        <v>0</v>
      </c>
      <c r="K116" s="31">
        <f t="shared" si="47"/>
        <v>22075440</v>
      </c>
      <c r="L116" s="31">
        <v>0</v>
      </c>
      <c r="M116" s="31">
        <f t="shared" si="48"/>
        <v>566040</v>
      </c>
      <c r="O116" s="31">
        <f t="shared" ref="O116:O118" si="50">+O110-Q110</f>
        <v>15849000</v>
      </c>
      <c r="P116" s="31">
        <v>0</v>
      </c>
      <c r="Q116" s="31">
        <f t="shared" si="49"/>
        <v>566040</v>
      </c>
    </row>
    <row r="117" spans="1:17" x14ac:dyDescent="0.2">
      <c r="A117" t="s">
        <v>1270</v>
      </c>
      <c r="B117" t="s">
        <v>1473</v>
      </c>
      <c r="C117" s="1672" t="s">
        <v>2101</v>
      </c>
      <c r="D117" s="1672" t="s">
        <v>2102</v>
      </c>
      <c r="E117" t="s">
        <v>1273</v>
      </c>
      <c r="G117" s="31">
        <v>13560000</v>
      </c>
      <c r="H117" s="31">
        <v>89252</v>
      </c>
      <c r="I117" s="31">
        <f t="shared" si="46"/>
        <v>60000</v>
      </c>
      <c r="K117" s="31">
        <f t="shared" si="47"/>
        <v>12840000</v>
      </c>
      <c r="L117" s="31">
        <f>+K117*0.0057</f>
        <v>73188</v>
      </c>
      <c r="M117" s="31">
        <f t="shared" si="48"/>
        <v>60000</v>
      </c>
      <c r="O117" s="31">
        <f t="shared" si="50"/>
        <v>12180000</v>
      </c>
      <c r="P117" s="31">
        <f>+O117*0.000691</f>
        <v>8416.3799999999992</v>
      </c>
      <c r="Q117" s="31">
        <f t="shared" si="49"/>
        <v>60000</v>
      </c>
    </row>
    <row r="118" spans="1:17" x14ac:dyDescent="0.2">
      <c r="A118" t="s">
        <v>1274</v>
      </c>
      <c r="B118" t="s">
        <v>1474</v>
      </c>
      <c r="C118" s="1672" t="s">
        <v>2103</v>
      </c>
      <c r="D118" s="1672" t="s">
        <v>2104</v>
      </c>
      <c r="E118" t="s">
        <v>1277</v>
      </c>
      <c r="G118" s="31">
        <v>2152750</v>
      </c>
      <c r="H118" s="31">
        <v>13281</v>
      </c>
      <c r="I118" s="31">
        <f t="shared" si="46"/>
        <v>13890</v>
      </c>
      <c r="K118" s="31">
        <f t="shared" si="47"/>
        <v>1986070</v>
      </c>
      <c r="L118" s="31">
        <f>+K118*0.0057</f>
        <v>11320.599</v>
      </c>
      <c r="M118" s="31">
        <f t="shared" si="48"/>
        <v>13890</v>
      </c>
      <c r="O118" s="31">
        <f t="shared" si="50"/>
        <v>1833280</v>
      </c>
      <c r="P118" s="31">
        <f>+O118*0.000697</f>
        <v>1277.7961600000001</v>
      </c>
      <c r="Q118" s="31">
        <f t="shared" si="49"/>
        <v>13890</v>
      </c>
    </row>
    <row r="119" spans="1:17" x14ac:dyDescent="0.2">
      <c r="A119" s="1673" t="s">
        <v>1526</v>
      </c>
      <c r="B119" s="1673"/>
      <c r="C119" s="1674" t="s">
        <v>2105</v>
      </c>
      <c r="D119" s="1674" t="s">
        <v>2106</v>
      </c>
      <c r="G119" s="1671">
        <f t="shared" ref="G119" si="51">SUM(G114:G118)</f>
        <v>134317242</v>
      </c>
      <c r="H119" s="1671">
        <f t="shared" si="44"/>
        <v>278694</v>
      </c>
      <c r="I119" s="1671">
        <f t="shared" si="44"/>
        <v>1409522</v>
      </c>
      <c r="K119" s="1671">
        <f>SUM(K114:K118)</f>
        <v>112308618</v>
      </c>
      <c r="L119" s="1671">
        <f>SUM(L114:L118)</f>
        <v>180531.65048889999</v>
      </c>
      <c r="M119" s="1671">
        <f>SUM(M114:M118)</f>
        <v>1975562</v>
      </c>
      <c r="O119" s="1671">
        <f t="shared" ref="O119:Q119" si="52">SUM(O114:O118)</f>
        <v>95122902</v>
      </c>
      <c r="P119" s="1671">
        <f t="shared" si="52"/>
        <v>59357.509501999994</v>
      </c>
      <c r="Q119" s="1671">
        <f t="shared" si="52"/>
        <v>1066471</v>
      </c>
    </row>
    <row r="120" spans="1:17" x14ac:dyDescent="0.2">
      <c r="A120" t="s">
        <v>1264</v>
      </c>
      <c r="B120" t="s">
        <v>808</v>
      </c>
      <c r="C120" s="1672" t="s">
        <v>2107</v>
      </c>
      <c r="D120" s="1672" t="s">
        <v>2108</v>
      </c>
      <c r="E120" t="s">
        <v>1367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1267</v>
      </c>
      <c r="B121" t="s">
        <v>1471</v>
      </c>
      <c r="C121" s="1672" t="s">
        <v>2109</v>
      </c>
      <c r="D121" s="1672" t="s">
        <v>2110</v>
      </c>
      <c r="E121" t="s">
        <v>1370</v>
      </c>
      <c r="G121" s="31">
        <v>74644524</v>
      </c>
      <c r="H121" s="31">
        <v>58180</v>
      </c>
      <c r="I121" s="31">
        <f t="shared" ref="I121:I124" si="53">+G115-G121</f>
        <v>426541</v>
      </c>
      <c r="K121" s="31">
        <f t="shared" ref="K121:K124" si="54">+K115-M115</f>
        <v>69526032</v>
      </c>
      <c r="L121" s="31">
        <f>+K121*0.0007793</f>
        <v>54181.636737599998</v>
      </c>
      <c r="M121" s="31">
        <f t="shared" ref="M121:M124" si="55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6">+O115-O121</f>
        <v>426541</v>
      </c>
    </row>
    <row r="122" spans="1:17" x14ac:dyDescent="0.2">
      <c r="A122" t="s">
        <v>1393</v>
      </c>
      <c r="B122" t="s">
        <v>1472</v>
      </c>
      <c r="C122" s="1672" t="s">
        <v>1602</v>
      </c>
      <c r="D122" s="1672" t="s">
        <v>815</v>
      </c>
      <c r="E122" t="s">
        <v>1263</v>
      </c>
      <c r="G122" s="31">
        <v>27169800</v>
      </c>
      <c r="H122" s="31">
        <v>0</v>
      </c>
      <c r="I122" s="31">
        <f t="shared" si="53"/>
        <v>0</v>
      </c>
      <c r="K122" s="31">
        <f t="shared" si="54"/>
        <v>21509400</v>
      </c>
      <c r="L122" s="31">
        <v>0</v>
      </c>
      <c r="M122" s="31">
        <f t="shared" si="55"/>
        <v>566040</v>
      </c>
      <c r="O122" s="31">
        <f t="shared" ref="O122:O124" si="57">+O116-Q116</f>
        <v>15282960</v>
      </c>
      <c r="P122" s="31">
        <v>0</v>
      </c>
      <c r="Q122" s="31">
        <f t="shared" si="56"/>
        <v>566040</v>
      </c>
    </row>
    <row r="123" spans="1:17" x14ac:dyDescent="0.2">
      <c r="A123" t="s">
        <v>1270</v>
      </c>
      <c r="B123" t="s">
        <v>1473</v>
      </c>
      <c r="C123" s="1672" t="s">
        <v>2111</v>
      </c>
      <c r="D123" s="1672" t="s">
        <v>2112</v>
      </c>
      <c r="E123" t="s">
        <v>1273</v>
      </c>
      <c r="G123" s="31">
        <v>13500000</v>
      </c>
      <c r="H123" s="31">
        <v>89443</v>
      </c>
      <c r="I123" s="31">
        <f t="shared" si="53"/>
        <v>60000</v>
      </c>
      <c r="K123" s="31">
        <f t="shared" si="54"/>
        <v>12780000</v>
      </c>
      <c r="L123" s="31">
        <f>+K123*0.0057</f>
        <v>72846</v>
      </c>
      <c r="M123" s="31">
        <f t="shared" si="55"/>
        <v>60000</v>
      </c>
      <c r="O123" s="31">
        <f t="shared" si="57"/>
        <v>12120000</v>
      </c>
      <c r="P123" s="31">
        <f>+O123*0.000691</f>
        <v>8374.92</v>
      </c>
      <c r="Q123" s="31">
        <f t="shared" si="56"/>
        <v>60000</v>
      </c>
    </row>
    <row r="124" spans="1:17" x14ac:dyDescent="0.2">
      <c r="A124" t="s">
        <v>1274</v>
      </c>
      <c r="B124" t="s">
        <v>1474</v>
      </c>
      <c r="C124" s="1672" t="s">
        <v>2113</v>
      </c>
      <c r="D124" s="1672" t="s">
        <v>2114</v>
      </c>
      <c r="E124" t="s">
        <v>1277</v>
      </c>
      <c r="G124" s="31">
        <v>2138860</v>
      </c>
      <c r="H124" s="31">
        <v>14144</v>
      </c>
      <c r="I124" s="31">
        <f t="shared" si="53"/>
        <v>13890</v>
      </c>
      <c r="K124" s="31">
        <f t="shared" si="54"/>
        <v>1972180</v>
      </c>
      <c r="L124" s="31">
        <f>+K124*0.0057</f>
        <v>11241.426000000001</v>
      </c>
      <c r="M124" s="31">
        <f t="shared" si="55"/>
        <v>13890</v>
      </c>
      <c r="O124" s="31">
        <f t="shared" si="57"/>
        <v>1819390</v>
      </c>
      <c r="P124" s="31">
        <f>+O124*0.000697</f>
        <v>1268.11483</v>
      </c>
      <c r="Q124" s="31">
        <f t="shared" si="56"/>
        <v>13890</v>
      </c>
    </row>
    <row r="125" spans="1:17" x14ac:dyDescent="0.2">
      <c r="A125" s="1673" t="s">
        <v>1527</v>
      </c>
      <c r="B125" s="1673"/>
      <c r="C125" s="1674" t="s">
        <v>2115</v>
      </c>
      <c r="D125" s="1674" t="s">
        <v>2116</v>
      </c>
      <c r="G125" s="1671">
        <f t="shared" ref="G125" si="58">SUM(G120:G124)</f>
        <v>132907720</v>
      </c>
      <c r="H125" s="1671">
        <f t="shared" si="44"/>
        <v>273930</v>
      </c>
      <c r="I125" s="1671">
        <f t="shared" si="44"/>
        <v>1409522</v>
      </c>
      <c r="K125" s="1671">
        <f>SUM(K120:K124)</f>
        <v>110333056</v>
      </c>
      <c r="L125" s="1671">
        <f>SUM(L120:L124)</f>
        <v>172859.89157760001</v>
      </c>
      <c r="M125" s="1671">
        <f>SUM(M120:M124)</f>
        <v>1975562</v>
      </c>
      <c r="O125" s="1671">
        <f t="shared" ref="O125:Q125" si="59">SUM(O120:O124)</f>
        <v>94056431</v>
      </c>
      <c r="P125" s="1671">
        <f t="shared" si="59"/>
        <v>58981.770470999996</v>
      </c>
      <c r="Q125" s="1671">
        <f t="shared" si="59"/>
        <v>1066471</v>
      </c>
    </row>
    <row r="126" spans="1:17" x14ac:dyDescent="0.2">
      <c r="A126" t="s">
        <v>1264</v>
      </c>
      <c r="B126" t="s">
        <v>808</v>
      </c>
      <c r="C126" s="1672" t="s">
        <v>2117</v>
      </c>
      <c r="D126" s="1672" t="s">
        <v>2118</v>
      </c>
      <c r="E126" t="s">
        <v>1367</v>
      </c>
      <c r="G126" s="31">
        <v>14545445</v>
      </c>
      <c r="H126" s="31">
        <v>101999</v>
      </c>
      <c r="I126" s="31">
        <f>+G120-G126</f>
        <v>909091</v>
      </c>
      <c r="J126" s="2176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1267</v>
      </c>
      <c r="B127" t="s">
        <v>1471</v>
      </c>
      <c r="C127" s="1672" t="s">
        <v>2119</v>
      </c>
      <c r="D127" s="1672" t="s">
        <v>2120</v>
      </c>
      <c r="E127" t="s">
        <v>1370</v>
      </c>
      <c r="G127" s="31">
        <v>74217983</v>
      </c>
      <c r="H127" s="31">
        <v>55983</v>
      </c>
      <c r="I127" s="31">
        <f t="shared" ref="I127:I130" si="60">+G121-G127</f>
        <v>426541</v>
      </c>
      <c r="J127" s="2176">
        <f>+H127/G127</f>
        <v>7.5430505838456968E-4</v>
      </c>
      <c r="K127" s="31">
        <f t="shared" ref="K127:K130" si="61">+K121-M121</f>
        <v>69099491</v>
      </c>
      <c r="L127" s="31">
        <f>+K127*0.0007793</f>
        <v>53849.2333363</v>
      </c>
      <c r="M127" s="31">
        <f t="shared" ref="M127:M130" si="62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3">+O121-O127</f>
        <v>426541</v>
      </c>
    </row>
    <row r="128" spans="1:17" x14ac:dyDescent="0.2">
      <c r="A128" t="s">
        <v>1393</v>
      </c>
      <c r="B128" t="s">
        <v>1472</v>
      </c>
      <c r="C128" s="1672" t="s">
        <v>2121</v>
      </c>
      <c r="D128" s="1672" t="s">
        <v>2122</v>
      </c>
      <c r="E128" t="s">
        <v>1263</v>
      </c>
      <c r="G128" s="31">
        <v>26603760</v>
      </c>
      <c r="H128" s="31">
        <v>133924</v>
      </c>
      <c r="I128" s="31">
        <f t="shared" si="60"/>
        <v>566040</v>
      </c>
      <c r="J128" s="2176">
        <f>+H128/G128</f>
        <v>5.0340252656015539E-3</v>
      </c>
      <c r="K128" s="31">
        <f t="shared" si="61"/>
        <v>20943360</v>
      </c>
      <c r="L128" s="31">
        <f>+K128*0.0057</f>
        <v>119377.152</v>
      </c>
      <c r="M128" s="31">
        <f t="shared" si="62"/>
        <v>566040</v>
      </c>
      <c r="O128" s="31">
        <f t="shared" ref="O128:O130" si="64">+O122-Q122</f>
        <v>14716920</v>
      </c>
      <c r="P128" s="31">
        <f>+O128*0.002092</f>
        <v>30787.79664</v>
      </c>
      <c r="Q128" s="31">
        <f t="shared" si="63"/>
        <v>566040</v>
      </c>
    </row>
    <row r="129" spans="1:17" x14ac:dyDescent="0.2">
      <c r="A129" t="s">
        <v>1270</v>
      </c>
      <c r="B129" t="s">
        <v>1473</v>
      </c>
      <c r="C129" s="1672" t="s">
        <v>2123</v>
      </c>
      <c r="D129" s="1672" t="s">
        <v>2124</v>
      </c>
      <c r="E129" t="s">
        <v>1273</v>
      </c>
      <c r="G129" s="31">
        <v>13440000</v>
      </c>
      <c r="H129" s="31">
        <v>85725</v>
      </c>
      <c r="I129" s="31">
        <f t="shared" si="60"/>
        <v>60000</v>
      </c>
      <c r="J129" s="2176">
        <f t="shared" ref="J129:J130" si="65">+H129/G129</f>
        <v>6.378348214285714E-3</v>
      </c>
      <c r="K129" s="31">
        <f t="shared" si="61"/>
        <v>12720000</v>
      </c>
      <c r="L129" s="31">
        <f>+K129*0.0057</f>
        <v>72504</v>
      </c>
      <c r="M129" s="31">
        <f t="shared" si="62"/>
        <v>60000</v>
      </c>
      <c r="O129" s="31">
        <f t="shared" si="64"/>
        <v>12060000</v>
      </c>
      <c r="P129" s="31">
        <f>+O129*0.000691</f>
        <v>8333.4599999999991</v>
      </c>
      <c r="Q129" s="31">
        <f t="shared" si="63"/>
        <v>60000</v>
      </c>
    </row>
    <row r="130" spans="1:17" x14ac:dyDescent="0.2">
      <c r="A130" t="s">
        <v>1274</v>
      </c>
      <c r="B130" t="s">
        <v>1474</v>
      </c>
      <c r="C130" s="1672" t="s">
        <v>2125</v>
      </c>
      <c r="D130" s="1672" t="s">
        <v>2126</v>
      </c>
      <c r="E130" t="s">
        <v>1277</v>
      </c>
      <c r="G130" s="31">
        <v>2124970</v>
      </c>
      <c r="H130" s="31">
        <v>13581</v>
      </c>
      <c r="I130" s="31">
        <f t="shared" si="60"/>
        <v>13890</v>
      </c>
      <c r="J130" s="2176">
        <f t="shared" si="65"/>
        <v>6.3911490515160211E-3</v>
      </c>
      <c r="K130" s="31">
        <f t="shared" si="61"/>
        <v>1958290</v>
      </c>
      <c r="L130" s="31">
        <f>+K130*0.0057</f>
        <v>11162.253000000001</v>
      </c>
      <c r="M130" s="31">
        <f t="shared" si="62"/>
        <v>13890</v>
      </c>
      <c r="O130" s="31">
        <f t="shared" si="64"/>
        <v>1805500</v>
      </c>
      <c r="P130" s="31">
        <f>+O130*0.000697</f>
        <v>1258.4335000000001</v>
      </c>
      <c r="Q130" s="31">
        <f t="shared" si="63"/>
        <v>13890</v>
      </c>
    </row>
    <row r="131" spans="1:17" x14ac:dyDescent="0.2">
      <c r="A131" s="1673" t="s">
        <v>1528</v>
      </c>
      <c r="B131" s="1673"/>
      <c r="C131" s="1674" t="s">
        <v>2127</v>
      </c>
      <c r="D131" s="1674" t="s">
        <v>2128</v>
      </c>
      <c r="G131" s="1671">
        <f t="shared" ref="G131:I143" si="66">SUM(G126:G130)</f>
        <v>130932158</v>
      </c>
      <c r="H131" s="1671">
        <f t="shared" si="66"/>
        <v>391212</v>
      </c>
      <c r="I131" s="1671">
        <f t="shared" si="66"/>
        <v>1975562</v>
      </c>
      <c r="K131" s="1671">
        <f>SUM(K126:K130)</f>
        <v>108357494</v>
      </c>
      <c r="L131" s="1671">
        <f>SUM(L126:L130)</f>
        <v>284565.28466630005</v>
      </c>
      <c r="M131" s="1671">
        <f>SUM(M126:M130)</f>
        <v>1975562</v>
      </c>
      <c r="O131" s="1671">
        <f t="shared" ref="O131:Q131" si="67">SUM(O126:O130)</f>
        <v>92989960</v>
      </c>
      <c r="P131" s="1671">
        <f t="shared" si="67"/>
        <v>89393.828079999992</v>
      </c>
      <c r="Q131" s="1671">
        <f t="shared" si="67"/>
        <v>1066471</v>
      </c>
    </row>
    <row r="132" spans="1:17" x14ac:dyDescent="0.2">
      <c r="A132" t="s">
        <v>1264</v>
      </c>
      <c r="B132" t="s">
        <v>808</v>
      </c>
      <c r="C132" s="1672" t="s">
        <v>2129</v>
      </c>
      <c r="D132" s="1672" t="s">
        <v>2130</v>
      </c>
      <c r="E132" t="s">
        <v>1367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1267</v>
      </c>
      <c r="B133" t="s">
        <v>1471</v>
      </c>
      <c r="C133" s="1672" t="s">
        <v>2131</v>
      </c>
      <c r="D133" s="1672" t="s">
        <v>2132</v>
      </c>
      <c r="E133" t="s">
        <v>1370</v>
      </c>
      <c r="G133" s="31">
        <v>73791442</v>
      </c>
      <c r="H133" s="31">
        <v>57518</v>
      </c>
      <c r="I133" s="31">
        <f t="shared" ref="I133:I136" si="68">+G127-G133</f>
        <v>426541</v>
      </c>
      <c r="K133" s="31">
        <f t="shared" ref="K133:K136" si="69">+K127-M127</f>
        <v>68672950</v>
      </c>
      <c r="L133" s="31">
        <f>+K133*0.0007793</f>
        <v>53516.829935000002</v>
      </c>
      <c r="M133" s="31">
        <f t="shared" ref="M133:M136" si="70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1">+O127-O133</f>
        <v>426541</v>
      </c>
    </row>
    <row r="134" spans="1:17" x14ac:dyDescent="0.2">
      <c r="A134" t="s">
        <v>1393</v>
      </c>
      <c r="B134" t="s">
        <v>1472</v>
      </c>
      <c r="C134" s="1672" t="s">
        <v>2121</v>
      </c>
      <c r="D134" s="1672" t="s">
        <v>815</v>
      </c>
      <c r="E134" t="s">
        <v>1263</v>
      </c>
      <c r="G134" s="31">
        <v>26603760</v>
      </c>
      <c r="H134" s="31">
        <v>0</v>
      </c>
      <c r="I134" s="31">
        <f t="shared" si="68"/>
        <v>0</v>
      </c>
      <c r="K134" s="31">
        <f t="shared" si="69"/>
        <v>20377320</v>
      </c>
      <c r="L134" s="31">
        <v>0</v>
      </c>
      <c r="M134" s="31">
        <f t="shared" si="70"/>
        <v>566040</v>
      </c>
      <c r="O134" s="31">
        <f t="shared" ref="O134:O136" si="72">+O128-Q128</f>
        <v>14150880</v>
      </c>
      <c r="P134" s="31">
        <v>0</v>
      </c>
      <c r="Q134" s="31">
        <f t="shared" si="71"/>
        <v>566040</v>
      </c>
    </row>
    <row r="135" spans="1:17" x14ac:dyDescent="0.2">
      <c r="A135" t="s">
        <v>1270</v>
      </c>
      <c r="B135" t="s">
        <v>1473</v>
      </c>
      <c r="C135" s="1672" t="s">
        <v>2133</v>
      </c>
      <c r="D135" s="1672" t="s">
        <v>2134</v>
      </c>
      <c r="E135" t="s">
        <v>1273</v>
      </c>
      <c r="G135" s="31">
        <v>13380000</v>
      </c>
      <c r="H135" s="31">
        <v>88073</v>
      </c>
      <c r="I135" s="31">
        <f t="shared" si="68"/>
        <v>60000</v>
      </c>
      <c r="K135" s="31">
        <f t="shared" si="69"/>
        <v>12660000</v>
      </c>
      <c r="L135" s="31">
        <f>+K135*0.0057</f>
        <v>72162</v>
      </c>
      <c r="M135" s="31">
        <f t="shared" si="70"/>
        <v>60000</v>
      </c>
      <c r="O135" s="31">
        <f t="shared" si="72"/>
        <v>12000000</v>
      </c>
      <c r="P135" s="31">
        <f>+O135*0.000691</f>
        <v>8292</v>
      </c>
      <c r="Q135" s="31">
        <f t="shared" si="71"/>
        <v>60000</v>
      </c>
    </row>
    <row r="136" spans="1:17" x14ac:dyDescent="0.2">
      <c r="A136" t="s">
        <v>1274</v>
      </c>
      <c r="B136" t="s">
        <v>1474</v>
      </c>
      <c r="C136" s="1672" t="s">
        <v>2135</v>
      </c>
      <c r="D136" s="1672" t="s">
        <v>2136</v>
      </c>
      <c r="E136" t="s">
        <v>1277</v>
      </c>
      <c r="G136" s="31">
        <v>2111080</v>
      </c>
      <c r="H136" s="31">
        <v>13943</v>
      </c>
      <c r="I136" s="31">
        <f t="shared" si="68"/>
        <v>13890</v>
      </c>
      <c r="K136" s="31">
        <f t="shared" si="69"/>
        <v>1944400</v>
      </c>
      <c r="L136" s="31">
        <f>+K136*0.0057</f>
        <v>11083.08</v>
      </c>
      <c r="M136" s="31">
        <f t="shared" si="70"/>
        <v>13890</v>
      </c>
      <c r="O136" s="31">
        <f t="shared" si="72"/>
        <v>1791610</v>
      </c>
      <c r="P136" s="31">
        <f>+O136*0.000697</f>
        <v>1248.75217</v>
      </c>
      <c r="Q136" s="31">
        <f t="shared" si="71"/>
        <v>13890</v>
      </c>
    </row>
    <row r="137" spans="1:17" x14ac:dyDescent="0.2">
      <c r="A137" s="1673" t="s">
        <v>1529</v>
      </c>
      <c r="B137" s="1673"/>
      <c r="C137" s="1674" t="s">
        <v>2137</v>
      </c>
      <c r="D137" s="1674" t="s">
        <v>2138</v>
      </c>
      <c r="G137" s="1671">
        <f t="shared" ref="G137" si="73">SUM(G132:G136)</f>
        <v>129522636</v>
      </c>
      <c r="H137" s="1671">
        <f t="shared" si="66"/>
        <v>258608</v>
      </c>
      <c r="I137" s="1671">
        <f t="shared" si="66"/>
        <v>1409522</v>
      </c>
      <c r="K137" s="1671">
        <f>SUM(K132:K136)</f>
        <v>106381932</v>
      </c>
      <c r="L137" s="1671">
        <f>SUM(L132:L136)</f>
        <v>157516.37375499998</v>
      </c>
      <c r="M137" s="1671">
        <f>SUM(M132:M136)</f>
        <v>1975562</v>
      </c>
      <c r="O137" s="1671">
        <f t="shared" ref="O137:Q137" si="74">SUM(O132:O136)</f>
        <v>91923489</v>
      </c>
      <c r="P137" s="1671">
        <f t="shared" si="74"/>
        <v>58230.292408999994</v>
      </c>
      <c r="Q137" s="1671">
        <f t="shared" si="74"/>
        <v>1066471</v>
      </c>
    </row>
    <row r="138" spans="1:17" x14ac:dyDescent="0.2">
      <c r="A138" t="s">
        <v>1264</v>
      </c>
      <c r="B138" t="s">
        <v>808</v>
      </c>
      <c r="C138" s="1672" t="s">
        <v>2139</v>
      </c>
      <c r="D138" s="1672" t="s">
        <v>2140</v>
      </c>
      <c r="E138" t="s">
        <v>1367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1267</v>
      </c>
      <c r="B139" t="s">
        <v>1471</v>
      </c>
      <c r="C139" s="1672" t="s">
        <v>2141</v>
      </c>
      <c r="D139" s="1672" t="s">
        <v>2142</v>
      </c>
      <c r="E139" t="s">
        <v>1370</v>
      </c>
      <c r="G139" s="31">
        <v>73364901</v>
      </c>
      <c r="H139" s="31">
        <v>55343</v>
      </c>
      <c r="I139" s="31">
        <f t="shared" ref="I139:I142" si="75">+G133-G139</f>
        <v>426541</v>
      </c>
      <c r="K139" s="31">
        <f t="shared" ref="K139:K142" si="76">+K133-M133</f>
        <v>68246409</v>
      </c>
      <c r="L139" s="31">
        <f>+K139*0.0007793</f>
        <v>53184.426533700003</v>
      </c>
      <c r="M139" s="31">
        <f t="shared" ref="M139:M142" si="77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78">+O133-O139</f>
        <v>426541</v>
      </c>
    </row>
    <row r="140" spans="1:17" x14ac:dyDescent="0.2">
      <c r="A140" t="s">
        <v>1393</v>
      </c>
      <c r="B140" t="s">
        <v>1472</v>
      </c>
      <c r="C140" s="1672" t="s">
        <v>2121</v>
      </c>
      <c r="D140" s="1672" t="s">
        <v>815</v>
      </c>
      <c r="E140" t="s">
        <v>1263</v>
      </c>
      <c r="G140" s="31">
        <v>26603760</v>
      </c>
      <c r="H140" s="31">
        <v>0</v>
      </c>
      <c r="I140" s="31">
        <f t="shared" si="75"/>
        <v>0</v>
      </c>
      <c r="K140" s="31">
        <f t="shared" si="76"/>
        <v>19811280</v>
      </c>
      <c r="L140" s="31">
        <v>0</v>
      </c>
      <c r="M140" s="31">
        <f t="shared" si="77"/>
        <v>566040</v>
      </c>
      <c r="O140" s="31">
        <f t="shared" ref="O140:O142" si="79">+O134-Q134</f>
        <v>13584840</v>
      </c>
      <c r="P140" s="31">
        <v>0</v>
      </c>
      <c r="Q140" s="31">
        <f t="shared" si="78"/>
        <v>566040</v>
      </c>
    </row>
    <row r="141" spans="1:17" x14ac:dyDescent="0.2">
      <c r="A141" t="s">
        <v>1270</v>
      </c>
      <c r="B141" t="s">
        <v>1473</v>
      </c>
      <c r="C141" s="1672" t="s">
        <v>2143</v>
      </c>
      <c r="D141" s="1672" t="s">
        <v>2144</v>
      </c>
      <c r="E141" t="s">
        <v>1273</v>
      </c>
      <c r="G141" s="31">
        <v>13320000</v>
      </c>
      <c r="H141" s="31">
        <v>85297</v>
      </c>
      <c r="I141" s="31">
        <f t="shared" si="75"/>
        <v>60000</v>
      </c>
      <c r="K141" s="31">
        <f t="shared" si="76"/>
        <v>12600000</v>
      </c>
      <c r="L141" s="31">
        <f>+K141*0.0057</f>
        <v>71820</v>
      </c>
      <c r="M141" s="31">
        <f t="shared" si="77"/>
        <v>60000</v>
      </c>
      <c r="O141" s="31">
        <f t="shared" si="79"/>
        <v>11940000</v>
      </c>
      <c r="P141" s="31">
        <f>+O141*0.000691</f>
        <v>8250.5399999999991</v>
      </c>
      <c r="Q141" s="31">
        <f t="shared" si="78"/>
        <v>60000</v>
      </c>
    </row>
    <row r="142" spans="1:17" x14ac:dyDescent="0.2">
      <c r="A142" t="s">
        <v>1274</v>
      </c>
      <c r="B142" t="s">
        <v>1474</v>
      </c>
      <c r="C142" s="1672" t="s">
        <v>2145</v>
      </c>
      <c r="D142" s="1672" t="s">
        <v>2146</v>
      </c>
      <c r="E142" t="s">
        <v>1277</v>
      </c>
      <c r="G142" s="31">
        <v>2097190</v>
      </c>
      <c r="H142" s="31">
        <v>15602</v>
      </c>
      <c r="I142" s="31">
        <f t="shared" si="75"/>
        <v>13890</v>
      </c>
      <c r="K142" s="31">
        <f t="shared" si="76"/>
        <v>1930510</v>
      </c>
      <c r="L142" s="31">
        <f>+K142*0.0057</f>
        <v>11003.907000000001</v>
      </c>
      <c r="M142" s="31">
        <f t="shared" si="77"/>
        <v>13890</v>
      </c>
      <c r="O142" s="31">
        <f t="shared" si="79"/>
        <v>1777720</v>
      </c>
      <c r="P142" s="31">
        <f>+O142*0.000697</f>
        <v>1239.0708400000001</v>
      </c>
      <c r="Q142" s="31">
        <f t="shared" si="78"/>
        <v>13890</v>
      </c>
    </row>
    <row r="143" spans="1:17" x14ac:dyDescent="0.2">
      <c r="A143" s="1673" t="s">
        <v>1530</v>
      </c>
      <c r="B143" s="1673"/>
      <c r="C143" s="1674" t="s">
        <v>2147</v>
      </c>
      <c r="D143" s="1674" t="s">
        <v>2148</v>
      </c>
      <c r="G143" s="1671">
        <f t="shared" ref="G143" si="80">SUM(G138:G142)</f>
        <v>128113114</v>
      </c>
      <c r="H143" s="1671">
        <f t="shared" si="66"/>
        <v>246582</v>
      </c>
      <c r="I143" s="1671">
        <f t="shared" si="66"/>
        <v>1409522</v>
      </c>
      <c r="K143" s="1671">
        <f>SUM(K138:K142)</f>
        <v>104406370</v>
      </c>
      <c r="L143" s="1671">
        <f>SUM(L138:L142)</f>
        <v>149844.61484370002</v>
      </c>
      <c r="M143" s="1671">
        <f>SUM(M138:M142)</f>
        <v>1975562</v>
      </c>
      <c r="O143" s="1671">
        <f t="shared" ref="O143:Q143" si="81">SUM(O138:O142)</f>
        <v>90857018</v>
      </c>
      <c r="P143" s="1671">
        <f t="shared" si="81"/>
        <v>57854.553377999997</v>
      </c>
      <c r="Q143" s="1671">
        <f t="shared" si="81"/>
        <v>1066471</v>
      </c>
    </row>
    <row r="144" spans="1:17" x14ac:dyDescent="0.2">
      <c r="A144" t="s">
        <v>1264</v>
      </c>
      <c r="B144" t="s">
        <v>808</v>
      </c>
      <c r="C144" s="1672" t="s">
        <v>2149</v>
      </c>
      <c r="D144" s="1672" t="s">
        <v>2150</v>
      </c>
      <c r="E144" t="s">
        <v>1367</v>
      </c>
      <c r="G144" s="31">
        <v>11818172</v>
      </c>
      <c r="H144" s="31">
        <v>86580</v>
      </c>
      <c r="I144" s="31">
        <f>+G138-G144</f>
        <v>909091</v>
      </c>
      <c r="J144" s="2176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17" x14ac:dyDescent="0.2">
      <c r="A145" t="s">
        <v>1267</v>
      </c>
      <c r="B145" t="s">
        <v>1471</v>
      </c>
      <c r="C145" s="1672" t="s">
        <v>2151</v>
      </c>
      <c r="D145" s="1672" t="s">
        <v>2152</v>
      </c>
      <c r="E145" t="s">
        <v>1370</v>
      </c>
      <c r="G145" s="31">
        <v>72938360</v>
      </c>
      <c r="H145" s="31">
        <v>56857</v>
      </c>
      <c r="I145" s="31">
        <f t="shared" ref="I145:I148" si="82">+G139-G145</f>
        <v>426541</v>
      </c>
      <c r="J145" s="2176">
        <f>+H145/G145</f>
        <v>7.7952122861002081E-4</v>
      </c>
      <c r="K145" s="31">
        <f t="shared" ref="K145:K148" si="83">+K139-M139</f>
        <v>67819868</v>
      </c>
      <c r="L145" s="31">
        <f>+K145*0.0007793</f>
        <v>52852.023132400005</v>
      </c>
      <c r="M145" s="31">
        <f t="shared" ref="M145:M148" si="84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17" x14ac:dyDescent="0.2">
      <c r="A146" t="s">
        <v>1393</v>
      </c>
      <c r="B146" t="s">
        <v>1472</v>
      </c>
      <c r="C146" s="1672" t="s">
        <v>2153</v>
      </c>
      <c r="D146" s="1672" t="s">
        <v>2154</v>
      </c>
      <c r="E146" t="s">
        <v>1263</v>
      </c>
      <c r="G146" s="31">
        <v>26037720</v>
      </c>
      <c r="H146" s="31">
        <v>132575</v>
      </c>
      <c r="I146" s="31">
        <f t="shared" si="82"/>
        <v>566040</v>
      </c>
      <c r="J146" s="2176">
        <f>+H146/G146</f>
        <v>5.0916516499908597E-3</v>
      </c>
      <c r="K146" s="31">
        <f t="shared" si="83"/>
        <v>19245240</v>
      </c>
      <c r="L146" s="31">
        <f>+K146*0.0057</f>
        <v>109697.868</v>
      </c>
      <c r="M146" s="31">
        <f t="shared" si="84"/>
        <v>566040</v>
      </c>
      <c r="O146" s="31">
        <f t="shared" ref="O146:O148" si="85">+O140-Q140</f>
        <v>13018800</v>
      </c>
      <c r="P146" s="31">
        <f>+O146*0.002092</f>
        <v>27235.329600000001</v>
      </c>
      <c r="Q146" s="31">
        <f t="shared" ref="Q146:Q148" si="86">+O140-O146</f>
        <v>566040</v>
      </c>
    </row>
    <row r="147" spans="1:17" x14ac:dyDescent="0.2">
      <c r="A147" t="s">
        <v>1270</v>
      </c>
      <c r="B147" t="s">
        <v>1473</v>
      </c>
      <c r="C147" s="1672" t="s">
        <v>2155</v>
      </c>
      <c r="D147" s="1672" t="s">
        <v>2156</v>
      </c>
      <c r="E147" t="s">
        <v>1273</v>
      </c>
      <c r="G147" s="31">
        <v>13260000</v>
      </c>
      <c r="H147" s="31">
        <v>87172</v>
      </c>
      <c r="I147" s="31">
        <f t="shared" si="82"/>
        <v>60000</v>
      </c>
      <c r="J147" s="2176">
        <f t="shared" ref="J147:J148" si="87">+H147/G147</f>
        <v>6.5740573152337856E-3</v>
      </c>
      <c r="K147" s="31">
        <f t="shared" si="83"/>
        <v>12540000</v>
      </c>
      <c r="L147" s="31">
        <f>+K147*0.0057</f>
        <v>71478</v>
      </c>
      <c r="M147" s="31">
        <f t="shared" si="84"/>
        <v>60000</v>
      </c>
      <c r="O147" s="31">
        <f t="shared" si="85"/>
        <v>11880000</v>
      </c>
      <c r="P147" s="31">
        <f>+O147*0.000691</f>
        <v>8209.08</v>
      </c>
      <c r="Q147" s="31">
        <f t="shared" si="86"/>
        <v>60000</v>
      </c>
    </row>
    <row r="148" spans="1:17" x14ac:dyDescent="0.2">
      <c r="A148" t="s">
        <v>1274</v>
      </c>
      <c r="B148" t="s">
        <v>1474</v>
      </c>
      <c r="C148" s="1672" t="s">
        <v>2157</v>
      </c>
      <c r="D148" s="1672" t="s">
        <v>2158</v>
      </c>
      <c r="E148" t="s">
        <v>1277</v>
      </c>
      <c r="G148" s="31">
        <v>2083300</v>
      </c>
      <c r="H148" s="31">
        <v>13743</v>
      </c>
      <c r="I148" s="31">
        <f t="shared" si="82"/>
        <v>13890</v>
      </c>
      <c r="J148" s="2176">
        <f t="shared" si="87"/>
        <v>6.5967455479287668E-3</v>
      </c>
      <c r="K148" s="31">
        <f t="shared" si="83"/>
        <v>1916620</v>
      </c>
      <c r="L148" s="31">
        <f>+K148*0.0057</f>
        <v>10924.734</v>
      </c>
      <c r="M148" s="31">
        <f t="shared" si="84"/>
        <v>13890</v>
      </c>
      <c r="O148" s="31">
        <f t="shared" si="85"/>
        <v>1763830</v>
      </c>
      <c r="P148" s="31">
        <f>+O148*0.000697</f>
        <v>1229.38951</v>
      </c>
      <c r="Q148" s="31">
        <f t="shared" si="86"/>
        <v>13890</v>
      </c>
    </row>
    <row r="149" spans="1:17" x14ac:dyDescent="0.2">
      <c r="A149" s="1675" t="s">
        <v>1531</v>
      </c>
      <c r="B149" s="1675"/>
      <c r="C149" s="1676" t="s">
        <v>2159</v>
      </c>
      <c r="D149" s="1676" t="s">
        <v>2160</v>
      </c>
      <c r="G149" s="1671">
        <f t="shared" ref="G149:I149" si="88">SUM(G144:G148)</f>
        <v>126137552</v>
      </c>
      <c r="H149" s="1671">
        <f t="shared" si="88"/>
        <v>376927</v>
      </c>
      <c r="I149" s="1671">
        <f t="shared" si="88"/>
        <v>1975562</v>
      </c>
      <c r="K149" s="1671">
        <f t="shared" ref="K149:M149" si="89">SUM(K144:K148)</f>
        <v>102430808</v>
      </c>
      <c r="L149" s="1671">
        <f t="shared" si="89"/>
        <v>251870.7239324</v>
      </c>
      <c r="M149" s="1671">
        <f t="shared" si="89"/>
        <v>1975562</v>
      </c>
      <c r="O149" s="1671">
        <f t="shared" ref="O149:Q149" si="90">SUM(O144:O148)</f>
        <v>89790547</v>
      </c>
      <c r="P149" s="1671">
        <f t="shared" si="90"/>
        <v>84714.14394699999</v>
      </c>
      <c r="Q149" s="1671">
        <f t="shared" si="90"/>
        <v>1066471</v>
      </c>
    </row>
    <row r="150" spans="1:17" x14ac:dyDescent="0.2">
      <c r="A150" t="s">
        <v>1264</v>
      </c>
      <c r="B150" t="s">
        <v>808</v>
      </c>
      <c r="C150" s="1672" t="s">
        <v>2161</v>
      </c>
      <c r="D150" s="1672" t="s">
        <v>2162</v>
      </c>
      <c r="E150" t="s">
        <v>1367</v>
      </c>
      <c r="G150" s="31">
        <f>+G144-I144</f>
        <v>10909081</v>
      </c>
      <c r="H150" s="31">
        <v>80498</v>
      </c>
      <c r="I150" s="31">
        <f>+G144-G150</f>
        <v>909091</v>
      </c>
      <c r="K150" s="1671"/>
      <c r="L150" s="1671"/>
      <c r="M150" s="1671"/>
      <c r="O150" s="1671"/>
      <c r="P150" s="1671"/>
      <c r="Q150" s="1671"/>
    </row>
    <row r="151" spans="1:17" x14ac:dyDescent="0.2">
      <c r="A151" t="s">
        <v>1267</v>
      </c>
      <c r="B151" t="s">
        <v>1471</v>
      </c>
      <c r="C151" s="1672" t="s">
        <v>2163</v>
      </c>
      <c r="D151" s="1672" t="s">
        <v>2164</v>
      </c>
      <c r="E151" t="s">
        <v>1370</v>
      </c>
      <c r="G151" s="31">
        <f t="shared" ref="G151:G154" si="91">+G145-I145</f>
        <v>72511819</v>
      </c>
      <c r="H151" s="31">
        <v>56527</v>
      </c>
      <c r="I151" s="31">
        <f t="shared" ref="I151:I154" si="92">+G145-G151</f>
        <v>426541</v>
      </c>
      <c r="K151" s="1671"/>
      <c r="L151" s="1671"/>
      <c r="M151" s="1671"/>
      <c r="O151" s="1671"/>
      <c r="P151" s="1671"/>
      <c r="Q151" s="1671"/>
    </row>
    <row r="152" spans="1:17" x14ac:dyDescent="0.2">
      <c r="A152" t="s">
        <v>1393</v>
      </c>
      <c r="B152" t="s">
        <v>1472</v>
      </c>
      <c r="C152" s="1672" t="s">
        <v>2153</v>
      </c>
      <c r="D152" s="1672" t="s">
        <v>815</v>
      </c>
      <c r="E152" t="s">
        <v>1263</v>
      </c>
      <c r="G152" s="31">
        <v>26037720</v>
      </c>
      <c r="H152" s="31">
        <v>0</v>
      </c>
      <c r="I152" s="31">
        <f t="shared" si="92"/>
        <v>0</v>
      </c>
      <c r="K152" s="1671"/>
      <c r="L152" s="1671"/>
      <c r="M152" s="1671"/>
      <c r="O152" s="1671"/>
      <c r="P152" s="1671"/>
      <c r="Q152" s="1671"/>
    </row>
    <row r="153" spans="1:17" x14ac:dyDescent="0.2">
      <c r="A153" t="s">
        <v>1270</v>
      </c>
      <c r="B153" t="s">
        <v>1473</v>
      </c>
      <c r="C153" s="1672" t="s">
        <v>2165</v>
      </c>
      <c r="D153" s="1672" t="s">
        <v>2166</v>
      </c>
      <c r="E153" t="s">
        <v>1273</v>
      </c>
      <c r="G153" s="31">
        <f t="shared" si="91"/>
        <v>13200000</v>
      </c>
      <c r="H153" s="31">
        <v>86893</v>
      </c>
      <c r="I153" s="31">
        <f t="shared" si="92"/>
        <v>60000</v>
      </c>
      <c r="K153" s="1671"/>
      <c r="L153" s="1671"/>
      <c r="M153" s="1671"/>
      <c r="O153" s="1671"/>
      <c r="P153" s="1671"/>
      <c r="Q153" s="1671"/>
    </row>
    <row r="154" spans="1:17" x14ac:dyDescent="0.2">
      <c r="A154" t="s">
        <v>1274</v>
      </c>
      <c r="B154" t="s">
        <v>1474</v>
      </c>
      <c r="C154" s="1672" t="s">
        <v>2167</v>
      </c>
      <c r="D154" s="1672" t="s">
        <v>2168</v>
      </c>
      <c r="E154" t="s">
        <v>1277</v>
      </c>
      <c r="G154" s="31">
        <f t="shared" si="91"/>
        <v>2069410</v>
      </c>
      <c r="H154" s="31">
        <v>13651</v>
      </c>
      <c r="I154" s="31">
        <f t="shared" si="92"/>
        <v>13890</v>
      </c>
      <c r="K154" s="1671"/>
      <c r="L154" s="1671"/>
      <c r="M154" s="1671"/>
      <c r="O154" s="1671"/>
      <c r="P154" s="1671"/>
      <c r="Q154" s="1671"/>
    </row>
    <row r="155" spans="1:17" x14ac:dyDescent="0.2">
      <c r="A155" s="1673" t="s">
        <v>2095</v>
      </c>
      <c r="B155" s="1673"/>
      <c r="C155" s="1674" t="s">
        <v>2169</v>
      </c>
      <c r="D155" s="1674" t="s">
        <v>2170</v>
      </c>
      <c r="G155" s="1671">
        <f t="shared" ref="G155:I155" si="93">SUM(G150:G154)</f>
        <v>124728030</v>
      </c>
      <c r="H155" s="1671">
        <f t="shared" si="93"/>
        <v>237569</v>
      </c>
      <c r="I155" s="1671">
        <f t="shared" si="93"/>
        <v>1409522</v>
      </c>
      <c r="K155" s="1671"/>
      <c r="L155" s="1671"/>
      <c r="M155" s="1671"/>
      <c r="O155" s="1671"/>
      <c r="P155" s="1671"/>
      <c r="Q155" s="1671"/>
    </row>
    <row r="156" spans="1:17" x14ac:dyDescent="0.2">
      <c r="A156" t="s">
        <v>1264</v>
      </c>
      <c r="B156" t="s">
        <v>808</v>
      </c>
      <c r="C156" s="1672" t="s">
        <v>2197</v>
      </c>
      <c r="D156" s="1672" t="s">
        <v>2198</v>
      </c>
      <c r="E156" t="s">
        <v>1367</v>
      </c>
      <c r="G156" s="31">
        <f>+G150-I150</f>
        <v>9999990</v>
      </c>
      <c r="H156" s="31">
        <v>67115</v>
      </c>
      <c r="I156" s="31">
        <f>+G150-G156</f>
        <v>909091</v>
      </c>
      <c r="K156" s="1671"/>
      <c r="L156" s="1671"/>
      <c r="M156" s="1671"/>
      <c r="O156" s="1671"/>
      <c r="P156" s="1671"/>
      <c r="Q156" s="1671"/>
    </row>
    <row r="157" spans="1:17" x14ac:dyDescent="0.2">
      <c r="A157" t="s">
        <v>1267</v>
      </c>
      <c r="B157" t="s">
        <v>1471</v>
      </c>
      <c r="C157" s="1672" t="s">
        <v>2199</v>
      </c>
      <c r="D157" s="1672" t="s">
        <v>2200</v>
      </c>
      <c r="E157" t="s">
        <v>1370</v>
      </c>
      <c r="G157" s="31">
        <f t="shared" ref="G157:G160" si="94">+G151-I151</f>
        <v>72085278</v>
      </c>
      <c r="H157" s="31">
        <v>50758</v>
      </c>
      <c r="I157" s="31">
        <f>+G151-G157</f>
        <v>426541</v>
      </c>
      <c r="K157" s="1671"/>
      <c r="L157" s="1671"/>
      <c r="M157" s="1671"/>
      <c r="O157" s="1671"/>
      <c r="P157" s="1671"/>
      <c r="Q157" s="1671"/>
    </row>
    <row r="158" spans="1:17" x14ac:dyDescent="0.2">
      <c r="A158" t="s">
        <v>1393</v>
      </c>
      <c r="B158" t="s">
        <v>1472</v>
      </c>
      <c r="C158" s="1672" t="s">
        <v>2153</v>
      </c>
      <c r="D158" s="1672" t="s">
        <v>815</v>
      </c>
      <c r="E158" t="s">
        <v>1263</v>
      </c>
      <c r="G158" s="31">
        <f>+G152-I152</f>
        <v>26037720</v>
      </c>
      <c r="H158" s="31">
        <v>0</v>
      </c>
      <c r="I158" s="31">
        <f t="shared" ref="I158:I160" si="95">+G152-G158</f>
        <v>0</v>
      </c>
      <c r="K158" s="1671"/>
      <c r="L158" s="1671"/>
      <c r="M158" s="1671"/>
      <c r="O158" s="1671"/>
      <c r="P158" s="1671"/>
      <c r="Q158" s="1671"/>
    </row>
    <row r="159" spans="1:17" x14ac:dyDescent="0.2">
      <c r="A159" t="s">
        <v>1270</v>
      </c>
      <c r="B159" t="s">
        <v>1473</v>
      </c>
      <c r="C159" s="1672" t="s">
        <v>2201</v>
      </c>
      <c r="D159" s="1672" t="s">
        <v>2202</v>
      </c>
      <c r="E159" t="s">
        <v>1273</v>
      </c>
      <c r="G159" s="31">
        <f t="shared" si="94"/>
        <v>13140000</v>
      </c>
      <c r="H159" s="31">
        <v>78129</v>
      </c>
      <c r="I159" s="31">
        <f t="shared" si="95"/>
        <v>60000</v>
      </c>
      <c r="K159" s="1671"/>
      <c r="L159" s="1671"/>
      <c r="M159" s="1671"/>
      <c r="O159" s="1671"/>
      <c r="P159" s="1671"/>
      <c r="Q159" s="1671"/>
    </row>
    <row r="160" spans="1:17" x14ac:dyDescent="0.2">
      <c r="A160" t="s">
        <v>1274</v>
      </c>
      <c r="B160" t="s">
        <v>1474</v>
      </c>
      <c r="C160" s="1672" t="s">
        <v>2203</v>
      </c>
      <c r="D160" s="1672" t="s">
        <v>2204</v>
      </c>
      <c r="E160" t="s">
        <v>1277</v>
      </c>
      <c r="G160" s="31">
        <f t="shared" si="94"/>
        <v>2055520</v>
      </c>
      <c r="H160" s="31">
        <v>12248</v>
      </c>
      <c r="I160" s="31">
        <f t="shared" si="95"/>
        <v>13890</v>
      </c>
      <c r="K160" s="1671"/>
      <c r="L160" s="1671"/>
      <c r="M160" s="1671"/>
      <c r="O160" s="1671"/>
      <c r="P160" s="1671"/>
      <c r="Q160" s="1671"/>
    </row>
    <row r="161" spans="1:33" x14ac:dyDescent="0.2">
      <c r="A161" s="1673" t="s">
        <v>2096</v>
      </c>
      <c r="B161" s="1673"/>
      <c r="C161" s="1674" t="s">
        <v>2205</v>
      </c>
      <c r="D161" s="1674" t="s">
        <v>2206</v>
      </c>
      <c r="G161" s="1671">
        <f t="shared" ref="G161:I161" si="96">SUM(G156:G160)</f>
        <v>123318508</v>
      </c>
      <c r="H161" s="1671">
        <f t="shared" si="96"/>
        <v>208250</v>
      </c>
      <c r="I161" s="1671">
        <f t="shared" si="96"/>
        <v>1409522</v>
      </c>
      <c r="K161" s="1671"/>
      <c r="L161" s="1671"/>
      <c r="M161" s="1671"/>
      <c r="O161" s="1671"/>
      <c r="P161" s="1671"/>
      <c r="Q161" s="1671"/>
    </row>
    <row r="162" spans="1:33" x14ac:dyDescent="0.2">
      <c r="A162" t="s">
        <v>1264</v>
      </c>
      <c r="B162" t="s">
        <v>808</v>
      </c>
      <c r="C162" s="1672" t="s">
        <v>2218</v>
      </c>
      <c r="D162" s="1672" t="s">
        <v>2219</v>
      </c>
      <c r="E162" t="s">
        <v>1367</v>
      </c>
      <c r="G162" s="31">
        <f>+G156-I156</f>
        <v>9090899</v>
      </c>
      <c r="H162" s="31">
        <v>68113</v>
      </c>
      <c r="I162" s="31">
        <f t="shared" ref="I162:I178" si="97">+G156-G162</f>
        <v>909091</v>
      </c>
      <c r="K162" s="1671"/>
      <c r="L162" s="1671"/>
      <c r="M162" s="1671"/>
      <c r="O162" s="1671"/>
      <c r="P162" s="1671"/>
      <c r="Q162" s="1671"/>
      <c r="AG162" s="2560" t="s">
        <v>2230</v>
      </c>
    </row>
    <row r="163" spans="1:33" x14ac:dyDescent="0.2">
      <c r="A163" t="s">
        <v>1267</v>
      </c>
      <c r="B163" t="s">
        <v>1471</v>
      </c>
      <c r="C163" s="1672" t="s">
        <v>2220</v>
      </c>
      <c r="D163" s="1672" t="s">
        <v>2221</v>
      </c>
      <c r="E163" t="s">
        <v>1370</v>
      </c>
      <c r="G163" s="31">
        <f t="shared" ref="G163:G166" si="98">+G157-I157</f>
        <v>71658737</v>
      </c>
      <c r="H163" s="31">
        <v>55866</v>
      </c>
      <c r="I163" s="31">
        <f t="shared" si="97"/>
        <v>426541</v>
      </c>
      <c r="K163" s="1671"/>
      <c r="L163" s="1671"/>
      <c r="M163" s="1671"/>
      <c r="O163" s="1671"/>
      <c r="P163" s="1671"/>
      <c r="Q163" s="1671"/>
      <c r="AG163" s="2560" t="s">
        <v>2231</v>
      </c>
    </row>
    <row r="164" spans="1:33" x14ac:dyDescent="0.2">
      <c r="A164" t="s">
        <v>1393</v>
      </c>
      <c r="B164" t="s">
        <v>1472</v>
      </c>
      <c r="C164" s="1672" t="s">
        <v>2222</v>
      </c>
      <c r="D164" s="1672" t="s">
        <v>2223</v>
      </c>
      <c r="E164" t="s">
        <v>1263</v>
      </c>
      <c r="G164" s="31">
        <v>25474680</v>
      </c>
      <c r="H164" s="31">
        <v>126933</v>
      </c>
      <c r="I164" s="31">
        <f>+G158-G164</f>
        <v>563040</v>
      </c>
      <c r="K164" s="1671"/>
      <c r="L164" s="1671"/>
      <c r="M164" s="1671"/>
      <c r="O164" s="1671"/>
      <c r="P164" s="1671"/>
      <c r="Q164" s="1671"/>
    </row>
    <row r="165" spans="1:33" x14ac:dyDescent="0.2">
      <c r="A165" t="s">
        <v>1270</v>
      </c>
      <c r="B165" t="s">
        <v>1473</v>
      </c>
      <c r="C165" s="1672" t="s">
        <v>2224</v>
      </c>
      <c r="D165" s="1672" t="s">
        <v>2225</v>
      </c>
      <c r="E165" t="s">
        <v>1273</v>
      </c>
      <c r="G165" s="31">
        <f t="shared" si="98"/>
        <v>13080000</v>
      </c>
      <c r="H165" s="31">
        <v>86107</v>
      </c>
      <c r="I165" s="31">
        <f t="shared" si="97"/>
        <v>60000</v>
      </c>
      <c r="K165" s="1671"/>
      <c r="L165" s="1671"/>
      <c r="M165" s="1671"/>
      <c r="O165" s="1671"/>
      <c r="P165" s="1671"/>
      <c r="Q165" s="1671"/>
    </row>
    <row r="166" spans="1:33" x14ac:dyDescent="0.2">
      <c r="A166" t="s">
        <v>1274</v>
      </c>
      <c r="B166" t="s">
        <v>1474</v>
      </c>
      <c r="C166" s="1672" t="s">
        <v>2226</v>
      </c>
      <c r="D166" s="1672" t="s">
        <v>2227</v>
      </c>
      <c r="E166" t="s">
        <v>1277</v>
      </c>
      <c r="G166" s="31">
        <f t="shared" si="98"/>
        <v>2041630</v>
      </c>
      <c r="H166" s="31">
        <v>13469</v>
      </c>
      <c r="I166" s="31">
        <f t="shared" si="97"/>
        <v>13890</v>
      </c>
      <c r="K166" s="1671"/>
      <c r="L166" s="1671"/>
      <c r="M166" s="1671"/>
      <c r="O166" s="1671"/>
      <c r="P166" s="1671"/>
      <c r="Q166" s="1671"/>
    </row>
    <row r="167" spans="1:33" x14ac:dyDescent="0.2">
      <c r="A167" s="1673" t="s">
        <v>2207</v>
      </c>
      <c r="B167" s="1673"/>
      <c r="C167" s="1674" t="s">
        <v>2228</v>
      </c>
      <c r="D167" s="1674" t="s">
        <v>2229</v>
      </c>
      <c r="G167" s="1671">
        <f>SUM(G162:G166)</f>
        <v>121345946</v>
      </c>
      <c r="H167" s="1671">
        <f t="shared" ref="H167:AF167" si="99">SUM(H162:H166)</f>
        <v>350488</v>
      </c>
      <c r="I167" s="1671">
        <f t="shared" si="99"/>
        <v>1972562</v>
      </c>
      <c r="J167" s="1671">
        <f t="shared" si="99"/>
        <v>0</v>
      </c>
      <c r="K167" s="1671">
        <f t="shared" si="99"/>
        <v>0</v>
      </c>
      <c r="L167" s="1671">
        <f t="shared" si="99"/>
        <v>0</v>
      </c>
      <c r="M167" s="1671">
        <f t="shared" si="99"/>
        <v>0</v>
      </c>
      <c r="N167" s="1671">
        <f t="shared" si="99"/>
        <v>0</v>
      </c>
      <c r="O167" s="1671">
        <f t="shared" si="99"/>
        <v>0</v>
      </c>
      <c r="P167" s="1671">
        <f t="shared" si="99"/>
        <v>0</v>
      </c>
      <c r="Q167" s="1671">
        <f t="shared" si="99"/>
        <v>0</v>
      </c>
      <c r="R167" s="1671">
        <f t="shared" si="99"/>
        <v>0</v>
      </c>
      <c r="S167" s="1671">
        <f t="shared" si="99"/>
        <v>0</v>
      </c>
      <c r="T167" s="1671">
        <f t="shared" si="99"/>
        <v>0</v>
      </c>
      <c r="U167" s="1671">
        <f t="shared" si="99"/>
        <v>0</v>
      </c>
      <c r="V167" s="1671">
        <f t="shared" si="99"/>
        <v>0</v>
      </c>
      <c r="W167" s="1671">
        <f t="shared" si="99"/>
        <v>0</v>
      </c>
      <c r="X167" s="1671">
        <f t="shared" si="99"/>
        <v>0</v>
      </c>
      <c r="Y167" s="1671">
        <f t="shared" si="99"/>
        <v>0</v>
      </c>
      <c r="Z167" s="1671">
        <f t="shared" si="99"/>
        <v>0</v>
      </c>
      <c r="AA167" s="1671">
        <f t="shared" si="99"/>
        <v>0</v>
      </c>
      <c r="AB167" s="1671">
        <f t="shared" si="99"/>
        <v>0</v>
      </c>
      <c r="AC167" s="1671">
        <f t="shared" si="99"/>
        <v>0</v>
      </c>
      <c r="AD167" s="1671">
        <f t="shared" si="99"/>
        <v>0</v>
      </c>
      <c r="AE167" s="1671">
        <f t="shared" si="99"/>
        <v>0</v>
      </c>
      <c r="AF167" s="1671">
        <f t="shared" si="99"/>
        <v>0</v>
      </c>
    </row>
    <row r="168" spans="1:33" x14ac:dyDescent="0.2">
      <c r="A168" t="s">
        <v>1264</v>
      </c>
      <c r="B168" t="s">
        <v>808</v>
      </c>
      <c r="C168" s="1672" t="s">
        <v>2250</v>
      </c>
      <c r="D168" s="1672" t="s">
        <v>2251</v>
      </c>
      <c r="G168" s="31">
        <v>8181808</v>
      </c>
      <c r="H168" s="31">
        <v>59924</v>
      </c>
      <c r="I168" s="31">
        <f t="shared" si="97"/>
        <v>909091</v>
      </c>
      <c r="K168" s="1671"/>
      <c r="L168" s="1671"/>
      <c r="M168" s="1671"/>
      <c r="O168" s="1671"/>
      <c r="P168" s="1671"/>
      <c r="Q168" s="1671"/>
    </row>
    <row r="169" spans="1:33" x14ac:dyDescent="0.2">
      <c r="A169" t="s">
        <v>1267</v>
      </c>
      <c r="B169" t="s">
        <v>1471</v>
      </c>
      <c r="C169" s="1672" t="s">
        <v>2252</v>
      </c>
      <c r="D169" s="1672" t="s">
        <v>2253</v>
      </c>
      <c r="G169" s="31">
        <v>71232196</v>
      </c>
      <c r="H169" s="31">
        <v>53744</v>
      </c>
      <c r="I169" s="31">
        <f t="shared" si="97"/>
        <v>426541</v>
      </c>
      <c r="K169" s="1671"/>
      <c r="L169" s="1671"/>
      <c r="M169" s="1671"/>
      <c r="O169" s="1671"/>
      <c r="P169" s="1671"/>
      <c r="Q169" s="1671"/>
    </row>
    <row r="170" spans="1:33" x14ac:dyDescent="0.2">
      <c r="A170" t="s">
        <v>1393</v>
      </c>
      <c r="B170" t="s">
        <v>1472</v>
      </c>
      <c r="C170" s="1672" t="s">
        <v>2222</v>
      </c>
      <c r="D170" s="1672" t="s">
        <v>815</v>
      </c>
      <c r="G170" s="31">
        <v>25471680</v>
      </c>
      <c r="H170" s="31">
        <v>0</v>
      </c>
      <c r="I170" s="31">
        <f>+G164-G170</f>
        <v>3000</v>
      </c>
      <c r="K170" s="1671"/>
      <c r="L170" s="1671"/>
      <c r="M170" s="1671"/>
      <c r="O170" s="1671"/>
      <c r="P170" s="1671"/>
      <c r="Q170" s="1671"/>
    </row>
    <row r="171" spans="1:33" x14ac:dyDescent="0.2">
      <c r="A171" t="s">
        <v>1270</v>
      </c>
      <c r="B171" t="s">
        <v>1473</v>
      </c>
      <c r="C171" s="1672" t="s">
        <v>2254</v>
      </c>
      <c r="D171" s="1672" t="s">
        <v>2255</v>
      </c>
      <c r="G171" s="31">
        <v>13020000</v>
      </c>
      <c r="H171" s="31">
        <v>82949</v>
      </c>
      <c r="I171" s="31">
        <f t="shared" si="97"/>
        <v>60000</v>
      </c>
      <c r="K171" s="1671"/>
      <c r="L171" s="1671"/>
      <c r="M171" s="1671"/>
      <c r="O171" s="1671"/>
      <c r="P171" s="1671"/>
      <c r="Q171" s="1671"/>
    </row>
    <row r="172" spans="1:33" x14ac:dyDescent="0.2">
      <c r="A172" t="s">
        <v>1274</v>
      </c>
      <c r="B172" t="s">
        <v>1474</v>
      </c>
      <c r="C172" s="1672" t="s">
        <v>2256</v>
      </c>
      <c r="D172" s="1672" t="s">
        <v>2257</v>
      </c>
      <c r="G172" s="31">
        <v>2027740</v>
      </c>
      <c r="H172" s="31">
        <v>12947</v>
      </c>
      <c r="I172" s="31">
        <f t="shared" si="97"/>
        <v>13890</v>
      </c>
      <c r="K172" s="1671"/>
      <c r="L172" s="1671"/>
      <c r="M172" s="1671"/>
      <c r="O172" s="1671"/>
      <c r="P172" s="1671"/>
      <c r="Q172" s="1671"/>
    </row>
    <row r="173" spans="1:33" x14ac:dyDescent="0.2">
      <c r="A173" s="1673" t="s">
        <v>2258</v>
      </c>
      <c r="B173" s="1673"/>
      <c r="C173" s="1674" t="s">
        <v>2259</v>
      </c>
      <c r="D173" s="1674" t="s">
        <v>2260</v>
      </c>
      <c r="G173" s="1671">
        <f>SUM(G168:G172)</f>
        <v>119933424</v>
      </c>
      <c r="H173" s="1671">
        <f t="shared" ref="H173:I173" si="100">SUM(H168:H172)</f>
        <v>209564</v>
      </c>
      <c r="I173" s="1671">
        <f t="shared" si="100"/>
        <v>1412522</v>
      </c>
      <c r="K173" s="1671"/>
      <c r="L173" s="1671"/>
      <c r="M173" s="1671"/>
      <c r="O173" s="1671"/>
      <c r="P173" s="1671"/>
      <c r="Q173" s="1671"/>
    </row>
    <row r="174" spans="1:33" x14ac:dyDescent="0.2">
      <c r="A174" t="s">
        <v>1264</v>
      </c>
      <c r="B174" t="s">
        <v>808</v>
      </c>
      <c r="C174" s="1672" t="s">
        <v>2261</v>
      </c>
      <c r="D174" s="1672" t="s">
        <v>2262</v>
      </c>
      <c r="G174" s="31">
        <v>7272717</v>
      </c>
      <c r="H174" s="31">
        <v>55729</v>
      </c>
      <c r="I174" s="31">
        <f t="shared" si="97"/>
        <v>909091</v>
      </c>
      <c r="K174" s="1671"/>
      <c r="L174" s="1671"/>
      <c r="M174" s="1671"/>
      <c r="O174" s="1671"/>
      <c r="P174" s="1671"/>
      <c r="Q174" s="1671"/>
    </row>
    <row r="175" spans="1:33" x14ac:dyDescent="0.2">
      <c r="A175" t="s">
        <v>1267</v>
      </c>
      <c r="B175" t="s">
        <v>1471</v>
      </c>
      <c r="C175" s="1672" t="s">
        <v>2263</v>
      </c>
      <c r="D175" s="1672" t="s">
        <v>2264</v>
      </c>
      <c r="G175" s="31">
        <v>70805655</v>
      </c>
      <c r="H175" s="31">
        <v>55204</v>
      </c>
      <c r="I175" s="31">
        <f t="shared" si="97"/>
        <v>426541</v>
      </c>
      <c r="K175" s="1671"/>
      <c r="L175" s="1671"/>
      <c r="M175" s="1671"/>
      <c r="O175" s="1671"/>
      <c r="P175" s="1671"/>
      <c r="Q175" s="1671"/>
    </row>
    <row r="176" spans="1:33" x14ac:dyDescent="0.2">
      <c r="A176" t="s">
        <v>1393</v>
      </c>
      <c r="B176" t="s">
        <v>1472</v>
      </c>
      <c r="C176" s="1672" t="s">
        <v>2222</v>
      </c>
      <c r="D176" s="1672" t="s">
        <v>815</v>
      </c>
      <c r="G176" s="31">
        <v>25471680</v>
      </c>
      <c r="H176" s="31">
        <v>0</v>
      </c>
      <c r="I176" s="31">
        <f>+G170-G176</f>
        <v>0</v>
      </c>
      <c r="K176" s="1671"/>
      <c r="L176" s="1671"/>
      <c r="M176" s="1671"/>
      <c r="O176" s="1671"/>
      <c r="P176" s="1671"/>
      <c r="Q176" s="1671"/>
    </row>
    <row r="177" spans="1:32" x14ac:dyDescent="0.2">
      <c r="A177" t="s">
        <v>1270</v>
      </c>
      <c r="B177" t="s">
        <v>1473</v>
      </c>
      <c r="C177" s="1672" t="s">
        <v>2265</v>
      </c>
      <c r="D177" s="1672" t="s">
        <v>2266</v>
      </c>
      <c r="G177" s="31">
        <v>12960000</v>
      </c>
      <c r="H177" s="31">
        <v>85320</v>
      </c>
      <c r="I177" s="31">
        <f t="shared" si="97"/>
        <v>60000</v>
      </c>
      <c r="K177" s="1671"/>
      <c r="L177" s="1671"/>
      <c r="M177" s="1671"/>
      <c r="O177" s="1671"/>
      <c r="P177" s="1671"/>
      <c r="Q177" s="1671"/>
    </row>
    <row r="178" spans="1:32" x14ac:dyDescent="0.2">
      <c r="A178" t="s">
        <v>1274</v>
      </c>
      <c r="B178" t="s">
        <v>1474</v>
      </c>
      <c r="C178" s="1672" t="s">
        <v>2267</v>
      </c>
      <c r="D178" s="1672" t="s">
        <v>2268</v>
      </c>
      <c r="G178" s="31">
        <v>2013850</v>
      </c>
      <c r="H178" s="31">
        <v>13287</v>
      </c>
      <c r="I178" s="31">
        <f t="shared" si="97"/>
        <v>13890</v>
      </c>
      <c r="K178" s="1671"/>
      <c r="L178" s="1671"/>
      <c r="M178" s="1671"/>
      <c r="O178" s="1671"/>
      <c r="P178" s="1671"/>
      <c r="Q178" s="1671"/>
    </row>
    <row r="179" spans="1:32" x14ac:dyDescent="0.2">
      <c r="A179" s="1673" t="s">
        <v>2269</v>
      </c>
      <c r="B179" s="1673"/>
      <c r="C179" s="1674" t="s">
        <v>2270</v>
      </c>
      <c r="D179" s="1674" t="s">
        <v>2271</v>
      </c>
      <c r="G179" s="1671">
        <f>SUM(G174:G178)</f>
        <v>118523902</v>
      </c>
      <c r="H179" s="1671">
        <f t="shared" ref="H179:AF179" si="101">SUM(H174:H178)</f>
        <v>209540</v>
      </c>
      <c r="I179" s="1671">
        <f t="shared" si="101"/>
        <v>1409522</v>
      </c>
      <c r="J179" s="1671">
        <f t="shared" si="101"/>
        <v>0</v>
      </c>
      <c r="K179" s="1671">
        <f t="shared" si="101"/>
        <v>0</v>
      </c>
      <c r="L179" s="1671">
        <f t="shared" si="101"/>
        <v>0</v>
      </c>
      <c r="M179" s="1671">
        <f t="shared" si="101"/>
        <v>0</v>
      </c>
      <c r="N179" s="1671">
        <f t="shared" si="101"/>
        <v>0</v>
      </c>
      <c r="O179" s="1671">
        <f t="shared" si="101"/>
        <v>0</v>
      </c>
      <c r="P179" s="1671">
        <f t="shared" si="101"/>
        <v>0</v>
      </c>
      <c r="Q179" s="1671">
        <f t="shared" si="101"/>
        <v>0</v>
      </c>
      <c r="R179" s="1671">
        <f t="shared" si="101"/>
        <v>0</v>
      </c>
      <c r="S179" s="1671">
        <f t="shared" si="101"/>
        <v>0</v>
      </c>
      <c r="T179" s="1671">
        <f t="shared" si="101"/>
        <v>0</v>
      </c>
      <c r="U179" s="1671">
        <f t="shared" si="101"/>
        <v>0</v>
      </c>
      <c r="V179" s="1671">
        <f t="shared" si="101"/>
        <v>0</v>
      </c>
      <c r="W179" s="1671">
        <f t="shared" si="101"/>
        <v>0</v>
      </c>
      <c r="X179" s="1671">
        <f t="shared" si="101"/>
        <v>0</v>
      </c>
      <c r="Y179" s="1671">
        <f t="shared" si="101"/>
        <v>0</v>
      </c>
      <c r="Z179" s="1671">
        <f t="shared" si="101"/>
        <v>0</v>
      </c>
      <c r="AA179" s="1671">
        <f t="shared" si="101"/>
        <v>0</v>
      </c>
      <c r="AB179" s="1671">
        <f t="shared" si="101"/>
        <v>0</v>
      </c>
      <c r="AC179" s="1671">
        <f t="shared" si="101"/>
        <v>0</v>
      </c>
      <c r="AD179" s="1671">
        <f t="shared" si="101"/>
        <v>0</v>
      </c>
      <c r="AE179" s="1671">
        <f t="shared" si="101"/>
        <v>0</v>
      </c>
      <c r="AF179" s="1671">
        <f t="shared" si="101"/>
        <v>0</v>
      </c>
    </row>
    <row r="180" spans="1:32" x14ac:dyDescent="0.2">
      <c r="C180" s="1672"/>
      <c r="D180" s="1672"/>
      <c r="I180" s="31"/>
      <c r="K180" s="1671"/>
      <c r="L180" s="1671"/>
      <c r="M180" s="1671"/>
      <c r="O180" s="1671"/>
      <c r="P180" s="1671"/>
      <c r="Q180" s="1671"/>
    </row>
    <row r="181" spans="1:32" x14ac:dyDescent="0.2">
      <c r="C181" s="1672"/>
      <c r="D181" s="1672"/>
      <c r="I181" s="31"/>
      <c r="K181" s="1671"/>
      <c r="L181" s="1671"/>
      <c r="M181" s="1671"/>
      <c r="O181" s="1671"/>
      <c r="P181" s="1671"/>
      <c r="Q181" s="1671"/>
    </row>
    <row r="182" spans="1:32" x14ac:dyDescent="0.2">
      <c r="C182" s="1672"/>
      <c r="D182" s="1672"/>
      <c r="I182" s="31"/>
      <c r="K182" s="1671"/>
      <c r="L182" s="1671"/>
      <c r="M182" s="1671"/>
      <c r="O182" s="1671"/>
      <c r="P182" s="1671"/>
      <c r="Q182" s="1671"/>
    </row>
    <row r="183" spans="1:32" x14ac:dyDescent="0.2">
      <c r="C183" s="1672"/>
      <c r="D183" s="1672"/>
      <c r="I183" s="31"/>
      <c r="K183" s="1671"/>
      <c r="L183" s="1671"/>
      <c r="M183" s="1671"/>
      <c r="O183" s="1671"/>
      <c r="P183" s="1671"/>
      <c r="Q183" s="1671"/>
    </row>
    <row r="184" spans="1:32" x14ac:dyDescent="0.2">
      <c r="C184" s="1672"/>
      <c r="D184" s="1672"/>
      <c r="I184" s="31"/>
      <c r="K184" s="1671"/>
      <c r="L184" s="1671"/>
      <c r="M184" s="1671"/>
      <c r="O184" s="1671"/>
      <c r="P184" s="1671"/>
      <c r="Q184" s="1671"/>
    </row>
    <row r="185" spans="1:32" x14ac:dyDescent="0.2">
      <c r="A185" s="1673"/>
      <c r="B185" s="1673"/>
      <c r="C185" s="1674"/>
      <c r="D185" s="1674"/>
      <c r="G185" s="1671"/>
      <c r="H185" s="1671"/>
      <c r="I185" s="1671"/>
      <c r="K185" s="1671"/>
      <c r="L185" s="1671"/>
      <c r="M185" s="1671"/>
      <c r="O185" s="1671"/>
      <c r="P185" s="1671"/>
      <c r="Q185" s="1671"/>
    </row>
    <row r="186" spans="1:32" x14ac:dyDescent="0.2">
      <c r="C186" s="1672"/>
      <c r="D186" s="1672"/>
      <c r="I186" s="31"/>
      <c r="K186" s="1671"/>
      <c r="L186" s="1671"/>
      <c r="M186" s="1671"/>
      <c r="O186" s="1671"/>
      <c r="P186" s="1671"/>
      <c r="Q186" s="1671"/>
    </row>
    <row r="187" spans="1:32" x14ac:dyDescent="0.2">
      <c r="C187" s="1672"/>
      <c r="D187" s="1672"/>
      <c r="I187" s="31"/>
      <c r="K187" s="1671"/>
      <c r="L187" s="1671"/>
      <c r="M187" s="1671"/>
      <c r="O187" s="1671"/>
      <c r="P187" s="1671"/>
      <c r="Q187" s="1671"/>
    </row>
    <row r="188" spans="1:32" x14ac:dyDescent="0.2">
      <c r="C188" s="1672"/>
      <c r="D188" s="1672"/>
      <c r="I188" s="31"/>
      <c r="K188" s="1671"/>
      <c r="L188" s="1671"/>
      <c r="M188" s="1671"/>
      <c r="O188" s="1671"/>
      <c r="P188" s="1671"/>
      <c r="Q188" s="1671"/>
    </row>
    <row r="189" spans="1:32" x14ac:dyDescent="0.2">
      <c r="C189" s="1672"/>
      <c r="D189" s="1672"/>
      <c r="I189" s="31"/>
      <c r="K189" s="1671"/>
      <c r="L189" s="1671"/>
      <c r="M189" s="1671"/>
      <c r="O189" s="1671"/>
      <c r="P189" s="1671"/>
      <c r="Q189" s="1671"/>
    </row>
    <row r="190" spans="1:32" x14ac:dyDescent="0.2">
      <c r="C190" s="1672"/>
      <c r="D190" s="1672"/>
      <c r="I190" s="31"/>
      <c r="K190" s="1671"/>
      <c r="L190" s="1671"/>
      <c r="M190" s="1671"/>
      <c r="O190" s="1671"/>
      <c r="P190" s="1671"/>
      <c r="Q190" s="1671"/>
    </row>
    <row r="191" spans="1:32" x14ac:dyDescent="0.2">
      <c r="A191" s="1673"/>
      <c r="B191" s="1673"/>
      <c r="C191" s="1674"/>
      <c r="D191" s="1674"/>
      <c r="G191" s="1671"/>
      <c r="H191" s="1671"/>
      <c r="I191" s="1671"/>
      <c r="K191" s="1671"/>
      <c r="L191" s="1671"/>
      <c r="M191" s="1671"/>
      <c r="O191" s="1671"/>
      <c r="P191" s="1671"/>
      <c r="Q191" s="1671"/>
    </row>
    <row r="192" spans="1:32" x14ac:dyDescent="0.2">
      <c r="C192" s="1672"/>
      <c r="D192" s="1672"/>
      <c r="I192" s="31"/>
      <c r="K192" s="1671"/>
      <c r="L192" s="1671"/>
      <c r="M192" s="1671"/>
      <c r="O192" s="1671"/>
      <c r="P192" s="1671"/>
      <c r="Q192" s="1671"/>
    </row>
    <row r="193" spans="1:17" x14ac:dyDescent="0.2">
      <c r="C193" s="1672"/>
      <c r="D193" s="1672"/>
      <c r="I193" s="31"/>
      <c r="K193" s="1671"/>
      <c r="L193" s="1671"/>
      <c r="M193" s="1671"/>
      <c r="O193" s="1671"/>
      <c r="P193" s="1671"/>
      <c r="Q193" s="1671"/>
    </row>
    <row r="194" spans="1:17" x14ac:dyDescent="0.2">
      <c r="C194" s="1672"/>
      <c r="D194" s="1672"/>
      <c r="I194" s="31"/>
      <c r="K194" s="1671"/>
      <c r="L194" s="1671"/>
      <c r="M194" s="1671"/>
      <c r="O194" s="1671"/>
      <c r="P194" s="1671"/>
      <c r="Q194" s="1671"/>
    </row>
    <row r="195" spans="1:17" x14ac:dyDescent="0.2">
      <c r="C195" s="1672"/>
      <c r="D195" s="1672"/>
      <c r="I195" s="31"/>
      <c r="K195" s="1671"/>
      <c r="L195" s="1671"/>
      <c r="M195" s="1671"/>
      <c r="O195" s="1671"/>
      <c r="P195" s="1671"/>
      <c r="Q195" s="1671"/>
    </row>
    <row r="196" spans="1:17" x14ac:dyDescent="0.2">
      <c r="C196" s="1672"/>
      <c r="D196" s="1672"/>
      <c r="I196" s="31"/>
      <c r="K196" s="1671"/>
      <c r="L196" s="1671"/>
      <c r="M196" s="1671"/>
      <c r="O196" s="1671"/>
      <c r="P196" s="1671"/>
      <c r="Q196" s="1671"/>
    </row>
    <row r="197" spans="1:17" x14ac:dyDescent="0.2">
      <c r="A197" s="1673"/>
      <c r="B197" s="1673"/>
      <c r="C197" s="1674"/>
      <c r="D197" s="1674"/>
      <c r="G197" s="1671"/>
      <c r="H197" s="1671"/>
      <c r="I197" s="1671"/>
      <c r="K197" s="1671"/>
      <c r="L197" s="1671"/>
      <c r="M197" s="1671"/>
      <c r="O197" s="1671"/>
      <c r="P197" s="1671"/>
      <c r="Q197" s="1671"/>
    </row>
    <row r="198" spans="1:17" x14ac:dyDescent="0.2">
      <c r="C198" s="1672"/>
      <c r="D198" s="1672"/>
      <c r="I198" s="31"/>
      <c r="K198" s="1671"/>
      <c r="L198" s="1671"/>
      <c r="M198" s="1671"/>
      <c r="O198" s="1671"/>
      <c r="P198" s="1671"/>
      <c r="Q198" s="1671"/>
    </row>
    <row r="199" spans="1:17" x14ac:dyDescent="0.2">
      <c r="C199" s="1672"/>
      <c r="D199" s="1672"/>
      <c r="I199" s="31"/>
      <c r="K199" s="1671"/>
      <c r="L199" s="1671"/>
      <c r="M199" s="1671"/>
      <c r="O199" s="1671"/>
      <c r="P199" s="1671"/>
      <c r="Q199" s="1671"/>
    </row>
    <row r="200" spans="1:17" x14ac:dyDescent="0.2">
      <c r="C200" s="1672"/>
      <c r="D200" s="1672"/>
      <c r="I200" s="31"/>
      <c r="K200" s="1671"/>
      <c r="L200" s="1671"/>
      <c r="M200" s="1671"/>
      <c r="O200" s="1671"/>
      <c r="P200" s="1671"/>
      <c r="Q200" s="1671"/>
    </row>
    <row r="201" spans="1:17" x14ac:dyDescent="0.2">
      <c r="C201" s="1672"/>
      <c r="D201" s="1672"/>
      <c r="I201" s="31"/>
      <c r="K201" s="1671"/>
      <c r="L201" s="1671"/>
      <c r="M201" s="1671"/>
      <c r="O201" s="1671"/>
      <c r="P201" s="1671"/>
      <c r="Q201" s="1671"/>
    </row>
    <row r="202" spans="1:17" x14ac:dyDescent="0.2">
      <c r="C202" s="1672"/>
      <c r="D202" s="1672"/>
      <c r="I202" s="31"/>
      <c r="K202" s="1671"/>
      <c r="L202" s="1671"/>
      <c r="M202" s="1671"/>
      <c r="O202" s="1671"/>
      <c r="P202" s="1671"/>
      <c r="Q202" s="1671"/>
    </row>
    <row r="203" spans="1:17" x14ac:dyDescent="0.2">
      <c r="A203" s="1673"/>
      <c r="B203" s="1673"/>
      <c r="C203" s="1674"/>
      <c r="D203" s="1674"/>
      <c r="G203" s="1671"/>
      <c r="H203" s="1671"/>
      <c r="I203" s="1671"/>
      <c r="K203" s="1671"/>
      <c r="L203" s="1671"/>
      <c r="M203" s="1671"/>
      <c r="O203" s="1671"/>
      <c r="P203" s="1671"/>
      <c r="Q203" s="1671"/>
    </row>
    <row r="204" spans="1:17" x14ac:dyDescent="0.2">
      <c r="C204" s="1672"/>
      <c r="D204" s="1672"/>
      <c r="I204" s="31"/>
      <c r="K204" s="1671"/>
      <c r="L204" s="1671"/>
      <c r="M204" s="1671"/>
      <c r="O204" s="1671"/>
      <c r="P204" s="1671"/>
      <c r="Q204" s="1671"/>
    </row>
    <row r="205" spans="1:17" x14ac:dyDescent="0.2">
      <c r="C205" s="1672"/>
      <c r="D205" s="1672"/>
      <c r="I205" s="31"/>
      <c r="K205" s="1671"/>
      <c r="L205" s="1671"/>
      <c r="M205" s="1671"/>
      <c r="O205" s="1671"/>
      <c r="P205" s="1671"/>
      <c r="Q205" s="1671"/>
    </row>
    <row r="206" spans="1:17" x14ac:dyDescent="0.2">
      <c r="C206" s="1672"/>
      <c r="D206" s="1672"/>
      <c r="I206" s="31"/>
      <c r="K206" s="1671"/>
      <c r="L206" s="1671"/>
      <c r="M206" s="1671"/>
      <c r="O206" s="1671"/>
      <c r="P206" s="1671"/>
      <c r="Q206" s="1671"/>
    </row>
    <row r="207" spans="1:17" x14ac:dyDescent="0.2">
      <c r="C207" s="1672"/>
      <c r="D207" s="1672"/>
      <c r="I207" s="31"/>
      <c r="K207" s="1671"/>
      <c r="L207" s="1671"/>
      <c r="M207" s="1671"/>
      <c r="O207" s="1671"/>
      <c r="P207" s="1671"/>
      <c r="Q207" s="1671"/>
    </row>
    <row r="208" spans="1:17" x14ac:dyDescent="0.2">
      <c r="C208" s="1672"/>
      <c r="D208" s="1672"/>
      <c r="I208" s="31"/>
      <c r="K208" s="1671"/>
      <c r="L208" s="1671"/>
      <c r="M208" s="1671"/>
      <c r="O208" s="1671"/>
      <c r="P208" s="1671"/>
      <c r="Q208" s="1671"/>
    </row>
    <row r="209" spans="1:17" x14ac:dyDescent="0.2">
      <c r="A209" s="1673"/>
      <c r="B209" s="1673"/>
      <c r="C209" s="1674"/>
      <c r="D209" s="1674"/>
      <c r="G209" s="1671"/>
      <c r="H209" s="1671"/>
      <c r="I209" s="1671"/>
      <c r="K209" s="1671"/>
      <c r="L209" s="1671"/>
      <c r="M209" s="1671"/>
      <c r="O209" s="1671"/>
      <c r="P209" s="1671"/>
      <c r="Q209" s="1671"/>
    </row>
    <row r="210" spans="1:17" x14ac:dyDescent="0.2">
      <c r="C210" s="1672"/>
      <c r="D210" s="1672"/>
      <c r="I210" s="31"/>
      <c r="K210" s="1671"/>
      <c r="L210" s="1671"/>
      <c r="M210" s="1671"/>
      <c r="O210" s="1671"/>
      <c r="P210" s="1671"/>
      <c r="Q210" s="1671"/>
    </row>
    <row r="211" spans="1:17" x14ac:dyDescent="0.2">
      <c r="C211" s="1672"/>
      <c r="D211" s="1672"/>
      <c r="I211" s="31"/>
      <c r="K211" s="1671"/>
      <c r="L211" s="1671"/>
      <c r="M211" s="1671"/>
      <c r="O211" s="1671"/>
      <c r="P211" s="1671"/>
      <c r="Q211" s="1671"/>
    </row>
    <row r="212" spans="1:17" x14ac:dyDescent="0.2">
      <c r="C212" s="1672"/>
      <c r="D212" s="1672"/>
      <c r="I212" s="31"/>
      <c r="K212" s="1671"/>
      <c r="L212" s="1671"/>
      <c r="M212" s="1671"/>
      <c r="O212" s="1671"/>
      <c r="P212" s="1671"/>
      <c r="Q212" s="1671"/>
    </row>
    <row r="213" spans="1:17" x14ac:dyDescent="0.2">
      <c r="C213" s="1672"/>
      <c r="D213" s="1672"/>
      <c r="I213" s="31"/>
      <c r="K213" s="1671"/>
      <c r="L213" s="1671"/>
      <c r="M213" s="1671"/>
      <c r="O213" s="1671"/>
      <c r="P213" s="1671"/>
      <c r="Q213" s="1671"/>
    </row>
    <row r="214" spans="1:17" x14ac:dyDescent="0.2">
      <c r="C214" s="1672"/>
      <c r="D214" s="1672"/>
      <c r="I214" s="31"/>
      <c r="K214" s="1671"/>
      <c r="L214" s="1671"/>
      <c r="M214" s="1671"/>
      <c r="O214" s="1671"/>
      <c r="P214" s="1671"/>
      <c r="Q214" s="1671"/>
    </row>
    <row r="215" spans="1:17" x14ac:dyDescent="0.2">
      <c r="A215" s="1673"/>
      <c r="B215" s="1673"/>
      <c r="C215" s="1674"/>
      <c r="D215" s="1674"/>
      <c r="G215" s="1671"/>
      <c r="H215" s="1671"/>
      <c r="I215" s="1671"/>
      <c r="K215" s="1671"/>
      <c r="L215" s="1671"/>
      <c r="M215" s="1671"/>
      <c r="O215" s="1671"/>
      <c r="P215" s="1671"/>
      <c r="Q215" s="1671"/>
    </row>
    <row r="216" spans="1:17" x14ac:dyDescent="0.2">
      <c r="C216" s="1672"/>
      <c r="D216" s="1672"/>
      <c r="I216" s="31"/>
      <c r="K216" s="1671"/>
      <c r="L216" s="1671"/>
      <c r="M216" s="1671"/>
      <c r="O216" s="1671"/>
      <c r="P216" s="1671"/>
      <c r="Q216" s="1671"/>
    </row>
    <row r="217" spans="1:17" x14ac:dyDescent="0.2">
      <c r="C217" s="1672"/>
      <c r="D217" s="1672"/>
      <c r="I217" s="31"/>
      <c r="K217" s="1671"/>
      <c r="L217" s="1671"/>
      <c r="M217" s="1671"/>
      <c r="O217" s="1671"/>
      <c r="P217" s="1671"/>
      <c r="Q217" s="1671"/>
    </row>
    <row r="218" spans="1:17" x14ac:dyDescent="0.2">
      <c r="C218" s="1672"/>
      <c r="D218" s="1672"/>
      <c r="I218" s="31"/>
      <c r="K218" s="1671"/>
      <c r="L218" s="1671"/>
      <c r="M218" s="1671"/>
      <c r="O218" s="1671"/>
      <c r="P218" s="1671"/>
      <c r="Q218" s="1671"/>
    </row>
    <row r="219" spans="1:17" x14ac:dyDescent="0.2">
      <c r="C219" s="1672"/>
      <c r="D219" s="1672"/>
      <c r="I219" s="31"/>
      <c r="K219" s="1671"/>
      <c r="L219" s="1671"/>
      <c r="M219" s="1671"/>
      <c r="O219" s="1671"/>
      <c r="P219" s="1671"/>
      <c r="Q219" s="1671"/>
    </row>
    <row r="220" spans="1:17" x14ac:dyDescent="0.2">
      <c r="C220" s="1672"/>
      <c r="D220" s="1672"/>
      <c r="I220" s="31"/>
      <c r="K220" s="1671"/>
      <c r="L220" s="1671"/>
      <c r="M220" s="1671"/>
      <c r="O220" s="1671"/>
      <c r="P220" s="1671"/>
      <c r="Q220" s="1671"/>
    </row>
    <row r="221" spans="1:17" x14ac:dyDescent="0.2">
      <c r="A221" s="1673"/>
      <c r="B221" s="1673"/>
      <c r="C221" s="1674"/>
      <c r="D221" s="1674"/>
      <c r="G221" s="1671"/>
      <c r="H221" s="1671"/>
      <c r="I221" s="1671"/>
      <c r="K221" s="1671"/>
      <c r="L221" s="1671"/>
      <c r="M221" s="1671"/>
      <c r="O221" s="1671"/>
      <c r="P221" s="1671"/>
      <c r="Q221" s="1671"/>
    </row>
    <row r="222" spans="1:17" x14ac:dyDescent="0.2">
      <c r="C222" s="1672"/>
      <c r="D222" s="1672"/>
      <c r="I222" s="31"/>
      <c r="K222" s="1671"/>
      <c r="L222" s="1671"/>
      <c r="M222" s="1671"/>
      <c r="O222" s="1671"/>
      <c r="P222" s="1671"/>
      <c r="Q222" s="1671"/>
    </row>
    <row r="223" spans="1:17" x14ac:dyDescent="0.2">
      <c r="C223" s="1672"/>
      <c r="D223" s="1672"/>
      <c r="I223" s="31"/>
      <c r="K223" s="1671"/>
      <c r="L223" s="1671"/>
      <c r="M223" s="1671"/>
      <c r="O223" s="1671"/>
      <c r="P223" s="1671"/>
      <c r="Q223" s="1671"/>
    </row>
    <row r="224" spans="1:17" x14ac:dyDescent="0.2">
      <c r="C224" s="1672"/>
      <c r="D224" s="1672"/>
      <c r="I224" s="31"/>
      <c r="K224" s="1671"/>
      <c r="L224" s="1671"/>
      <c r="M224" s="1671"/>
      <c r="O224" s="1671"/>
      <c r="P224" s="1671"/>
      <c r="Q224" s="1671"/>
    </row>
    <row r="225" spans="1:17" x14ac:dyDescent="0.2">
      <c r="C225" s="1672"/>
      <c r="D225" s="1672"/>
      <c r="I225" s="31"/>
      <c r="K225" s="1671"/>
      <c r="L225" s="1671"/>
      <c r="M225" s="1671"/>
      <c r="O225" s="1671"/>
      <c r="P225" s="1671"/>
      <c r="Q225" s="1671"/>
    </row>
    <row r="226" spans="1:17" x14ac:dyDescent="0.2">
      <c r="C226" s="1672"/>
      <c r="D226" s="1672"/>
      <c r="I226" s="31"/>
      <c r="K226" s="1671"/>
      <c r="L226" s="1671"/>
      <c r="M226" s="1671"/>
      <c r="O226" s="1671"/>
      <c r="P226" s="1671"/>
      <c r="Q226" s="1671"/>
    </row>
    <row r="227" spans="1:17" x14ac:dyDescent="0.2">
      <c r="A227" s="1673"/>
      <c r="B227" s="1673"/>
      <c r="C227" s="1674"/>
      <c r="D227" s="1674"/>
      <c r="G227" s="1671"/>
      <c r="H227" s="1671"/>
      <c r="I227" s="1671"/>
      <c r="K227" s="1671"/>
      <c r="L227" s="1671"/>
      <c r="M227" s="1671"/>
      <c r="O227" s="1671"/>
      <c r="P227" s="1671"/>
      <c r="Q227" s="1671"/>
    </row>
    <row r="228" spans="1:17" x14ac:dyDescent="0.2">
      <c r="C228" s="1672"/>
      <c r="D228" s="1672"/>
      <c r="I228" s="31"/>
      <c r="K228" s="1671"/>
      <c r="L228" s="1671"/>
      <c r="M228" s="1671"/>
      <c r="O228" s="1671"/>
      <c r="P228" s="1671"/>
      <c r="Q228" s="1671"/>
    </row>
    <row r="229" spans="1:17" x14ac:dyDescent="0.2">
      <c r="C229" s="1672"/>
      <c r="D229" s="1672"/>
      <c r="I229" s="31"/>
      <c r="K229" s="1671"/>
      <c r="L229" s="1671"/>
      <c r="M229" s="1671"/>
      <c r="O229" s="1671"/>
      <c r="P229" s="1671"/>
      <c r="Q229" s="1671"/>
    </row>
    <row r="230" spans="1:17" x14ac:dyDescent="0.2">
      <c r="C230" s="1672"/>
      <c r="D230" s="1672"/>
      <c r="I230" s="31"/>
      <c r="K230" s="1671"/>
      <c r="L230" s="1671"/>
      <c r="M230" s="1671"/>
      <c r="O230" s="1671"/>
      <c r="P230" s="1671"/>
      <c r="Q230" s="1671"/>
    </row>
    <row r="231" spans="1:17" x14ac:dyDescent="0.2">
      <c r="C231" s="1672"/>
      <c r="D231" s="1672"/>
      <c r="I231" s="31"/>
      <c r="K231" s="1671"/>
      <c r="L231" s="1671"/>
      <c r="M231" s="1671"/>
      <c r="O231" s="1671"/>
      <c r="P231" s="1671"/>
      <c r="Q231" s="1671"/>
    </row>
    <row r="232" spans="1:17" x14ac:dyDescent="0.2">
      <c r="C232" s="1672"/>
      <c r="D232" s="1672"/>
      <c r="I232" s="31"/>
      <c r="K232" s="1671"/>
      <c r="L232" s="1671"/>
      <c r="M232" s="1671"/>
      <c r="O232" s="1671"/>
      <c r="P232" s="1671"/>
      <c r="Q232" s="1671"/>
    </row>
    <row r="233" spans="1:17" x14ac:dyDescent="0.2">
      <c r="A233" s="1673"/>
      <c r="B233" s="1673"/>
      <c r="C233" s="1674"/>
      <c r="D233" s="1674"/>
      <c r="G233" s="1671"/>
      <c r="H233" s="1671"/>
      <c r="I233" s="1671"/>
      <c r="K233" s="1671"/>
      <c r="L233" s="1671"/>
      <c r="M233" s="1671"/>
      <c r="O233" s="1671"/>
      <c r="P233" s="1671"/>
      <c r="Q233" s="1671"/>
    </row>
    <row r="234" spans="1:17" x14ac:dyDescent="0.2">
      <c r="C234" s="1672"/>
      <c r="D234" s="1672"/>
      <c r="I234" s="31"/>
      <c r="K234" s="1671"/>
      <c r="L234" s="1671"/>
      <c r="M234" s="1671"/>
      <c r="O234" s="1671"/>
      <c r="P234" s="1671"/>
      <c r="Q234" s="1671"/>
    </row>
    <row r="235" spans="1:17" x14ac:dyDescent="0.2">
      <c r="C235" s="1672"/>
      <c r="D235" s="1672"/>
      <c r="I235" s="31"/>
      <c r="K235" s="1671"/>
      <c r="L235" s="1671"/>
      <c r="M235" s="1671"/>
      <c r="O235" s="1671"/>
      <c r="P235" s="1671"/>
      <c r="Q235" s="1671"/>
    </row>
    <row r="236" spans="1:17" x14ac:dyDescent="0.2">
      <c r="C236" s="1672"/>
      <c r="D236" s="1672"/>
      <c r="I236" s="31"/>
      <c r="K236" s="1671"/>
      <c r="L236" s="1671"/>
      <c r="M236" s="1671"/>
      <c r="O236" s="1671"/>
      <c r="P236" s="1671"/>
      <c r="Q236" s="1671"/>
    </row>
    <row r="237" spans="1:17" x14ac:dyDescent="0.2">
      <c r="C237" s="1672"/>
      <c r="D237" s="1672"/>
      <c r="I237" s="31"/>
      <c r="K237" s="1671"/>
      <c r="L237" s="1671"/>
      <c r="M237" s="1671"/>
      <c r="O237" s="1671"/>
      <c r="P237" s="1671"/>
      <c r="Q237" s="1671"/>
    </row>
    <row r="238" spans="1:17" x14ac:dyDescent="0.2">
      <c r="C238" s="1672"/>
      <c r="D238" s="1672"/>
      <c r="I238" s="31"/>
      <c r="K238" s="1671"/>
      <c r="L238" s="1671"/>
      <c r="M238" s="1671"/>
      <c r="O238" s="1671"/>
      <c r="P238" s="1671"/>
      <c r="Q238" s="1671"/>
    </row>
    <row r="239" spans="1:17" x14ac:dyDescent="0.2">
      <c r="A239" s="1673"/>
      <c r="B239" s="1673"/>
      <c r="C239" s="1674"/>
      <c r="D239" s="1674"/>
      <c r="G239" s="1671"/>
      <c r="H239" s="1671"/>
      <c r="I239" s="1671"/>
      <c r="K239" s="1671"/>
      <c r="L239" s="1671"/>
      <c r="M239" s="1671"/>
      <c r="O239" s="1671"/>
      <c r="P239" s="1671"/>
      <c r="Q239" s="1671"/>
    </row>
    <row r="240" spans="1:17" x14ac:dyDescent="0.2">
      <c r="C240" s="1672"/>
      <c r="D240" s="1672"/>
      <c r="I240" s="31"/>
      <c r="K240" s="1671"/>
      <c r="L240" s="1671"/>
      <c r="M240" s="1671"/>
      <c r="O240" s="1671"/>
      <c r="P240" s="1671"/>
      <c r="Q240" s="1671"/>
    </row>
    <row r="241" spans="1:17" x14ac:dyDescent="0.2">
      <c r="C241" s="1672"/>
      <c r="D241" s="1672"/>
      <c r="I241" s="31"/>
      <c r="K241" s="1671"/>
      <c r="L241" s="1671"/>
      <c r="M241" s="1671"/>
      <c r="O241" s="1671"/>
      <c r="P241" s="1671"/>
      <c r="Q241" s="1671"/>
    </row>
    <row r="242" spans="1:17" x14ac:dyDescent="0.2">
      <c r="C242" s="1672"/>
      <c r="D242" s="1672"/>
      <c r="I242" s="31"/>
      <c r="K242" s="1671"/>
      <c r="L242" s="1671"/>
      <c r="M242" s="1671"/>
      <c r="O242" s="1671"/>
      <c r="P242" s="1671"/>
      <c r="Q242" s="1671"/>
    </row>
    <row r="243" spans="1:17" x14ac:dyDescent="0.2">
      <c r="C243" s="1672"/>
      <c r="D243" s="1672"/>
      <c r="I243" s="31"/>
      <c r="K243" s="1671"/>
      <c r="L243" s="1671"/>
      <c r="M243" s="1671"/>
      <c r="O243" s="1671"/>
      <c r="P243" s="1671"/>
      <c r="Q243" s="1671"/>
    </row>
    <row r="244" spans="1:17" x14ac:dyDescent="0.2">
      <c r="C244" s="1672"/>
      <c r="D244" s="1672"/>
      <c r="I244" s="31"/>
      <c r="K244" s="1671"/>
      <c r="L244" s="1671"/>
      <c r="M244" s="1671"/>
      <c r="O244" s="1671"/>
      <c r="P244" s="1671"/>
      <c r="Q244" s="1671"/>
    </row>
    <row r="245" spans="1:17" x14ac:dyDescent="0.2">
      <c r="A245" s="1673"/>
      <c r="B245" s="1673"/>
      <c r="C245" s="1674"/>
      <c r="D245" s="1674"/>
      <c r="G245" s="1671"/>
      <c r="H245" s="1671"/>
      <c r="I245" s="1671"/>
      <c r="K245" s="1671"/>
      <c r="L245" s="1671"/>
      <c r="M245" s="1671"/>
      <c r="O245" s="1671"/>
      <c r="P245" s="1671"/>
      <c r="Q245" s="1671"/>
    </row>
    <row r="246" spans="1:17" x14ac:dyDescent="0.2">
      <c r="C246" s="1672"/>
      <c r="D246" s="1672"/>
      <c r="I246" s="31"/>
      <c r="K246" s="1671"/>
      <c r="L246" s="1671"/>
      <c r="M246" s="1671"/>
      <c r="O246" s="1671"/>
      <c r="P246" s="1671"/>
      <c r="Q246" s="1671"/>
    </row>
    <row r="247" spans="1:17" x14ac:dyDescent="0.2">
      <c r="C247" s="1672"/>
      <c r="D247" s="1672"/>
      <c r="I247" s="31"/>
      <c r="K247" s="1671"/>
      <c r="L247" s="1671"/>
      <c r="M247" s="1671"/>
      <c r="O247" s="1671"/>
      <c r="P247" s="1671"/>
      <c r="Q247" s="1671"/>
    </row>
    <row r="248" spans="1:17" x14ac:dyDescent="0.2">
      <c r="C248" s="1672"/>
      <c r="D248" s="1672"/>
      <c r="I248" s="31"/>
      <c r="K248" s="1671"/>
      <c r="L248" s="1671"/>
      <c r="M248" s="1671"/>
      <c r="O248" s="1671"/>
      <c r="P248" s="1671"/>
      <c r="Q248" s="1671"/>
    </row>
    <row r="249" spans="1:17" x14ac:dyDescent="0.2">
      <c r="C249" s="1672"/>
      <c r="D249" s="1672"/>
      <c r="I249" s="31"/>
      <c r="K249" s="1671"/>
      <c r="L249" s="1671"/>
      <c r="M249" s="1671"/>
      <c r="O249" s="1671"/>
      <c r="P249" s="1671"/>
      <c r="Q249" s="1671"/>
    </row>
    <row r="250" spans="1:17" x14ac:dyDescent="0.2">
      <c r="C250" s="1672"/>
      <c r="D250" s="1672"/>
      <c r="I250" s="31"/>
      <c r="K250" s="1671"/>
      <c r="L250" s="1671"/>
      <c r="M250" s="1671"/>
      <c r="O250" s="1671"/>
      <c r="P250" s="1671"/>
      <c r="Q250" s="1671"/>
    </row>
    <row r="251" spans="1:17" x14ac:dyDescent="0.2">
      <c r="A251" s="1673"/>
      <c r="B251" s="1673"/>
      <c r="C251" s="1674"/>
      <c r="D251" s="1674"/>
      <c r="G251" s="1671"/>
      <c r="H251" s="1671"/>
      <c r="I251" s="1671"/>
      <c r="K251" s="1671"/>
      <c r="L251" s="1671"/>
      <c r="M251" s="1671"/>
      <c r="O251" s="1671"/>
      <c r="P251" s="1671"/>
      <c r="Q251" s="1671"/>
    </row>
    <row r="252" spans="1:17" x14ac:dyDescent="0.2">
      <c r="C252" s="1672"/>
      <c r="D252" s="1672"/>
      <c r="I252" s="31"/>
      <c r="K252" s="1671"/>
      <c r="L252" s="1671"/>
      <c r="M252" s="1671"/>
      <c r="O252" s="1671"/>
      <c r="P252" s="1671"/>
      <c r="Q252" s="1671"/>
    </row>
    <row r="253" spans="1:17" x14ac:dyDescent="0.2">
      <c r="C253" s="1672"/>
      <c r="D253" s="1672"/>
      <c r="I253" s="31"/>
      <c r="K253" s="1671"/>
      <c r="L253" s="1671"/>
      <c r="M253" s="1671"/>
      <c r="O253" s="1671"/>
      <c r="P253" s="1671"/>
      <c r="Q253" s="1671"/>
    </row>
    <row r="254" spans="1:17" x14ac:dyDescent="0.2">
      <c r="C254" s="1672"/>
      <c r="D254" s="1672"/>
      <c r="I254" s="31"/>
      <c r="K254" s="1671"/>
      <c r="L254" s="1671"/>
      <c r="M254" s="1671"/>
      <c r="O254" s="1671"/>
      <c r="P254" s="1671"/>
      <c r="Q254" s="1671"/>
    </row>
    <row r="255" spans="1:17" x14ac:dyDescent="0.2">
      <c r="C255" s="1672"/>
      <c r="D255" s="1672"/>
      <c r="I255" s="31"/>
      <c r="K255" s="1671"/>
      <c r="L255" s="1671"/>
      <c r="M255" s="1671"/>
      <c r="O255" s="1671"/>
      <c r="P255" s="1671"/>
      <c r="Q255" s="1671"/>
    </row>
    <row r="256" spans="1:17" x14ac:dyDescent="0.2">
      <c r="C256" s="1672"/>
      <c r="D256" s="1672"/>
      <c r="I256" s="31"/>
      <c r="K256" s="1671"/>
      <c r="L256" s="1671"/>
      <c r="M256" s="1671"/>
      <c r="O256" s="1671"/>
      <c r="P256" s="1671"/>
      <c r="Q256" s="1671"/>
    </row>
    <row r="257" spans="1:17" x14ac:dyDescent="0.2">
      <c r="A257" s="1673"/>
      <c r="B257" s="1673"/>
      <c r="C257" s="1674"/>
      <c r="D257" s="1674"/>
      <c r="G257" s="1671"/>
      <c r="H257" s="1671"/>
      <c r="I257" s="1671"/>
      <c r="K257" s="1671"/>
      <c r="L257" s="1671"/>
      <c r="M257" s="1671"/>
      <c r="O257" s="1671"/>
      <c r="P257" s="1671"/>
      <c r="Q257" s="1671"/>
    </row>
    <row r="258" spans="1:17" x14ac:dyDescent="0.2">
      <c r="C258" s="1672"/>
      <c r="D258" s="1672"/>
      <c r="I258" s="31"/>
      <c r="K258" s="1671"/>
      <c r="L258" s="1671"/>
      <c r="M258" s="1671"/>
      <c r="O258" s="1671"/>
      <c r="P258" s="1671"/>
      <c r="Q258" s="1671"/>
    </row>
    <row r="259" spans="1:17" x14ac:dyDescent="0.2">
      <c r="C259" s="1672"/>
      <c r="D259" s="1672"/>
      <c r="I259" s="31"/>
      <c r="K259" s="1671"/>
      <c r="L259" s="1671"/>
      <c r="M259" s="1671"/>
      <c r="O259" s="1671"/>
      <c r="P259" s="1671"/>
      <c r="Q259" s="1671"/>
    </row>
    <row r="260" spans="1:17" x14ac:dyDescent="0.2">
      <c r="C260" s="1672"/>
      <c r="D260" s="1672"/>
      <c r="I260" s="31"/>
      <c r="K260" s="1671"/>
      <c r="L260" s="1671"/>
      <c r="M260" s="1671"/>
      <c r="O260" s="1671"/>
      <c r="P260" s="1671"/>
      <c r="Q260" s="1671"/>
    </row>
    <row r="261" spans="1:17" x14ac:dyDescent="0.2">
      <c r="C261" s="1672"/>
      <c r="D261" s="1672"/>
      <c r="I261" s="31"/>
      <c r="K261" s="1671"/>
      <c r="L261" s="1671"/>
      <c r="M261" s="1671"/>
      <c r="O261" s="1671"/>
      <c r="P261" s="1671"/>
      <c r="Q261" s="1671"/>
    </row>
    <row r="262" spans="1:17" x14ac:dyDescent="0.2">
      <c r="C262" s="1672"/>
      <c r="D262" s="1672"/>
      <c r="I262" s="31"/>
      <c r="K262" s="1671"/>
      <c r="L262" s="1671"/>
      <c r="M262" s="1671"/>
      <c r="O262" s="1671"/>
      <c r="P262" s="1671"/>
      <c r="Q262" s="1671"/>
    </row>
    <row r="263" spans="1:17" x14ac:dyDescent="0.2">
      <c r="A263" s="1673"/>
      <c r="B263" s="1673"/>
      <c r="C263" s="1674"/>
      <c r="D263" s="1674"/>
      <c r="G263" s="1671"/>
      <c r="H263" s="1671"/>
      <c r="I263" s="1671"/>
      <c r="K263" s="1671"/>
      <c r="L263" s="1671"/>
      <c r="M263" s="1671"/>
      <c r="O263" s="1671"/>
      <c r="P263" s="1671"/>
      <c r="Q263" s="1671"/>
    </row>
    <row r="264" spans="1:17" x14ac:dyDescent="0.2">
      <c r="C264" s="1672"/>
      <c r="D264" s="1672"/>
      <c r="I264" s="31"/>
      <c r="K264" s="1671"/>
      <c r="L264" s="1671"/>
      <c r="M264" s="1671"/>
      <c r="O264" s="1671"/>
      <c r="P264" s="1671"/>
      <c r="Q264" s="1671"/>
    </row>
    <row r="265" spans="1:17" x14ac:dyDescent="0.2">
      <c r="C265" s="1672"/>
      <c r="D265" s="1672"/>
      <c r="I265" s="31"/>
      <c r="K265" s="1671"/>
      <c r="L265" s="1671"/>
      <c r="M265" s="1671"/>
      <c r="O265" s="1671"/>
      <c r="P265" s="1671"/>
      <c r="Q265" s="1671"/>
    </row>
    <row r="266" spans="1:17" x14ac:dyDescent="0.2">
      <c r="C266" s="1672"/>
      <c r="D266" s="1672"/>
      <c r="I266" s="31"/>
      <c r="K266" s="1671"/>
      <c r="L266" s="1671"/>
      <c r="M266" s="1671"/>
      <c r="O266" s="1671"/>
      <c r="P266" s="1671"/>
      <c r="Q266" s="1671"/>
    </row>
    <row r="267" spans="1:17" x14ac:dyDescent="0.2">
      <c r="C267" s="1672"/>
      <c r="D267" s="1672"/>
      <c r="I267" s="31"/>
      <c r="K267" s="1671"/>
      <c r="L267" s="1671"/>
      <c r="M267" s="1671"/>
      <c r="O267" s="1671"/>
      <c r="P267" s="1671"/>
      <c r="Q267" s="1671"/>
    </row>
    <row r="268" spans="1:17" x14ac:dyDescent="0.2">
      <c r="C268" s="1672"/>
      <c r="D268" s="1672"/>
      <c r="I268" s="31"/>
      <c r="K268" s="1671"/>
      <c r="L268" s="1671"/>
      <c r="M268" s="1671"/>
      <c r="O268" s="1671"/>
      <c r="P268" s="1671"/>
      <c r="Q268" s="1671"/>
    </row>
    <row r="269" spans="1:17" x14ac:dyDescent="0.2">
      <c r="A269" s="1673"/>
      <c r="B269" s="1673"/>
      <c r="C269" s="1674"/>
      <c r="D269" s="1674"/>
      <c r="G269" s="1671"/>
      <c r="H269" s="1671"/>
      <c r="I269" s="1671"/>
      <c r="K269" s="1671"/>
      <c r="L269" s="1671"/>
      <c r="M269" s="1671"/>
      <c r="O269" s="1671"/>
      <c r="P269" s="1671"/>
      <c r="Q269" s="1671"/>
    </row>
    <row r="270" spans="1:17" x14ac:dyDescent="0.2">
      <c r="C270" s="1672"/>
      <c r="D270" s="1672"/>
      <c r="I270" s="31"/>
      <c r="K270" s="1671"/>
      <c r="L270" s="1671"/>
      <c r="M270" s="1671"/>
      <c r="O270" s="1671"/>
      <c r="P270" s="1671"/>
      <c r="Q270" s="1671"/>
    </row>
    <row r="271" spans="1:17" x14ac:dyDescent="0.2">
      <c r="C271" s="1672"/>
      <c r="D271" s="1672"/>
      <c r="I271" s="31"/>
      <c r="K271" s="1671"/>
      <c r="L271" s="1671"/>
      <c r="M271" s="1671"/>
      <c r="O271" s="1671"/>
      <c r="P271" s="1671"/>
      <c r="Q271" s="1671"/>
    </row>
    <row r="272" spans="1:17" x14ac:dyDescent="0.2">
      <c r="C272" s="1672"/>
      <c r="D272" s="1672"/>
      <c r="I272" s="31"/>
      <c r="K272" s="1671"/>
      <c r="L272" s="1671"/>
      <c r="M272" s="1671"/>
      <c r="O272" s="1671"/>
      <c r="P272" s="1671"/>
      <c r="Q272" s="1671"/>
    </row>
    <row r="273" spans="1:17" x14ac:dyDescent="0.2">
      <c r="C273" s="1672"/>
      <c r="D273" s="1672"/>
      <c r="I273" s="31"/>
      <c r="K273" s="1671"/>
      <c r="L273" s="1671"/>
      <c r="M273" s="1671"/>
      <c r="O273" s="1671"/>
      <c r="P273" s="1671"/>
      <c r="Q273" s="1671"/>
    </row>
    <row r="274" spans="1:17" x14ac:dyDescent="0.2">
      <c r="C274" s="1672"/>
      <c r="D274" s="1672"/>
      <c r="I274" s="31"/>
      <c r="K274" s="1671"/>
      <c r="L274" s="1671"/>
      <c r="M274" s="1671"/>
      <c r="O274" s="1671"/>
      <c r="P274" s="1671"/>
      <c r="Q274" s="1671"/>
    </row>
    <row r="275" spans="1:17" x14ac:dyDescent="0.2">
      <c r="A275" s="1673"/>
      <c r="B275" s="1673"/>
      <c r="C275" s="1674"/>
      <c r="D275" s="1674"/>
      <c r="G275" s="1671"/>
      <c r="H275" s="1671"/>
      <c r="I275" s="1671"/>
      <c r="K275" s="1671"/>
      <c r="L275" s="1671"/>
      <c r="M275" s="1671"/>
      <c r="O275" s="1671"/>
      <c r="P275" s="1671"/>
      <c r="Q275" s="1671"/>
    </row>
    <row r="276" spans="1:17" x14ac:dyDescent="0.2">
      <c r="C276" s="1672"/>
      <c r="D276" s="1672"/>
      <c r="I276" s="31"/>
      <c r="K276" s="1671"/>
      <c r="L276" s="1671"/>
      <c r="M276" s="1671"/>
      <c r="O276" s="1671"/>
      <c r="P276" s="1671"/>
      <c r="Q276" s="1671"/>
    </row>
    <row r="277" spans="1:17" x14ac:dyDescent="0.2">
      <c r="C277" s="1672"/>
      <c r="D277" s="1672"/>
      <c r="I277" s="31"/>
      <c r="K277" s="1671"/>
      <c r="L277" s="1671"/>
      <c r="M277" s="1671"/>
      <c r="O277" s="1671"/>
      <c r="P277" s="1671"/>
      <c r="Q277" s="1671"/>
    </row>
    <row r="278" spans="1:17" x14ac:dyDescent="0.2">
      <c r="C278" s="1672"/>
      <c r="D278" s="1672"/>
      <c r="I278" s="31"/>
      <c r="K278" s="1671"/>
      <c r="L278" s="1671"/>
      <c r="M278" s="1671"/>
      <c r="O278" s="1671"/>
      <c r="P278" s="1671"/>
      <c r="Q278" s="1671"/>
    </row>
    <row r="279" spans="1:17" x14ac:dyDescent="0.2">
      <c r="C279" s="1672"/>
      <c r="D279" s="1672"/>
      <c r="I279" s="31"/>
      <c r="K279" s="1671"/>
      <c r="L279" s="1671"/>
      <c r="M279" s="1671"/>
      <c r="O279" s="1671"/>
      <c r="P279" s="1671"/>
      <c r="Q279" s="1671"/>
    </row>
    <row r="280" spans="1:17" x14ac:dyDescent="0.2">
      <c r="C280" s="1672"/>
      <c r="D280" s="1672"/>
      <c r="I280" s="31"/>
      <c r="K280" s="1671"/>
      <c r="L280" s="1671"/>
      <c r="M280" s="1671"/>
      <c r="O280" s="1671"/>
      <c r="P280" s="1671"/>
      <c r="Q280" s="1671"/>
    </row>
    <row r="281" spans="1:17" x14ac:dyDescent="0.2">
      <c r="A281" s="1673"/>
      <c r="B281" s="1673"/>
      <c r="C281" s="1674"/>
      <c r="D281" s="1674"/>
      <c r="G281" s="1671"/>
      <c r="H281" s="1671"/>
      <c r="I281" s="1671"/>
      <c r="K281" s="1671"/>
      <c r="L281" s="1671"/>
      <c r="M281" s="1671"/>
      <c r="O281" s="1671"/>
      <c r="P281" s="1671"/>
      <c r="Q281" s="1671"/>
    </row>
    <row r="282" spans="1:17" x14ac:dyDescent="0.2">
      <c r="C282" s="1672"/>
      <c r="D282" s="1672"/>
      <c r="I282" s="31"/>
      <c r="K282" s="1671"/>
      <c r="L282" s="1671"/>
      <c r="M282" s="1671"/>
      <c r="O282" s="1671"/>
      <c r="P282" s="1671"/>
      <c r="Q282" s="1671"/>
    </row>
    <row r="283" spans="1:17" x14ac:dyDescent="0.2">
      <c r="C283" s="1672"/>
      <c r="D283" s="1672"/>
      <c r="I283" s="31"/>
      <c r="K283" s="1671"/>
      <c r="L283" s="1671"/>
      <c r="M283" s="1671"/>
      <c r="O283" s="1671"/>
      <c r="P283" s="1671"/>
      <c r="Q283" s="1671"/>
    </row>
    <row r="284" spans="1:17" x14ac:dyDescent="0.2">
      <c r="C284" s="1672"/>
      <c r="D284" s="1672"/>
      <c r="I284" s="31"/>
      <c r="K284" s="1671"/>
      <c r="L284" s="1671"/>
      <c r="M284" s="1671"/>
      <c r="O284" s="1671"/>
      <c r="P284" s="1671"/>
      <c r="Q284" s="1671"/>
    </row>
    <row r="285" spans="1:17" x14ac:dyDescent="0.2">
      <c r="C285" s="1672"/>
      <c r="D285" s="1672"/>
      <c r="I285" s="31"/>
      <c r="K285" s="1671"/>
      <c r="L285" s="1671"/>
      <c r="M285" s="1671"/>
      <c r="O285" s="1671"/>
      <c r="P285" s="1671"/>
      <c r="Q285" s="1671"/>
    </row>
    <row r="286" spans="1:17" x14ac:dyDescent="0.2">
      <c r="C286" s="1672"/>
      <c r="D286" s="1672"/>
      <c r="I286" s="31"/>
      <c r="K286" s="1671"/>
      <c r="L286" s="1671"/>
      <c r="M286" s="1671"/>
      <c r="O286" s="1671"/>
      <c r="P286" s="1671"/>
      <c r="Q286" s="1671"/>
    </row>
    <row r="287" spans="1:17" x14ac:dyDescent="0.2">
      <c r="A287" s="1673"/>
      <c r="B287" s="1673"/>
      <c r="C287" s="1674"/>
      <c r="D287" s="1674"/>
      <c r="G287" s="1671"/>
      <c r="H287" s="1671"/>
      <c r="I287" s="1671"/>
      <c r="K287" s="1671"/>
      <c r="L287" s="1671"/>
      <c r="M287" s="1671"/>
      <c r="O287" s="1671"/>
      <c r="P287" s="1671"/>
      <c r="Q287" s="1671"/>
    </row>
    <row r="288" spans="1:17" x14ac:dyDescent="0.2">
      <c r="C288" s="1672"/>
      <c r="D288" s="1672"/>
      <c r="I288" s="31"/>
      <c r="K288" s="1671"/>
      <c r="L288" s="1671"/>
      <c r="M288" s="1671"/>
      <c r="O288" s="1671"/>
      <c r="P288" s="1671"/>
      <c r="Q288" s="1671"/>
    </row>
    <row r="289" spans="1:17" x14ac:dyDescent="0.2">
      <c r="C289" s="1672"/>
      <c r="D289" s="1672"/>
      <c r="I289" s="31"/>
      <c r="K289" s="1671"/>
      <c r="L289" s="1671"/>
      <c r="M289" s="1671"/>
      <c r="O289" s="1671"/>
      <c r="P289" s="1671"/>
      <c r="Q289" s="1671"/>
    </row>
    <row r="290" spans="1:17" x14ac:dyDescent="0.2">
      <c r="C290" s="1672"/>
      <c r="D290" s="1672"/>
      <c r="I290" s="31"/>
      <c r="K290" s="1671"/>
      <c r="L290" s="1671"/>
      <c r="M290" s="1671"/>
      <c r="O290" s="1671"/>
      <c r="P290" s="1671"/>
      <c r="Q290" s="1671"/>
    </row>
    <row r="291" spans="1:17" x14ac:dyDescent="0.2">
      <c r="C291" s="1672"/>
      <c r="D291" s="1672"/>
      <c r="I291" s="31"/>
      <c r="K291" s="1671"/>
      <c r="L291" s="1671"/>
      <c r="M291" s="1671"/>
      <c r="O291" s="1671"/>
      <c r="P291" s="1671"/>
      <c r="Q291" s="1671"/>
    </row>
    <row r="292" spans="1:17" x14ac:dyDescent="0.2">
      <c r="C292" s="1672"/>
      <c r="D292" s="1672"/>
      <c r="I292" s="31"/>
      <c r="K292" s="1671"/>
      <c r="L292" s="1671"/>
      <c r="M292" s="1671"/>
      <c r="O292" s="1671"/>
      <c r="P292" s="1671"/>
      <c r="Q292" s="1671"/>
    </row>
    <row r="293" spans="1:17" x14ac:dyDescent="0.2">
      <c r="A293" s="1673"/>
      <c r="B293" s="1673"/>
      <c r="C293" s="1674"/>
      <c r="D293" s="1674"/>
      <c r="G293" s="1671"/>
      <c r="H293" s="1671"/>
      <c r="I293" s="1671"/>
      <c r="K293" s="1671"/>
      <c r="L293" s="1671"/>
      <c r="M293" s="1671"/>
      <c r="O293" s="1671"/>
      <c r="P293" s="1671"/>
      <c r="Q293" s="1671"/>
    </row>
    <row r="294" spans="1:17" x14ac:dyDescent="0.2">
      <c r="C294" s="1672"/>
      <c r="D294" s="1672"/>
      <c r="I294" s="31"/>
      <c r="K294" s="1671"/>
      <c r="L294" s="1671"/>
      <c r="M294" s="1671"/>
      <c r="O294" s="1671"/>
      <c r="P294" s="1671"/>
      <c r="Q294" s="1671"/>
    </row>
    <row r="295" spans="1:17" x14ac:dyDescent="0.2">
      <c r="C295" s="1672"/>
      <c r="D295" s="1672"/>
      <c r="I295" s="31"/>
      <c r="K295" s="1671"/>
      <c r="L295" s="1671"/>
      <c r="M295" s="1671"/>
      <c r="O295" s="1671"/>
      <c r="P295" s="1671"/>
      <c r="Q295" s="1671"/>
    </row>
    <row r="296" spans="1:17" x14ac:dyDescent="0.2">
      <c r="C296" s="1672"/>
      <c r="D296" s="1672"/>
      <c r="I296" s="31"/>
      <c r="K296" s="1671"/>
      <c r="L296" s="1671"/>
      <c r="M296" s="1671"/>
      <c r="O296" s="1671"/>
      <c r="P296" s="1671"/>
      <c r="Q296" s="1671"/>
    </row>
    <row r="297" spans="1:17" x14ac:dyDescent="0.2">
      <c r="C297" s="1672"/>
      <c r="D297" s="1672"/>
      <c r="I297" s="31"/>
      <c r="K297" s="1671"/>
      <c r="L297" s="1671"/>
      <c r="M297" s="1671"/>
      <c r="O297" s="1671"/>
      <c r="P297" s="1671"/>
      <c r="Q297" s="1671"/>
    </row>
    <row r="298" spans="1:17" x14ac:dyDescent="0.2">
      <c r="C298" s="1672"/>
      <c r="D298" s="1672"/>
      <c r="I298" s="31"/>
      <c r="K298" s="1671"/>
      <c r="L298" s="1671"/>
      <c r="M298" s="1671"/>
      <c r="O298" s="1671"/>
      <c r="P298" s="1671"/>
      <c r="Q298" s="1671"/>
    </row>
    <row r="299" spans="1:17" x14ac:dyDescent="0.2">
      <c r="A299" s="1673"/>
      <c r="B299" s="1673"/>
      <c r="C299" s="1674"/>
      <c r="D299" s="1674"/>
      <c r="G299" s="1671"/>
      <c r="H299" s="1671"/>
      <c r="I299" s="1671"/>
      <c r="K299" s="1671"/>
      <c r="L299" s="1671"/>
      <c r="M299" s="1671"/>
      <c r="O299" s="1671"/>
      <c r="P299" s="1671"/>
      <c r="Q299" s="1671"/>
    </row>
    <row r="300" spans="1:17" x14ac:dyDescent="0.2">
      <c r="C300" s="1672"/>
      <c r="D300" s="1672"/>
      <c r="I300" s="31"/>
      <c r="K300" s="1671"/>
      <c r="L300" s="1671"/>
      <c r="M300" s="1671"/>
      <c r="O300" s="1671"/>
      <c r="P300" s="1671"/>
      <c r="Q300" s="1671"/>
    </row>
    <row r="301" spans="1:17" x14ac:dyDescent="0.2">
      <c r="C301" s="1672"/>
      <c r="D301" s="1672"/>
      <c r="I301" s="31"/>
      <c r="K301" s="1671"/>
      <c r="L301" s="1671"/>
      <c r="M301" s="1671"/>
      <c r="O301" s="1671"/>
      <c r="P301" s="1671"/>
      <c r="Q301" s="1671"/>
    </row>
    <row r="302" spans="1:17" x14ac:dyDescent="0.2">
      <c r="C302" s="1672"/>
      <c r="D302" s="1672"/>
      <c r="I302" s="31"/>
      <c r="K302" s="1671"/>
      <c r="L302" s="1671"/>
      <c r="M302" s="1671"/>
      <c r="O302" s="1671"/>
      <c r="P302" s="1671"/>
      <c r="Q302" s="1671"/>
    </row>
    <row r="303" spans="1:17" x14ac:dyDescent="0.2">
      <c r="C303" s="1672"/>
      <c r="D303" s="1672"/>
      <c r="I303" s="31"/>
      <c r="K303" s="1671"/>
      <c r="L303" s="1671"/>
      <c r="M303" s="1671"/>
      <c r="O303" s="1671"/>
      <c r="P303" s="1671"/>
      <c r="Q303" s="1671"/>
    </row>
    <row r="304" spans="1:17" x14ac:dyDescent="0.2">
      <c r="C304" s="1672"/>
      <c r="D304" s="1672"/>
      <c r="I304" s="31"/>
      <c r="K304" s="1671"/>
      <c r="L304" s="1671"/>
      <c r="M304" s="1671"/>
      <c r="O304" s="1671"/>
      <c r="P304" s="1671"/>
      <c r="Q304" s="1671"/>
    </row>
    <row r="305" spans="1:17" x14ac:dyDescent="0.2">
      <c r="A305" s="1673"/>
      <c r="B305" s="1673"/>
      <c r="C305" s="1674"/>
      <c r="D305" s="1674"/>
      <c r="G305" s="1671"/>
      <c r="H305" s="1671"/>
      <c r="I305" s="1671"/>
      <c r="K305" s="1671"/>
      <c r="L305" s="1671"/>
      <c r="M305" s="1671"/>
      <c r="O305" s="1671"/>
      <c r="P305" s="1671"/>
      <c r="Q305" s="1671"/>
    </row>
    <row r="306" spans="1:17" x14ac:dyDescent="0.2">
      <c r="C306" s="1672"/>
      <c r="D306" s="1672"/>
      <c r="I306" s="31"/>
      <c r="K306" s="1671"/>
      <c r="L306" s="1671"/>
      <c r="M306" s="1671"/>
      <c r="O306" s="1671"/>
      <c r="P306" s="1671"/>
      <c r="Q306" s="1671"/>
    </row>
    <row r="307" spans="1:17" x14ac:dyDescent="0.2">
      <c r="C307" s="1672"/>
      <c r="D307" s="1672"/>
      <c r="I307" s="31"/>
      <c r="K307" s="1671"/>
      <c r="L307" s="1671"/>
      <c r="M307" s="1671"/>
      <c r="O307" s="1671"/>
      <c r="P307" s="1671"/>
      <c r="Q307" s="1671"/>
    </row>
    <row r="308" spans="1:17" x14ac:dyDescent="0.2">
      <c r="C308" s="1672"/>
      <c r="D308" s="1672"/>
      <c r="I308" s="31"/>
      <c r="K308" s="1671"/>
      <c r="L308" s="1671"/>
      <c r="M308" s="1671"/>
      <c r="O308" s="1671"/>
      <c r="P308" s="1671"/>
      <c r="Q308" s="1671"/>
    </row>
    <row r="309" spans="1:17" x14ac:dyDescent="0.2">
      <c r="C309" s="1672"/>
      <c r="D309" s="1672"/>
      <c r="I309" s="31"/>
      <c r="K309" s="1671"/>
      <c r="L309" s="1671"/>
      <c r="M309" s="1671"/>
      <c r="O309" s="1671"/>
      <c r="P309" s="1671"/>
      <c r="Q309" s="1671"/>
    </row>
    <row r="310" spans="1:17" x14ac:dyDescent="0.2">
      <c r="C310" s="1672"/>
      <c r="D310" s="1672"/>
      <c r="I310" s="31"/>
      <c r="K310" s="1671"/>
      <c r="L310" s="1671"/>
      <c r="M310" s="1671"/>
      <c r="O310" s="1671"/>
      <c r="P310" s="1671"/>
      <c r="Q310" s="1671"/>
    </row>
    <row r="311" spans="1:17" x14ac:dyDescent="0.2">
      <c r="A311" s="1673"/>
      <c r="B311" s="1673"/>
      <c r="C311" s="1674"/>
      <c r="D311" s="1674"/>
      <c r="G311" s="1671"/>
      <c r="H311" s="1671"/>
      <c r="I311" s="1671"/>
      <c r="K311" s="1671"/>
      <c r="L311" s="1671"/>
      <c r="M311" s="1671"/>
      <c r="O311" s="1671"/>
      <c r="P311" s="1671"/>
      <c r="Q311" s="1671"/>
    </row>
    <row r="312" spans="1:17" x14ac:dyDescent="0.2">
      <c r="C312" s="1672"/>
      <c r="D312" s="1672"/>
      <c r="I312" s="31"/>
      <c r="K312" s="1671"/>
      <c r="L312" s="1671"/>
      <c r="M312" s="1671"/>
      <c r="O312" s="1671"/>
      <c r="P312" s="1671"/>
      <c r="Q312" s="1671"/>
    </row>
    <row r="313" spans="1:17" x14ac:dyDescent="0.2">
      <c r="C313" s="1672"/>
      <c r="D313" s="1672"/>
      <c r="I313" s="31"/>
      <c r="K313" s="1671"/>
      <c r="L313" s="1671"/>
      <c r="M313" s="1671"/>
      <c r="O313" s="1671"/>
      <c r="P313" s="1671"/>
      <c r="Q313" s="1671"/>
    </row>
    <row r="314" spans="1:17" x14ac:dyDescent="0.2">
      <c r="C314" s="1672"/>
      <c r="D314" s="1672"/>
      <c r="I314" s="31"/>
      <c r="K314" s="1671"/>
      <c r="L314" s="1671"/>
      <c r="M314" s="1671"/>
      <c r="O314" s="1671"/>
      <c r="P314" s="1671"/>
      <c r="Q314" s="1671"/>
    </row>
    <row r="315" spans="1:17" x14ac:dyDescent="0.2">
      <c r="C315" s="1672"/>
      <c r="D315" s="1672"/>
      <c r="I315" s="31"/>
      <c r="K315" s="1671"/>
      <c r="L315" s="1671"/>
      <c r="M315" s="1671"/>
      <c r="O315" s="1671"/>
      <c r="P315" s="1671"/>
      <c r="Q315" s="1671"/>
    </row>
    <row r="316" spans="1:17" x14ac:dyDescent="0.2">
      <c r="C316" s="1672"/>
      <c r="D316" s="1672"/>
      <c r="I316" s="31"/>
      <c r="K316" s="1671"/>
      <c r="L316" s="1671"/>
      <c r="M316" s="1671"/>
      <c r="O316" s="1671"/>
      <c r="P316" s="1671"/>
      <c r="Q316" s="1671"/>
    </row>
    <row r="317" spans="1:17" x14ac:dyDescent="0.2">
      <c r="A317" s="1673"/>
      <c r="B317" s="1673"/>
      <c r="C317" s="1674"/>
      <c r="D317" s="1674"/>
      <c r="G317" s="1671"/>
      <c r="H317" s="1671"/>
      <c r="I317" s="1671"/>
      <c r="K317" s="1671"/>
      <c r="L317" s="1671"/>
      <c r="M317" s="1671"/>
      <c r="O317" s="1671"/>
      <c r="P317" s="1671"/>
      <c r="Q317" s="1671"/>
    </row>
    <row r="318" spans="1:17" x14ac:dyDescent="0.2">
      <c r="C318" s="1672"/>
      <c r="D318" s="1672"/>
      <c r="I318" s="31"/>
      <c r="K318" s="1671"/>
      <c r="L318" s="1671"/>
      <c r="M318" s="1671"/>
      <c r="O318" s="1671"/>
      <c r="P318" s="1671"/>
      <c r="Q318" s="1671"/>
    </row>
    <row r="319" spans="1:17" x14ac:dyDescent="0.2">
      <c r="C319" s="1672"/>
      <c r="D319" s="1672"/>
      <c r="I319" s="31"/>
      <c r="K319" s="1671"/>
      <c r="L319" s="1671"/>
      <c r="M319" s="1671"/>
      <c r="O319" s="1671"/>
      <c r="P319" s="1671"/>
      <c r="Q319" s="1671"/>
    </row>
    <row r="320" spans="1:17" x14ac:dyDescent="0.2">
      <c r="C320" s="1672"/>
      <c r="D320" s="1672"/>
      <c r="I320" s="31"/>
      <c r="K320" s="1671"/>
      <c r="L320" s="1671"/>
      <c r="M320" s="1671"/>
      <c r="O320" s="1671"/>
      <c r="P320" s="1671"/>
      <c r="Q320" s="1671"/>
    </row>
    <row r="321" spans="1:17" x14ac:dyDescent="0.2">
      <c r="C321" s="1672"/>
      <c r="D321" s="1672"/>
      <c r="I321" s="31"/>
      <c r="K321" s="1671"/>
      <c r="L321" s="1671"/>
      <c r="M321" s="1671"/>
      <c r="O321" s="1671"/>
      <c r="P321" s="1671"/>
      <c r="Q321" s="1671"/>
    </row>
    <row r="322" spans="1:17" x14ac:dyDescent="0.2">
      <c r="C322" s="1672"/>
      <c r="D322" s="1672"/>
      <c r="I322" s="31"/>
      <c r="K322" s="1671"/>
      <c r="L322" s="1671"/>
      <c r="M322" s="1671"/>
      <c r="O322" s="1671"/>
      <c r="P322" s="1671"/>
      <c r="Q322" s="1671"/>
    </row>
    <row r="323" spans="1:17" x14ac:dyDescent="0.2">
      <c r="A323" s="1673"/>
      <c r="B323" s="1673"/>
      <c r="C323" s="1674"/>
      <c r="D323" s="1674"/>
      <c r="G323" s="1671"/>
      <c r="H323" s="1671"/>
      <c r="I323" s="1671"/>
      <c r="K323" s="1671"/>
      <c r="L323" s="1671"/>
      <c r="M323" s="1671"/>
      <c r="O323" s="1671"/>
      <c r="P323" s="1671"/>
      <c r="Q323" s="1671"/>
    </row>
    <row r="324" spans="1:17" x14ac:dyDescent="0.2">
      <c r="C324" s="1672"/>
      <c r="D324" s="1672"/>
      <c r="I324" s="31"/>
      <c r="K324" s="1671"/>
      <c r="L324" s="1671"/>
      <c r="M324" s="1671"/>
      <c r="O324" s="1671"/>
      <c r="P324" s="1671"/>
      <c r="Q324" s="1671"/>
    </row>
    <row r="325" spans="1:17" x14ac:dyDescent="0.2">
      <c r="C325" s="1672"/>
      <c r="D325" s="1672"/>
      <c r="I325" s="31"/>
      <c r="K325" s="1671"/>
      <c r="L325" s="1671"/>
      <c r="M325" s="1671"/>
      <c r="O325" s="1671"/>
      <c r="P325" s="1671"/>
      <c r="Q325" s="1671"/>
    </row>
    <row r="326" spans="1:17" x14ac:dyDescent="0.2">
      <c r="C326" s="1672"/>
      <c r="D326" s="1672"/>
      <c r="I326" s="31"/>
      <c r="K326" s="1671"/>
      <c r="L326" s="1671"/>
      <c r="M326" s="1671"/>
      <c r="O326" s="1671"/>
      <c r="P326" s="1671"/>
      <c r="Q326" s="1671"/>
    </row>
    <row r="327" spans="1:17" x14ac:dyDescent="0.2">
      <c r="C327" s="1672"/>
      <c r="D327" s="1672"/>
      <c r="I327" s="31"/>
      <c r="K327" s="1671"/>
      <c r="L327" s="1671"/>
      <c r="M327" s="1671"/>
      <c r="O327" s="1671"/>
      <c r="P327" s="1671"/>
      <c r="Q327" s="1671"/>
    </row>
    <row r="328" spans="1:17" x14ac:dyDescent="0.2">
      <c r="C328" s="1672"/>
      <c r="D328" s="1672"/>
      <c r="I328" s="31"/>
      <c r="K328" s="1671"/>
      <c r="L328" s="1671"/>
      <c r="M328" s="1671"/>
      <c r="O328" s="1671"/>
      <c r="P328" s="1671"/>
      <c r="Q328" s="1671"/>
    </row>
    <row r="329" spans="1:17" x14ac:dyDescent="0.2">
      <c r="A329" s="1673"/>
      <c r="B329" s="1673"/>
      <c r="C329" s="1674"/>
      <c r="D329" s="1674"/>
      <c r="G329" s="1671"/>
      <c r="H329" s="1671"/>
      <c r="I329" s="1671"/>
      <c r="K329" s="1671"/>
      <c r="L329" s="1671"/>
      <c r="M329" s="1671"/>
      <c r="O329" s="1671"/>
      <c r="P329" s="1671"/>
      <c r="Q329" s="1671"/>
    </row>
    <row r="330" spans="1:17" x14ac:dyDescent="0.2">
      <c r="C330" s="1672"/>
      <c r="D330" s="1672"/>
      <c r="I330" s="31"/>
      <c r="K330" s="1671"/>
      <c r="L330" s="1671"/>
      <c r="M330" s="1671"/>
      <c r="O330" s="1671"/>
      <c r="P330" s="1671"/>
      <c r="Q330" s="1671"/>
    </row>
    <row r="331" spans="1:17" x14ac:dyDescent="0.2">
      <c r="C331" s="1672"/>
      <c r="D331" s="1672"/>
      <c r="G331" s="31">
        <f>+G113</f>
        <v>135726764</v>
      </c>
      <c r="H331" s="31">
        <f>+H77+H71+H65+H59+H53+H47+H41+H35+H29+H23+H17+H11+H83+H89+H95+H101+H107+H113+H119+H125+H131+H137+H143+H149</f>
        <v>5507280.9299999997</v>
      </c>
      <c r="I331" s="31">
        <f>+I77+I71+I65+I59+I53+I47+I41+I35+I29+I23+I17+I11+I83+I89+I95+I101+I107+I113+I119+I125+I131+I137+I143+I149</f>
        <v>37670808</v>
      </c>
      <c r="K331" s="1671"/>
      <c r="L331" s="1671">
        <f>+L83+L89+L95+L101+L107+L113+L119+L125+L131+L137+L143+L149</f>
        <v>2709277.5353346001</v>
      </c>
      <c r="M331" s="1671">
        <f>+M83+M89+M95+M101+M107+M113+M119+M125+M131+M137+M143+M149</f>
        <v>23706744</v>
      </c>
      <c r="O331" s="1671"/>
      <c r="P331" s="1671"/>
      <c r="Q331" s="1671"/>
    </row>
    <row r="332" spans="1:17" x14ac:dyDescent="0.2">
      <c r="C332" s="1672"/>
      <c r="D332" s="1672"/>
      <c r="G332" s="31">
        <v>110000000</v>
      </c>
      <c r="H332" s="31">
        <f>+'[8]Výdaje kapitol celkem'!I53</f>
        <v>113551573.66666666</v>
      </c>
      <c r="I332" s="31">
        <f>+'[8]Výdaje kapitol celkem'!I71</f>
        <v>0</v>
      </c>
      <c r="K332" s="1671"/>
      <c r="L332" s="1671"/>
      <c r="M332" s="1671"/>
      <c r="O332" s="1671"/>
      <c r="P332" s="1671"/>
      <c r="Q332" s="1671"/>
    </row>
    <row r="333" spans="1:17" x14ac:dyDescent="0.2">
      <c r="C333" s="1672"/>
      <c r="D333" s="1672"/>
      <c r="H333" s="31">
        <f>+H332-H331</f>
        <v>108044292.73666665</v>
      </c>
      <c r="I333" s="31">
        <f>+I332-I331</f>
        <v>-37670808</v>
      </c>
      <c r="K333" s="1671"/>
      <c r="L333" s="1671"/>
      <c r="M333" s="1671"/>
      <c r="O333" s="1671"/>
      <c r="P333" s="1671"/>
      <c r="Q333" s="1671"/>
    </row>
    <row r="334" spans="1:17" x14ac:dyDescent="0.2">
      <c r="C334" s="1672"/>
      <c r="D334" s="1672"/>
      <c r="I334" s="31"/>
      <c r="K334" s="1671"/>
      <c r="L334" s="1671"/>
      <c r="M334" s="1671"/>
      <c r="O334" s="1671"/>
      <c r="P334" s="1671"/>
      <c r="Q334" s="1671"/>
    </row>
    <row r="335" spans="1:17" x14ac:dyDescent="0.2">
      <c r="A335" s="1673"/>
      <c r="B335" s="1673"/>
      <c r="C335" s="1674"/>
      <c r="D335" s="1674"/>
      <c r="G335" s="1671"/>
      <c r="H335" s="1671"/>
      <c r="I335" s="1671"/>
      <c r="K335" s="1671"/>
      <c r="L335" s="1671"/>
      <c r="M335" s="1671"/>
      <c r="O335" s="1671"/>
      <c r="P335" s="1671"/>
      <c r="Q335" s="1671"/>
    </row>
    <row r="336" spans="1:17" x14ac:dyDescent="0.2">
      <c r="C336" s="1672"/>
      <c r="D336" s="1672"/>
      <c r="E336" t="s">
        <v>1367</v>
      </c>
      <c r="G336" s="31">
        <f>+G72</f>
        <v>22727264</v>
      </c>
      <c r="H336" s="31">
        <f t="shared" ref="H336:I336" si="102">+H72</f>
        <v>74697</v>
      </c>
      <c r="I336" s="31">
        <f t="shared" si="102"/>
        <v>909091</v>
      </c>
      <c r="K336" s="1671"/>
      <c r="L336" s="1671">
        <f>+L78+L84+L90+L96+L102+L108+L114+L120+L126+L132+L138+L144</f>
        <v>539617.23126000003</v>
      </c>
      <c r="M336" s="1671"/>
      <c r="O336" s="1671"/>
      <c r="P336" s="1671"/>
      <c r="Q336" s="1671"/>
    </row>
    <row r="337" spans="1:17" x14ac:dyDescent="0.2">
      <c r="C337" s="1672"/>
      <c r="D337" s="1672"/>
      <c r="E337" t="s">
        <v>1370</v>
      </c>
      <c r="G337" s="31">
        <f t="shared" ref="G337:I340" si="103">+G73</f>
        <v>78056852</v>
      </c>
      <c r="H337" s="31">
        <f t="shared" si="103"/>
        <v>60824</v>
      </c>
      <c r="I337" s="31">
        <f t="shared" si="103"/>
        <v>426541</v>
      </c>
      <c r="K337" s="1671"/>
      <c r="L337" s="1671">
        <f t="shared" ref="L337:L340" si="104">+L79+L85+L91+L97+L103+L109+L115+L121+L127+L133+L139+L145</f>
        <v>656162.90207459999</v>
      </c>
      <c r="M337" s="1671"/>
      <c r="O337" s="1671"/>
      <c r="P337" s="1671"/>
      <c r="Q337" s="1671"/>
    </row>
    <row r="338" spans="1:17" x14ac:dyDescent="0.2">
      <c r="C338" s="1672"/>
      <c r="D338" s="1672"/>
      <c r="E338" t="s">
        <v>1263</v>
      </c>
      <c r="G338" s="31">
        <f t="shared" si="103"/>
        <v>28301880</v>
      </c>
      <c r="H338" s="31">
        <f>+H74</f>
        <v>142294</v>
      </c>
      <c r="I338" s="31">
        <f t="shared" si="103"/>
        <v>566040</v>
      </c>
      <c r="K338" s="1671"/>
      <c r="L338" s="1671">
        <f t="shared" si="104"/>
        <v>496867.17600000004</v>
      </c>
      <c r="M338" s="1671"/>
      <c r="O338" s="1671"/>
      <c r="P338" s="1671"/>
      <c r="Q338" s="1671"/>
    </row>
    <row r="339" spans="1:17" x14ac:dyDescent="0.2">
      <c r="C339" s="1672"/>
      <c r="D339" s="1672"/>
      <c r="E339" t="s">
        <v>1273</v>
      </c>
      <c r="G339" s="31">
        <f t="shared" si="103"/>
        <v>13980000</v>
      </c>
      <c r="H339" s="31">
        <f t="shared" si="103"/>
        <v>40714</v>
      </c>
      <c r="I339" s="31">
        <f t="shared" si="103"/>
        <v>50000</v>
      </c>
      <c r="K339" s="1671"/>
      <c r="L339" s="1671">
        <f t="shared" si="104"/>
        <v>880308</v>
      </c>
      <c r="M339" s="1671"/>
      <c r="O339" s="1671"/>
      <c r="P339" s="1671"/>
      <c r="Q339" s="1671"/>
    </row>
    <row r="340" spans="1:17" x14ac:dyDescent="0.2">
      <c r="C340" s="1672"/>
      <c r="D340" s="1672"/>
      <c r="E340" t="s">
        <v>1277</v>
      </c>
      <c r="G340" s="31">
        <f t="shared" si="103"/>
        <v>2249980</v>
      </c>
      <c r="H340" s="31">
        <f t="shared" si="103"/>
        <v>6748</v>
      </c>
      <c r="I340" s="31">
        <f t="shared" si="103"/>
        <v>13890</v>
      </c>
      <c r="K340" s="1671"/>
      <c r="L340" s="1671">
        <f t="shared" si="104"/>
        <v>136322.22600000002</v>
      </c>
      <c r="M340" s="1671"/>
      <c r="O340" s="1671"/>
      <c r="P340" s="1671"/>
      <c r="Q340" s="1671"/>
    </row>
    <row r="341" spans="1:17" x14ac:dyDescent="0.2">
      <c r="A341" s="1673"/>
      <c r="B341" s="1673"/>
      <c r="C341" s="1674"/>
      <c r="D341" s="1674"/>
      <c r="G341" s="1671"/>
      <c r="H341" s="1671"/>
      <c r="I341" s="1671"/>
      <c r="K341" s="1671"/>
      <c r="L341" s="1671"/>
      <c r="M341" s="1671"/>
      <c r="O341" s="1671"/>
      <c r="P341" s="1671"/>
      <c r="Q341" s="1671"/>
    </row>
    <row r="342" spans="1:17" x14ac:dyDescent="0.2">
      <c r="C342" s="1672"/>
      <c r="D342" s="1672"/>
      <c r="I342" s="31"/>
      <c r="K342" s="1671"/>
      <c r="L342" s="1671"/>
      <c r="M342" s="1671"/>
      <c r="O342" s="1671"/>
      <c r="P342" s="1671"/>
      <c r="Q342" s="1671"/>
    </row>
    <row r="343" spans="1:17" x14ac:dyDescent="0.2">
      <c r="C343" s="1672"/>
      <c r="D343" s="1672"/>
      <c r="I343" s="31"/>
      <c r="K343" s="1671"/>
      <c r="L343" s="1671"/>
      <c r="M343" s="1671"/>
      <c r="O343" s="1671"/>
      <c r="P343" s="1671"/>
      <c r="Q343" s="1671"/>
    </row>
    <row r="344" spans="1:17" x14ac:dyDescent="0.2">
      <c r="C344" s="1672"/>
      <c r="D344" s="1672"/>
      <c r="I344" s="31"/>
      <c r="K344" s="1671"/>
      <c r="L344" s="1671"/>
      <c r="M344" s="1671"/>
      <c r="O344" s="1671"/>
      <c r="P344" s="1671"/>
      <c r="Q344" s="1671"/>
    </row>
    <row r="345" spans="1:17" x14ac:dyDescent="0.2">
      <c r="C345" s="1672"/>
      <c r="D345" s="1672"/>
      <c r="I345" s="31"/>
      <c r="K345" s="1671"/>
      <c r="L345" s="1671"/>
      <c r="M345" s="1671"/>
      <c r="O345" s="1671"/>
      <c r="P345" s="1671"/>
      <c r="Q345" s="1671"/>
    </row>
    <row r="346" spans="1:17" x14ac:dyDescent="0.2">
      <c r="C346" s="1672"/>
      <c r="D346" s="1672"/>
      <c r="I346" s="31"/>
      <c r="K346" s="1671"/>
      <c r="L346" s="1671"/>
      <c r="M346" s="1671"/>
      <c r="O346" s="1671"/>
      <c r="P346" s="1671"/>
      <c r="Q346" s="1671"/>
    </row>
    <row r="347" spans="1:17" x14ac:dyDescent="0.2">
      <c r="A347" s="1673"/>
      <c r="B347" s="1673"/>
      <c r="C347" s="1674"/>
      <c r="D347" s="1674"/>
      <c r="G347" s="1671"/>
      <c r="H347" s="1671"/>
      <c r="I347" s="1671"/>
      <c r="K347" s="1671"/>
      <c r="L347" s="1671"/>
      <c r="M347" s="1671"/>
      <c r="O347" s="1671"/>
      <c r="P347" s="1671"/>
      <c r="Q347" s="1671"/>
    </row>
    <row r="348" spans="1:17" x14ac:dyDescent="0.2">
      <c r="C348" s="1672"/>
      <c r="D348" s="1672"/>
      <c r="I348" s="31"/>
      <c r="K348" s="1671"/>
      <c r="L348" s="1671"/>
      <c r="M348" s="1671"/>
      <c r="O348" s="1671"/>
      <c r="P348" s="1671"/>
      <c r="Q348" s="1671"/>
    </row>
    <row r="349" spans="1:17" x14ac:dyDescent="0.2">
      <c r="C349" s="1672"/>
      <c r="D349" s="1672"/>
    </row>
    <row r="350" spans="1:17" x14ac:dyDescent="0.2">
      <c r="C350" s="1672"/>
      <c r="D350" s="1672"/>
    </row>
    <row r="351" spans="1:17" x14ac:dyDescent="0.2">
      <c r="C351" s="1672"/>
      <c r="D351" s="1672"/>
    </row>
    <row r="352" spans="1:17" x14ac:dyDescent="0.2">
      <c r="C352" s="1672"/>
      <c r="D352" s="1672"/>
    </row>
    <row r="353" spans="1:4" x14ac:dyDescent="0.2">
      <c r="A353" s="1673"/>
      <c r="B353" s="1673"/>
      <c r="C353" s="1672"/>
      <c r="D353" s="1672"/>
    </row>
    <row r="354" spans="1:4" x14ac:dyDescent="0.2">
      <c r="C354" s="1672"/>
      <c r="D354" s="1672"/>
    </row>
    <row r="355" spans="1:4" x14ac:dyDescent="0.2">
      <c r="C355" s="1672"/>
      <c r="D355" s="1672"/>
    </row>
    <row r="356" spans="1:4" x14ac:dyDescent="0.2">
      <c r="C356" s="1672"/>
      <c r="D356" s="1672"/>
    </row>
    <row r="357" spans="1:4" x14ac:dyDescent="0.2">
      <c r="C357" s="1672"/>
      <c r="D357" s="1672"/>
    </row>
    <row r="358" spans="1:4" x14ac:dyDescent="0.2">
      <c r="C358" s="1672"/>
      <c r="D358" s="1672"/>
    </row>
    <row r="359" spans="1:4" x14ac:dyDescent="0.2">
      <c r="A359" s="1673"/>
      <c r="B359" s="1673"/>
      <c r="C359" s="1672"/>
      <c r="D359" s="1672"/>
    </row>
    <row r="360" spans="1:4" x14ac:dyDescent="0.2">
      <c r="C360" s="1672"/>
      <c r="D360" s="1672"/>
    </row>
    <row r="361" spans="1:4" x14ac:dyDescent="0.2">
      <c r="C361" s="1672"/>
      <c r="D361" s="1672"/>
    </row>
    <row r="362" spans="1:4" x14ac:dyDescent="0.2">
      <c r="C362" s="1672"/>
      <c r="D362" s="1672"/>
    </row>
    <row r="363" spans="1:4" x14ac:dyDescent="0.2">
      <c r="C363" s="1672"/>
      <c r="D363" s="1672"/>
    </row>
    <row r="364" spans="1:4" x14ac:dyDescent="0.2">
      <c r="C364" s="1672"/>
      <c r="D364" s="1672"/>
    </row>
    <row r="365" spans="1:4" x14ac:dyDescent="0.2">
      <c r="A365" s="1673"/>
      <c r="B365" s="1673"/>
      <c r="C365" s="1672"/>
      <c r="D365" s="1672"/>
    </row>
    <row r="366" spans="1:4" x14ac:dyDescent="0.2">
      <c r="C366" s="1672"/>
      <c r="D366" s="1672"/>
    </row>
    <row r="367" spans="1:4" x14ac:dyDescent="0.2">
      <c r="C367" s="1672"/>
      <c r="D367" s="1672"/>
    </row>
    <row r="368" spans="1:4" x14ac:dyDescent="0.2">
      <c r="C368" s="1672"/>
      <c r="D368" s="1672"/>
    </row>
    <row r="369" spans="3:4" x14ac:dyDescent="0.2">
      <c r="C369" s="1672"/>
      <c r="D369" s="1672"/>
    </row>
    <row r="370" spans="3:4" x14ac:dyDescent="0.2">
      <c r="C370" s="1672"/>
      <c r="D370" s="1672"/>
    </row>
    <row r="371" spans="3:4" x14ac:dyDescent="0.2">
      <c r="C371" s="1672"/>
      <c r="D371" s="1672"/>
    </row>
    <row r="372" spans="3:4" x14ac:dyDescent="0.2">
      <c r="C372" s="1672"/>
      <c r="D372" s="1672"/>
    </row>
    <row r="373" spans="3:4" x14ac:dyDescent="0.2">
      <c r="C373" s="1672"/>
      <c r="D373" s="1672"/>
    </row>
    <row r="374" spans="3:4" x14ac:dyDescent="0.2">
      <c r="C374" s="1672"/>
      <c r="D374" s="1672"/>
    </row>
    <row r="375" spans="3:4" x14ac:dyDescent="0.2">
      <c r="C375" s="1672"/>
      <c r="D375" s="1672"/>
    </row>
    <row r="376" spans="3:4" x14ac:dyDescent="0.2">
      <c r="C376" s="1672"/>
      <c r="D376" s="1672"/>
    </row>
    <row r="377" spans="3:4" x14ac:dyDescent="0.2">
      <c r="C377" s="1672"/>
      <c r="D377" s="1672"/>
    </row>
    <row r="378" spans="3:4" x14ac:dyDescent="0.2">
      <c r="C378" s="1672"/>
      <c r="D378" s="1672"/>
    </row>
    <row r="379" spans="3:4" x14ac:dyDescent="0.2">
      <c r="C379" s="1672"/>
      <c r="D379" s="1672"/>
    </row>
    <row r="380" spans="3:4" x14ac:dyDescent="0.2">
      <c r="C380" s="1672"/>
      <c r="D380" s="1672"/>
    </row>
    <row r="381" spans="3:4" x14ac:dyDescent="0.2">
      <c r="C381" s="1672"/>
      <c r="D381" s="1672"/>
    </row>
    <row r="382" spans="3:4" x14ac:dyDescent="0.2">
      <c r="C382" s="1672"/>
      <c r="D382" s="1672"/>
    </row>
    <row r="383" spans="3:4" x14ac:dyDescent="0.2">
      <c r="C383" s="1672"/>
      <c r="D383" s="1672"/>
    </row>
    <row r="384" spans="3:4" x14ac:dyDescent="0.2">
      <c r="C384" s="1672"/>
      <c r="D384" s="1672"/>
    </row>
    <row r="385" spans="3:4" x14ac:dyDescent="0.2">
      <c r="C385" s="1672"/>
      <c r="D385" s="1672"/>
    </row>
    <row r="386" spans="3:4" x14ac:dyDescent="0.2">
      <c r="C386" s="1672"/>
      <c r="D386" s="1672"/>
    </row>
    <row r="387" spans="3:4" x14ac:dyDescent="0.2">
      <c r="C387" s="1672"/>
      <c r="D387" s="1672"/>
    </row>
    <row r="388" spans="3:4" x14ac:dyDescent="0.2">
      <c r="C388" s="1672"/>
      <c r="D388" s="1672"/>
    </row>
    <row r="389" spans="3:4" x14ac:dyDescent="0.2">
      <c r="C389" s="1672"/>
      <c r="D389" s="1672"/>
    </row>
    <row r="390" spans="3:4" x14ac:dyDescent="0.2">
      <c r="C390" s="1672"/>
      <c r="D390" s="1672"/>
    </row>
    <row r="391" spans="3:4" x14ac:dyDescent="0.2">
      <c r="C391" s="1672"/>
      <c r="D391" s="1672"/>
    </row>
    <row r="392" spans="3:4" x14ac:dyDescent="0.2">
      <c r="C392" s="1672"/>
      <c r="D392" s="1672"/>
    </row>
    <row r="393" spans="3:4" x14ac:dyDescent="0.2">
      <c r="C393" s="1672"/>
      <c r="D393" s="1672"/>
    </row>
    <row r="394" spans="3:4" x14ac:dyDescent="0.2">
      <c r="C394" s="1672"/>
      <c r="D394" s="1672"/>
    </row>
    <row r="395" spans="3:4" x14ac:dyDescent="0.2">
      <c r="C395" s="1672"/>
      <c r="D395" s="1672"/>
    </row>
    <row r="396" spans="3:4" x14ac:dyDescent="0.2">
      <c r="C396" s="1672"/>
      <c r="D396" s="1672"/>
    </row>
    <row r="397" spans="3:4" x14ac:dyDescent="0.2">
      <c r="C397" s="1672"/>
      <c r="D397" s="1672"/>
    </row>
    <row r="398" spans="3:4" x14ac:dyDescent="0.2">
      <c r="C398" s="1672"/>
      <c r="D398" s="1672"/>
    </row>
    <row r="399" spans="3:4" x14ac:dyDescent="0.2">
      <c r="C399" s="1672"/>
      <c r="D399" s="1672"/>
    </row>
    <row r="400" spans="3:4" x14ac:dyDescent="0.2">
      <c r="C400" s="1672"/>
      <c r="D400" s="1672"/>
    </row>
    <row r="401" spans="3:4" x14ac:dyDescent="0.2">
      <c r="C401" s="1672"/>
      <c r="D401" s="1672"/>
    </row>
    <row r="402" spans="3:4" x14ac:dyDescent="0.2">
      <c r="C402" s="1672"/>
      <c r="D402" s="1672"/>
    </row>
    <row r="403" spans="3:4" x14ac:dyDescent="0.2">
      <c r="C403" s="1672"/>
      <c r="D403" s="1672"/>
    </row>
    <row r="404" spans="3:4" x14ac:dyDescent="0.2">
      <c r="C404" s="1672"/>
      <c r="D404" s="1672"/>
    </row>
    <row r="405" spans="3:4" x14ac:dyDescent="0.2">
      <c r="C405" s="1672"/>
      <c r="D405" s="1672"/>
    </row>
    <row r="406" spans="3:4" x14ac:dyDescent="0.2">
      <c r="C406" s="1672"/>
      <c r="D406" s="1672"/>
    </row>
    <row r="407" spans="3:4" x14ac:dyDescent="0.2">
      <c r="C407" s="1672"/>
      <c r="D407" s="1672"/>
    </row>
    <row r="408" spans="3:4" x14ac:dyDescent="0.2">
      <c r="C408" s="1672"/>
      <c r="D408" s="1672"/>
    </row>
    <row r="409" spans="3:4" x14ac:dyDescent="0.2">
      <c r="C409" s="1672"/>
      <c r="D409" s="1672"/>
    </row>
    <row r="410" spans="3:4" x14ac:dyDescent="0.2">
      <c r="C410" s="1672"/>
      <c r="D410" s="1672"/>
    </row>
    <row r="411" spans="3:4" x14ac:dyDescent="0.2">
      <c r="C411" s="1672"/>
      <c r="D411" s="1672"/>
    </row>
    <row r="412" spans="3:4" x14ac:dyDescent="0.2">
      <c r="C412" s="1672"/>
      <c r="D412" s="1672"/>
    </row>
    <row r="413" spans="3:4" x14ac:dyDescent="0.2">
      <c r="C413" s="1672"/>
      <c r="D413" s="1672"/>
    </row>
    <row r="414" spans="3:4" x14ac:dyDescent="0.2">
      <c r="C414" s="1672"/>
      <c r="D414" s="1672"/>
    </row>
    <row r="415" spans="3:4" x14ac:dyDescent="0.2">
      <c r="C415" s="1672"/>
      <c r="D415" s="1672"/>
    </row>
    <row r="416" spans="3:4" x14ac:dyDescent="0.2">
      <c r="C416" s="1672"/>
      <c r="D416" s="1672"/>
    </row>
    <row r="417" spans="3:4" x14ac:dyDescent="0.2">
      <c r="C417" s="1672"/>
      <c r="D417" s="1672"/>
    </row>
    <row r="418" spans="3:4" x14ac:dyDescent="0.2">
      <c r="C418" s="1672"/>
      <c r="D418" s="1672"/>
    </row>
    <row r="419" spans="3:4" x14ac:dyDescent="0.2">
      <c r="C419" s="1672"/>
      <c r="D419" s="1672"/>
    </row>
    <row r="420" spans="3:4" x14ac:dyDescent="0.2">
      <c r="C420" s="1672"/>
      <c r="D420" s="1672"/>
    </row>
    <row r="421" spans="3:4" x14ac:dyDescent="0.2">
      <c r="C421" s="1672"/>
      <c r="D421" s="1672"/>
    </row>
    <row r="422" spans="3:4" x14ac:dyDescent="0.2">
      <c r="C422" s="1672"/>
      <c r="D422" s="1672"/>
    </row>
    <row r="423" spans="3:4" x14ac:dyDescent="0.2">
      <c r="C423" s="1672"/>
      <c r="D423" s="1672"/>
    </row>
    <row r="424" spans="3:4" x14ac:dyDescent="0.2">
      <c r="C424" s="1672"/>
      <c r="D424" s="1672"/>
    </row>
    <row r="425" spans="3:4" x14ac:dyDescent="0.2">
      <c r="C425" s="1672"/>
      <c r="D425" s="1672"/>
    </row>
    <row r="426" spans="3:4" x14ac:dyDescent="0.2">
      <c r="C426" s="1672"/>
      <c r="D426" s="1672"/>
    </row>
    <row r="427" spans="3:4" x14ac:dyDescent="0.2">
      <c r="C427" s="1672"/>
      <c r="D427" s="1672"/>
    </row>
    <row r="428" spans="3:4" x14ac:dyDescent="0.2">
      <c r="C428" s="1672"/>
      <c r="D428" s="1672"/>
    </row>
    <row r="429" spans="3:4" x14ac:dyDescent="0.2">
      <c r="C429" s="1672"/>
      <c r="D429" s="1672"/>
    </row>
    <row r="430" spans="3:4" x14ac:dyDescent="0.2">
      <c r="C430" s="1672"/>
      <c r="D430" s="1672"/>
    </row>
    <row r="431" spans="3:4" x14ac:dyDescent="0.2">
      <c r="C431" s="1672"/>
      <c r="D431" s="1672"/>
    </row>
    <row r="432" spans="3:4" x14ac:dyDescent="0.2">
      <c r="C432" s="1672"/>
      <c r="D432" s="1672"/>
    </row>
    <row r="433" spans="3:4" x14ac:dyDescent="0.2">
      <c r="C433" s="1672"/>
      <c r="D433" s="1672"/>
    </row>
    <row r="434" spans="3:4" x14ac:dyDescent="0.2">
      <c r="C434" s="1672"/>
      <c r="D434" s="1672"/>
    </row>
    <row r="435" spans="3:4" x14ac:dyDescent="0.2">
      <c r="C435" s="1672"/>
      <c r="D435" s="1672"/>
    </row>
    <row r="436" spans="3:4" x14ac:dyDescent="0.2">
      <c r="C436" s="1672"/>
      <c r="D436" s="1672"/>
    </row>
    <row r="437" spans="3:4" x14ac:dyDescent="0.2">
      <c r="C437" s="1672"/>
      <c r="D437" s="1672"/>
    </row>
    <row r="438" spans="3:4" x14ac:dyDescent="0.2">
      <c r="C438" s="1672"/>
      <c r="D438" s="1672"/>
    </row>
    <row r="439" spans="3:4" x14ac:dyDescent="0.2">
      <c r="C439" s="1672"/>
      <c r="D439" s="1672"/>
    </row>
    <row r="440" spans="3:4" x14ac:dyDescent="0.2">
      <c r="C440" s="1672"/>
      <c r="D440" s="1672"/>
    </row>
    <row r="441" spans="3:4" x14ac:dyDescent="0.2">
      <c r="C441" s="1672"/>
      <c r="D441" s="1672"/>
    </row>
    <row r="442" spans="3:4" x14ac:dyDescent="0.2">
      <c r="C442" s="1672"/>
      <c r="D442" s="1672"/>
    </row>
    <row r="443" spans="3:4" x14ac:dyDescent="0.2">
      <c r="C443" s="1672"/>
      <c r="D443" s="1672"/>
    </row>
    <row r="444" spans="3:4" x14ac:dyDescent="0.2">
      <c r="C444" s="1672"/>
      <c r="D444" s="1672"/>
    </row>
    <row r="445" spans="3:4" x14ac:dyDescent="0.2">
      <c r="C445" s="1672"/>
      <c r="D445" s="1672"/>
    </row>
    <row r="446" spans="3:4" x14ac:dyDescent="0.2">
      <c r="C446" s="1672"/>
      <c r="D446" s="1672"/>
    </row>
    <row r="447" spans="3:4" x14ac:dyDescent="0.2">
      <c r="C447" s="1672"/>
      <c r="D447" s="1672"/>
    </row>
    <row r="448" spans="3:4" x14ac:dyDescent="0.2">
      <c r="C448" s="1672"/>
      <c r="D448" s="1672"/>
    </row>
    <row r="449" spans="3:4" x14ac:dyDescent="0.2">
      <c r="C449" s="1672"/>
      <c r="D449" s="1672"/>
    </row>
    <row r="450" spans="3:4" x14ac:dyDescent="0.2">
      <c r="C450" s="1672"/>
      <c r="D450" s="1672"/>
    </row>
    <row r="451" spans="3:4" x14ac:dyDescent="0.2">
      <c r="C451" s="1672"/>
      <c r="D451" s="1672"/>
    </row>
    <row r="452" spans="3:4" x14ac:dyDescent="0.2">
      <c r="C452" s="1672"/>
      <c r="D452" s="1672"/>
    </row>
    <row r="453" spans="3:4" x14ac:dyDescent="0.2">
      <c r="C453" s="1672"/>
      <c r="D453" s="1672"/>
    </row>
    <row r="454" spans="3:4" x14ac:dyDescent="0.2">
      <c r="C454" s="1672"/>
      <c r="D454" s="1672"/>
    </row>
    <row r="455" spans="3:4" x14ac:dyDescent="0.2">
      <c r="C455" s="1672"/>
      <c r="D455" s="1672"/>
    </row>
    <row r="456" spans="3:4" x14ac:dyDescent="0.2">
      <c r="C456" s="1672"/>
      <c r="D456" s="1672"/>
    </row>
    <row r="457" spans="3:4" x14ac:dyDescent="0.2">
      <c r="C457" s="1672"/>
      <c r="D457" s="1672"/>
    </row>
    <row r="458" spans="3:4" x14ac:dyDescent="0.2">
      <c r="C458" s="1672"/>
      <c r="D458" s="1672"/>
    </row>
    <row r="459" spans="3:4" x14ac:dyDescent="0.2">
      <c r="C459" s="1672"/>
      <c r="D459" s="1672"/>
    </row>
    <row r="460" spans="3:4" x14ac:dyDescent="0.2">
      <c r="C460" s="1672"/>
      <c r="D460" s="1672"/>
    </row>
    <row r="461" spans="3:4" x14ac:dyDescent="0.2">
      <c r="C461" s="1672"/>
      <c r="D461" s="1672"/>
    </row>
    <row r="462" spans="3:4" x14ac:dyDescent="0.2">
      <c r="C462" s="1672"/>
      <c r="D462" s="1672"/>
    </row>
    <row r="463" spans="3:4" x14ac:dyDescent="0.2">
      <c r="C463" s="1672"/>
      <c r="D463" s="1672"/>
    </row>
    <row r="464" spans="3:4" x14ac:dyDescent="0.2">
      <c r="C464" s="1672"/>
      <c r="D464" s="1672"/>
    </row>
    <row r="465" spans="3:4" x14ac:dyDescent="0.2">
      <c r="C465" s="1672"/>
      <c r="D465" s="1672"/>
    </row>
    <row r="466" spans="3:4" x14ac:dyDescent="0.2">
      <c r="C466" s="1672"/>
      <c r="D466" s="1672"/>
    </row>
    <row r="467" spans="3:4" x14ac:dyDescent="0.2">
      <c r="C467" s="1672"/>
      <c r="D467" s="1672"/>
    </row>
    <row r="468" spans="3:4" x14ac:dyDescent="0.2">
      <c r="C468" s="1672"/>
      <c r="D468" s="1672"/>
    </row>
    <row r="469" spans="3:4" x14ac:dyDescent="0.2">
      <c r="C469" s="1672"/>
      <c r="D469" s="1672"/>
    </row>
    <row r="470" spans="3:4" x14ac:dyDescent="0.2">
      <c r="C470" s="1672"/>
      <c r="D470" s="1672"/>
    </row>
    <row r="471" spans="3:4" x14ac:dyDescent="0.2">
      <c r="C471" s="1672"/>
      <c r="D471" s="1672"/>
    </row>
    <row r="472" spans="3:4" x14ac:dyDescent="0.2">
      <c r="C472" s="1672"/>
      <c r="D472" s="1672"/>
    </row>
    <row r="473" spans="3:4" x14ac:dyDescent="0.2">
      <c r="C473" s="1672"/>
      <c r="D473" s="1672"/>
    </row>
    <row r="474" spans="3:4" x14ac:dyDescent="0.2">
      <c r="C474" s="1672"/>
      <c r="D474" s="1672"/>
    </row>
    <row r="475" spans="3:4" x14ac:dyDescent="0.2">
      <c r="C475" s="1672"/>
      <c r="D475" s="1672"/>
    </row>
    <row r="476" spans="3:4" x14ac:dyDescent="0.2">
      <c r="C476" s="1672"/>
      <c r="D476" s="1672"/>
    </row>
    <row r="477" spans="3:4" x14ac:dyDescent="0.2">
      <c r="C477" s="1672"/>
      <c r="D477" s="1672"/>
    </row>
    <row r="478" spans="3:4" x14ac:dyDescent="0.2">
      <c r="C478" s="1672"/>
      <c r="D478" s="1672"/>
    </row>
    <row r="479" spans="3:4" x14ac:dyDescent="0.2">
      <c r="C479" s="1672"/>
      <c r="D479" s="1672"/>
    </row>
    <row r="480" spans="3:4" x14ac:dyDescent="0.2">
      <c r="C480" s="1672"/>
      <c r="D480" s="1672"/>
    </row>
    <row r="481" spans="3:4" x14ac:dyDescent="0.2">
      <c r="C481" s="1672"/>
      <c r="D481" s="1672"/>
    </row>
    <row r="482" spans="3:4" x14ac:dyDescent="0.2">
      <c r="C482" s="1672"/>
      <c r="D482" s="1672"/>
    </row>
    <row r="483" spans="3:4" x14ac:dyDescent="0.2">
      <c r="C483" s="1672"/>
      <c r="D483" s="1672"/>
    </row>
    <row r="484" spans="3:4" x14ac:dyDescent="0.2">
      <c r="C484" s="1672"/>
      <c r="D484" s="1672"/>
    </row>
    <row r="485" spans="3:4" x14ac:dyDescent="0.2">
      <c r="C485" s="1672"/>
      <c r="D485" s="1672"/>
    </row>
    <row r="486" spans="3:4" x14ac:dyDescent="0.2">
      <c r="C486" s="1672"/>
      <c r="D486" s="1672"/>
    </row>
    <row r="487" spans="3:4" x14ac:dyDescent="0.2">
      <c r="C487" s="1672"/>
      <c r="D487" s="1672"/>
    </row>
    <row r="488" spans="3:4" x14ac:dyDescent="0.2">
      <c r="C488" s="1672"/>
      <c r="D488" s="1672"/>
    </row>
    <row r="489" spans="3:4" x14ac:dyDescent="0.2">
      <c r="C489" s="1672"/>
      <c r="D489" s="1672"/>
    </row>
    <row r="490" spans="3:4" x14ac:dyDescent="0.2">
      <c r="C490" s="1672"/>
      <c r="D490" s="1672"/>
    </row>
    <row r="491" spans="3:4" x14ac:dyDescent="0.2">
      <c r="C491" s="1672"/>
      <c r="D491" s="1672"/>
    </row>
    <row r="492" spans="3:4" x14ac:dyDescent="0.2">
      <c r="C492" s="1672"/>
      <c r="D492" s="1672"/>
    </row>
    <row r="493" spans="3:4" x14ac:dyDescent="0.2">
      <c r="C493" s="1672"/>
      <c r="D493" s="1672"/>
    </row>
    <row r="494" spans="3:4" x14ac:dyDescent="0.2">
      <c r="C494" s="1672"/>
      <c r="D494" s="1672"/>
    </row>
    <row r="495" spans="3:4" x14ac:dyDescent="0.2">
      <c r="C495" s="1672"/>
      <c r="D495" s="1672"/>
    </row>
    <row r="496" spans="3:4" x14ac:dyDescent="0.2">
      <c r="C496" s="1672"/>
      <c r="D496" s="1672"/>
    </row>
    <row r="497" spans="3:4" x14ac:dyDescent="0.2">
      <c r="C497" s="1672"/>
      <c r="D497" s="1672"/>
    </row>
    <row r="498" spans="3:4" x14ac:dyDescent="0.2">
      <c r="C498" s="1672"/>
      <c r="D498" s="1672"/>
    </row>
    <row r="499" spans="3:4" x14ac:dyDescent="0.2">
      <c r="C499" s="1672"/>
      <c r="D499" s="1672"/>
    </row>
    <row r="500" spans="3:4" x14ac:dyDescent="0.2">
      <c r="C500" s="1672"/>
      <c r="D500" s="1672"/>
    </row>
    <row r="501" spans="3:4" x14ac:dyDescent="0.2">
      <c r="C501" s="1672"/>
      <c r="D501" s="1672"/>
    </row>
    <row r="502" spans="3:4" x14ac:dyDescent="0.2">
      <c r="C502" s="1672"/>
      <c r="D502" s="1672"/>
    </row>
    <row r="503" spans="3:4" x14ac:dyDescent="0.2">
      <c r="C503" s="1672"/>
      <c r="D503" s="1672"/>
    </row>
    <row r="504" spans="3:4" x14ac:dyDescent="0.2">
      <c r="C504" s="1672"/>
      <c r="D504" s="1672"/>
    </row>
    <row r="505" spans="3:4" x14ac:dyDescent="0.2">
      <c r="C505" s="1672"/>
      <c r="D505" s="1672"/>
    </row>
    <row r="506" spans="3:4" x14ac:dyDescent="0.2">
      <c r="C506" s="1672"/>
      <c r="D506" s="1672"/>
    </row>
    <row r="507" spans="3:4" x14ac:dyDescent="0.2">
      <c r="C507" s="1672"/>
      <c r="D507" s="1672"/>
    </row>
    <row r="508" spans="3:4" x14ac:dyDescent="0.2">
      <c r="C508" s="1672"/>
      <c r="D508" s="1672"/>
    </row>
    <row r="509" spans="3:4" x14ac:dyDescent="0.2">
      <c r="C509" s="1672"/>
      <c r="D509" s="1672"/>
    </row>
    <row r="510" spans="3:4" x14ac:dyDescent="0.2">
      <c r="C510" s="1672"/>
      <c r="D510" s="1672"/>
    </row>
    <row r="511" spans="3:4" x14ac:dyDescent="0.2">
      <c r="C511" s="1672"/>
      <c r="D511" s="1672"/>
    </row>
    <row r="512" spans="3:4" x14ac:dyDescent="0.2">
      <c r="C512" s="1672"/>
      <c r="D512" s="1672"/>
    </row>
    <row r="513" spans="3:4" x14ac:dyDescent="0.2">
      <c r="C513" s="1672"/>
      <c r="D513" s="1672"/>
    </row>
    <row r="514" spans="3:4" x14ac:dyDescent="0.2">
      <c r="C514" s="1672"/>
      <c r="D514" s="1672"/>
    </row>
    <row r="515" spans="3:4" x14ac:dyDescent="0.2">
      <c r="C515" s="1672"/>
      <c r="D515" s="1672"/>
    </row>
    <row r="516" spans="3:4" x14ac:dyDescent="0.2">
      <c r="C516" s="1672"/>
      <c r="D516" s="1672"/>
    </row>
    <row r="517" spans="3:4" x14ac:dyDescent="0.2">
      <c r="C517" s="1672"/>
      <c r="D517" s="1672"/>
    </row>
    <row r="518" spans="3:4" x14ac:dyDescent="0.2">
      <c r="C518" s="1672"/>
      <c r="D518" s="1672"/>
    </row>
    <row r="519" spans="3:4" x14ac:dyDescent="0.2">
      <c r="C519" s="1672"/>
      <c r="D519" s="1672"/>
    </row>
    <row r="520" spans="3:4" x14ac:dyDescent="0.2">
      <c r="C520" s="1672"/>
      <c r="D520" s="1672"/>
    </row>
    <row r="521" spans="3:4" x14ac:dyDescent="0.2">
      <c r="C521" s="1672"/>
      <c r="D521" s="1672"/>
    </row>
    <row r="522" spans="3:4" x14ac:dyDescent="0.2">
      <c r="C522" s="1672"/>
      <c r="D522" s="1672"/>
    </row>
    <row r="523" spans="3:4" x14ac:dyDescent="0.2">
      <c r="C523" s="1672"/>
      <c r="D523" s="1672"/>
    </row>
    <row r="524" spans="3:4" x14ac:dyDescent="0.2">
      <c r="C524" s="1672"/>
      <c r="D524" s="1672"/>
    </row>
    <row r="525" spans="3:4" x14ac:dyDescent="0.2">
      <c r="C525" s="1672"/>
      <c r="D525" s="1672"/>
    </row>
    <row r="526" spans="3:4" x14ac:dyDescent="0.2">
      <c r="C526" s="1672"/>
      <c r="D526" s="1672"/>
    </row>
    <row r="527" spans="3:4" x14ac:dyDescent="0.2">
      <c r="C527" s="1672"/>
      <c r="D527" s="1672"/>
    </row>
    <row r="528" spans="3:4" x14ac:dyDescent="0.2">
      <c r="C528" s="1672"/>
      <c r="D528" s="1672"/>
    </row>
    <row r="529" spans="3:4" x14ac:dyDescent="0.2">
      <c r="C529" s="1672"/>
      <c r="D529" s="1672"/>
    </row>
    <row r="530" spans="3:4" x14ac:dyDescent="0.2">
      <c r="C530" s="1672"/>
      <c r="D530" s="1672"/>
    </row>
    <row r="531" spans="3:4" x14ac:dyDescent="0.2">
      <c r="C531" s="1672"/>
      <c r="D531" s="1672"/>
    </row>
    <row r="532" spans="3:4" x14ac:dyDescent="0.2">
      <c r="C532" s="1672"/>
      <c r="D532" s="1672"/>
    </row>
    <row r="533" spans="3:4" x14ac:dyDescent="0.2">
      <c r="C533" s="1672"/>
      <c r="D533" s="1672"/>
    </row>
    <row r="534" spans="3:4" x14ac:dyDescent="0.2">
      <c r="C534" s="1672"/>
      <c r="D534" s="1672"/>
    </row>
    <row r="535" spans="3:4" x14ac:dyDescent="0.2">
      <c r="C535" s="1672"/>
      <c r="D535" s="1672"/>
    </row>
    <row r="536" spans="3:4" x14ac:dyDescent="0.2">
      <c r="C536" s="1672"/>
      <c r="D536" s="1672"/>
    </row>
    <row r="537" spans="3:4" x14ac:dyDescent="0.2">
      <c r="C537" s="1672"/>
      <c r="D537" s="1672"/>
    </row>
    <row r="538" spans="3:4" x14ac:dyDescent="0.2">
      <c r="C538" s="1672"/>
      <c r="D538" s="1672"/>
    </row>
    <row r="539" spans="3:4" x14ac:dyDescent="0.2">
      <c r="C539" s="1672"/>
      <c r="D539" s="1672"/>
    </row>
    <row r="540" spans="3:4" x14ac:dyDescent="0.2">
      <c r="C540" s="1672"/>
      <c r="D540" s="1672"/>
    </row>
    <row r="541" spans="3:4" x14ac:dyDescent="0.2">
      <c r="C541" s="1672"/>
      <c r="D541" s="1672"/>
    </row>
    <row r="542" spans="3:4" x14ac:dyDescent="0.2">
      <c r="C542" s="1672"/>
      <c r="D542" s="1672"/>
    </row>
    <row r="543" spans="3:4" x14ac:dyDescent="0.2">
      <c r="C543" s="1672"/>
      <c r="D543" s="1672"/>
    </row>
    <row r="544" spans="3:4" x14ac:dyDescent="0.2">
      <c r="C544" s="1672"/>
      <c r="D544" s="1672"/>
    </row>
    <row r="545" spans="3:4" x14ac:dyDescent="0.2">
      <c r="C545" s="1672"/>
      <c r="D545" s="1672"/>
    </row>
    <row r="546" spans="3:4" x14ac:dyDescent="0.2">
      <c r="C546" s="1672"/>
      <c r="D546" s="1672"/>
    </row>
    <row r="547" spans="3:4" x14ac:dyDescent="0.2">
      <c r="C547" s="1672"/>
      <c r="D547" s="1672"/>
    </row>
    <row r="548" spans="3:4" x14ac:dyDescent="0.2">
      <c r="C548" s="1672"/>
      <c r="D548" s="1672"/>
    </row>
    <row r="549" spans="3:4" x14ac:dyDescent="0.2">
      <c r="C549" s="1672"/>
      <c r="D549" s="1672"/>
    </row>
    <row r="550" spans="3:4" x14ac:dyDescent="0.2">
      <c r="C550" s="1672"/>
      <c r="D550" s="1672"/>
    </row>
    <row r="551" spans="3:4" x14ac:dyDescent="0.2">
      <c r="C551" s="1672"/>
      <c r="D551" s="1672"/>
    </row>
    <row r="552" spans="3:4" x14ac:dyDescent="0.2">
      <c r="C552" s="1672"/>
      <c r="D552" s="1672"/>
    </row>
    <row r="553" spans="3:4" x14ac:dyDescent="0.2">
      <c r="C553" s="1672"/>
      <c r="D553" s="1672"/>
    </row>
    <row r="554" spans="3:4" x14ac:dyDescent="0.2">
      <c r="C554" s="1672"/>
      <c r="D554" s="1672"/>
    </row>
    <row r="555" spans="3:4" x14ac:dyDescent="0.2">
      <c r="C555" s="1672"/>
      <c r="D555" s="1672"/>
    </row>
    <row r="556" spans="3:4" x14ac:dyDescent="0.2">
      <c r="C556" s="1672"/>
      <c r="D556" s="1672"/>
    </row>
    <row r="557" spans="3:4" x14ac:dyDescent="0.2">
      <c r="C557" s="1672"/>
      <c r="D557" s="1672"/>
    </row>
    <row r="558" spans="3:4" x14ac:dyDescent="0.2">
      <c r="C558" s="1672"/>
      <c r="D558" s="1672"/>
    </row>
    <row r="559" spans="3:4" x14ac:dyDescent="0.2">
      <c r="C559" s="1672"/>
      <c r="D559" s="1672"/>
    </row>
    <row r="560" spans="3:4" x14ac:dyDescent="0.2">
      <c r="C560" s="1672"/>
      <c r="D560" s="1672"/>
    </row>
    <row r="561" spans="3:4" x14ac:dyDescent="0.2">
      <c r="C561" s="1672"/>
      <c r="D561" s="1672"/>
    </row>
    <row r="562" spans="3:4" x14ac:dyDescent="0.2">
      <c r="C562" s="1672"/>
      <c r="D562" s="1672"/>
    </row>
    <row r="563" spans="3:4" x14ac:dyDescent="0.2">
      <c r="C563" s="1672"/>
      <c r="D563" s="1672"/>
    </row>
    <row r="564" spans="3:4" x14ac:dyDescent="0.2">
      <c r="C564" s="1672"/>
      <c r="D564" s="1672"/>
    </row>
    <row r="565" spans="3:4" x14ac:dyDescent="0.2">
      <c r="C565" s="1672"/>
      <c r="D565" s="1672"/>
    </row>
    <row r="566" spans="3:4" x14ac:dyDescent="0.2">
      <c r="C566" s="1672"/>
      <c r="D566" s="1672"/>
    </row>
    <row r="567" spans="3:4" x14ac:dyDescent="0.2">
      <c r="C567" s="1672"/>
      <c r="D567" s="1672"/>
    </row>
    <row r="568" spans="3:4" x14ac:dyDescent="0.2">
      <c r="C568" s="1672"/>
      <c r="D568" s="1672"/>
    </row>
    <row r="569" spans="3:4" x14ac:dyDescent="0.2">
      <c r="C569" s="1672"/>
      <c r="D569" s="1672"/>
    </row>
    <row r="570" spans="3:4" x14ac:dyDescent="0.2">
      <c r="C570" s="1672"/>
      <c r="D570" s="1672"/>
    </row>
    <row r="571" spans="3:4" x14ac:dyDescent="0.2">
      <c r="C571" s="1672"/>
      <c r="D571" s="1672"/>
    </row>
    <row r="572" spans="3:4" x14ac:dyDescent="0.2">
      <c r="C572" s="1672"/>
      <c r="D572" s="1672"/>
    </row>
    <row r="573" spans="3:4" x14ac:dyDescent="0.2">
      <c r="C573" s="1672"/>
      <c r="D573" s="1672"/>
    </row>
    <row r="574" spans="3:4" x14ac:dyDescent="0.2">
      <c r="C574" s="1672"/>
      <c r="D574" s="1672"/>
    </row>
    <row r="575" spans="3:4" x14ac:dyDescent="0.2">
      <c r="C575" s="1672"/>
      <c r="D575" s="1672"/>
    </row>
    <row r="576" spans="3:4" x14ac:dyDescent="0.2">
      <c r="C576" s="1672"/>
      <c r="D576" s="1672"/>
    </row>
    <row r="577" spans="3:4" x14ac:dyDescent="0.2">
      <c r="C577" s="1672"/>
      <c r="D577" s="1672"/>
    </row>
    <row r="578" spans="3:4" x14ac:dyDescent="0.2">
      <c r="C578" s="1672"/>
      <c r="D578" s="1672"/>
    </row>
    <row r="579" spans="3:4" x14ac:dyDescent="0.2">
      <c r="C579" s="1672"/>
      <c r="D579" s="1672"/>
    </row>
    <row r="580" spans="3:4" x14ac:dyDescent="0.2">
      <c r="C580" s="1672"/>
      <c r="D580" s="1672"/>
    </row>
    <row r="581" spans="3:4" x14ac:dyDescent="0.2">
      <c r="C581" s="1672"/>
      <c r="D581" s="1672"/>
    </row>
    <row r="582" spans="3:4" x14ac:dyDescent="0.2">
      <c r="C582" s="1672"/>
      <c r="D582" s="1672"/>
    </row>
    <row r="583" spans="3:4" x14ac:dyDescent="0.2">
      <c r="C583" s="1672"/>
      <c r="D583" s="1672"/>
    </row>
    <row r="584" spans="3:4" x14ac:dyDescent="0.2">
      <c r="C584" s="1672"/>
      <c r="D584" s="1672"/>
    </row>
    <row r="585" spans="3:4" x14ac:dyDescent="0.2">
      <c r="C585" s="1672"/>
      <c r="D585" s="1672"/>
    </row>
    <row r="586" spans="3:4" x14ac:dyDescent="0.2">
      <c r="C586" s="1672"/>
      <c r="D586" s="1672"/>
    </row>
    <row r="587" spans="3:4" x14ac:dyDescent="0.2">
      <c r="C587" s="1672"/>
      <c r="D587" s="1672"/>
    </row>
    <row r="588" spans="3:4" x14ac:dyDescent="0.2">
      <c r="C588" s="1672"/>
      <c r="D588" s="1672"/>
    </row>
    <row r="589" spans="3:4" x14ac:dyDescent="0.2">
      <c r="C589" s="1672"/>
      <c r="D589" s="1672"/>
    </row>
    <row r="590" spans="3:4" x14ac:dyDescent="0.2">
      <c r="C590" s="1672"/>
      <c r="D590" s="1672"/>
    </row>
    <row r="591" spans="3:4" x14ac:dyDescent="0.2">
      <c r="C591" s="1672"/>
      <c r="D591" s="1672"/>
    </row>
    <row r="592" spans="3:4" x14ac:dyDescent="0.2">
      <c r="C592" s="1672"/>
      <c r="D592" s="1672"/>
    </row>
    <row r="593" spans="3:4" x14ac:dyDescent="0.2">
      <c r="C593" s="1672"/>
      <c r="D593" s="1672"/>
    </row>
    <row r="594" spans="3:4" x14ac:dyDescent="0.2">
      <c r="C594" s="1672"/>
      <c r="D594" s="1672"/>
    </row>
    <row r="595" spans="3:4" x14ac:dyDescent="0.2">
      <c r="C595" s="1672"/>
      <c r="D595" s="1672"/>
    </row>
    <row r="596" spans="3:4" x14ac:dyDescent="0.2">
      <c r="C596" s="1672"/>
      <c r="D596" s="1672"/>
    </row>
    <row r="597" spans="3:4" x14ac:dyDescent="0.2">
      <c r="C597" s="1672"/>
      <c r="D597" s="1672"/>
    </row>
    <row r="598" spans="3:4" x14ac:dyDescent="0.2">
      <c r="C598" s="1672"/>
      <c r="D598" s="1672"/>
    </row>
    <row r="599" spans="3:4" x14ac:dyDescent="0.2">
      <c r="C599" s="1672"/>
      <c r="D599" s="1672"/>
    </row>
    <row r="600" spans="3:4" x14ac:dyDescent="0.2">
      <c r="C600" s="1672"/>
      <c r="D600" s="1672"/>
    </row>
    <row r="601" spans="3:4" x14ac:dyDescent="0.2">
      <c r="C601" s="1672"/>
      <c r="D601" s="1672"/>
    </row>
    <row r="602" spans="3:4" x14ac:dyDescent="0.2">
      <c r="C602" s="1672"/>
      <c r="D602" s="1672"/>
    </row>
    <row r="603" spans="3:4" x14ac:dyDescent="0.2">
      <c r="C603" s="1672"/>
      <c r="D603" s="1672"/>
    </row>
    <row r="604" spans="3:4" x14ac:dyDescent="0.2">
      <c r="C604" s="1672"/>
      <c r="D604" s="1672"/>
    </row>
    <row r="605" spans="3:4" x14ac:dyDescent="0.2">
      <c r="C605" s="1672"/>
      <c r="D605" s="1672"/>
    </row>
    <row r="606" spans="3:4" x14ac:dyDescent="0.2">
      <c r="C606" s="1672"/>
      <c r="D606" s="1672"/>
    </row>
    <row r="607" spans="3:4" x14ac:dyDescent="0.2">
      <c r="C607" s="1672"/>
      <c r="D607" s="1672"/>
    </row>
    <row r="608" spans="3:4" x14ac:dyDescent="0.2">
      <c r="C608" s="1672"/>
      <c r="D608" s="1672"/>
    </row>
    <row r="609" spans="3:4" x14ac:dyDescent="0.2">
      <c r="C609" s="1672"/>
      <c r="D609" s="1672"/>
    </row>
    <row r="610" spans="3:4" x14ac:dyDescent="0.2">
      <c r="C610" s="1672"/>
      <c r="D610" s="1672"/>
    </row>
    <row r="611" spans="3:4" x14ac:dyDescent="0.2">
      <c r="C611" s="1672"/>
      <c r="D611" s="1672"/>
    </row>
    <row r="612" spans="3:4" x14ac:dyDescent="0.2">
      <c r="C612" s="1672"/>
      <c r="D612" s="1672"/>
    </row>
    <row r="613" spans="3:4" x14ac:dyDescent="0.2">
      <c r="C613" s="1672"/>
      <c r="D613" s="1672"/>
    </row>
    <row r="614" spans="3:4" x14ac:dyDescent="0.2">
      <c r="C614" s="1672"/>
      <c r="D614" s="1672"/>
    </row>
    <row r="615" spans="3:4" x14ac:dyDescent="0.2">
      <c r="C615" s="1672"/>
      <c r="D615" s="1672"/>
    </row>
    <row r="616" spans="3:4" x14ac:dyDescent="0.2">
      <c r="C616" s="1672"/>
      <c r="D616" s="1672"/>
    </row>
    <row r="617" spans="3:4" x14ac:dyDescent="0.2">
      <c r="C617" s="1672"/>
      <c r="D617" s="1672"/>
    </row>
    <row r="618" spans="3:4" x14ac:dyDescent="0.2">
      <c r="C618" s="1672"/>
      <c r="D618" s="1672"/>
    </row>
    <row r="619" spans="3:4" x14ac:dyDescent="0.2">
      <c r="C619" s="1672"/>
      <c r="D619" s="1672"/>
    </row>
    <row r="620" spans="3:4" x14ac:dyDescent="0.2">
      <c r="C620" s="1672"/>
      <c r="D620" s="1672"/>
    </row>
    <row r="621" spans="3:4" x14ac:dyDescent="0.2">
      <c r="C621" s="1672"/>
      <c r="D621" s="1672"/>
    </row>
    <row r="622" spans="3:4" x14ac:dyDescent="0.2">
      <c r="C622" s="1672"/>
      <c r="D622" s="1672"/>
    </row>
    <row r="623" spans="3:4" x14ac:dyDescent="0.2">
      <c r="C623" s="1672"/>
      <c r="D623" s="1672"/>
    </row>
    <row r="624" spans="3:4" x14ac:dyDescent="0.2">
      <c r="C624" s="1672"/>
      <c r="D624" s="1672"/>
    </row>
    <row r="625" spans="3:4" x14ac:dyDescent="0.2">
      <c r="C625" s="1672"/>
      <c r="D625" s="1672"/>
    </row>
    <row r="626" spans="3:4" x14ac:dyDescent="0.2">
      <c r="C626" s="1672"/>
      <c r="D626" s="1672"/>
    </row>
    <row r="627" spans="3:4" x14ac:dyDescent="0.2">
      <c r="C627" s="1672"/>
      <c r="D627" s="1672"/>
    </row>
    <row r="628" spans="3:4" x14ac:dyDescent="0.2">
      <c r="C628" s="1672"/>
      <c r="D628" s="1672"/>
    </row>
    <row r="629" spans="3:4" x14ac:dyDescent="0.2">
      <c r="C629" s="1672"/>
      <c r="D629" s="1672"/>
    </row>
    <row r="630" spans="3:4" x14ac:dyDescent="0.2">
      <c r="C630" s="1672"/>
      <c r="D630" s="1672"/>
    </row>
    <row r="631" spans="3:4" x14ac:dyDescent="0.2">
      <c r="C631" s="1672"/>
      <c r="D631" s="1672"/>
    </row>
    <row r="632" spans="3:4" x14ac:dyDescent="0.2">
      <c r="C632" s="1672"/>
      <c r="D632" s="1672"/>
    </row>
    <row r="633" spans="3:4" x14ac:dyDescent="0.2">
      <c r="C633" s="1672"/>
      <c r="D633" s="1672"/>
    </row>
    <row r="634" spans="3:4" x14ac:dyDescent="0.2">
      <c r="C634" s="1672"/>
      <c r="D634" s="1672"/>
    </row>
    <row r="635" spans="3:4" x14ac:dyDescent="0.2">
      <c r="C635" s="1672"/>
      <c r="D635" s="1672"/>
    </row>
    <row r="636" spans="3:4" x14ac:dyDescent="0.2">
      <c r="C636" s="1672"/>
      <c r="D636" s="1672"/>
    </row>
    <row r="637" spans="3:4" x14ac:dyDescent="0.2">
      <c r="C637" s="1672"/>
      <c r="D637" s="1672"/>
    </row>
    <row r="638" spans="3:4" x14ac:dyDescent="0.2">
      <c r="C638" s="1672"/>
      <c r="D638" s="1672"/>
    </row>
    <row r="639" spans="3:4" x14ac:dyDescent="0.2">
      <c r="C639" s="1672"/>
      <c r="D639" s="1672"/>
    </row>
    <row r="640" spans="3:4" x14ac:dyDescent="0.2">
      <c r="C640" s="1672"/>
      <c r="D640" s="1672"/>
    </row>
    <row r="641" spans="3:4" x14ac:dyDescent="0.2">
      <c r="C641" s="1672"/>
      <c r="D641" s="1672"/>
    </row>
    <row r="642" spans="3:4" x14ac:dyDescent="0.2">
      <c r="C642" s="1672"/>
      <c r="D642" s="1672"/>
    </row>
    <row r="643" spans="3:4" x14ac:dyDescent="0.2">
      <c r="C643" s="1672"/>
      <c r="D643" s="1672"/>
    </row>
    <row r="644" spans="3:4" x14ac:dyDescent="0.2">
      <c r="C644" s="1672"/>
      <c r="D644" s="1672"/>
    </row>
    <row r="645" spans="3:4" x14ac:dyDescent="0.2">
      <c r="C645" s="1672"/>
      <c r="D645" s="1672"/>
    </row>
    <row r="646" spans="3:4" x14ac:dyDescent="0.2">
      <c r="C646" s="1672"/>
      <c r="D646" s="1672"/>
    </row>
    <row r="647" spans="3:4" x14ac:dyDescent="0.2">
      <c r="C647" s="1672"/>
      <c r="D647" s="1672"/>
    </row>
    <row r="648" spans="3:4" x14ac:dyDescent="0.2">
      <c r="C648" s="1672"/>
      <c r="D648" s="1672"/>
    </row>
    <row r="649" spans="3:4" x14ac:dyDescent="0.2">
      <c r="C649" s="1672"/>
      <c r="D649" s="1672"/>
    </row>
    <row r="650" spans="3:4" x14ac:dyDescent="0.2">
      <c r="C650" s="1672"/>
      <c r="D650" s="1672"/>
    </row>
    <row r="651" spans="3:4" x14ac:dyDescent="0.2">
      <c r="C651" s="1672"/>
      <c r="D651" s="1672"/>
    </row>
    <row r="652" spans="3:4" x14ac:dyDescent="0.2">
      <c r="C652" s="1672"/>
      <c r="D652" s="1672"/>
    </row>
    <row r="653" spans="3:4" x14ac:dyDescent="0.2">
      <c r="C653" s="1672"/>
      <c r="D653" s="1672"/>
    </row>
    <row r="654" spans="3:4" x14ac:dyDescent="0.2">
      <c r="C654" s="1672"/>
      <c r="D654" s="1672"/>
    </row>
    <row r="655" spans="3:4" x14ac:dyDescent="0.2">
      <c r="C655" s="1672"/>
      <c r="D655" s="1672"/>
    </row>
    <row r="656" spans="3:4" x14ac:dyDescent="0.2">
      <c r="C656" s="1672"/>
      <c r="D656" s="1672"/>
    </row>
    <row r="657" spans="3:4" x14ac:dyDescent="0.2">
      <c r="C657" s="1672"/>
      <c r="D657" s="1672"/>
    </row>
    <row r="658" spans="3:4" x14ac:dyDescent="0.2">
      <c r="C658" s="1672"/>
      <c r="D658" s="1672"/>
    </row>
    <row r="659" spans="3:4" x14ac:dyDescent="0.2">
      <c r="C659" s="1672"/>
      <c r="D659" s="1672"/>
    </row>
    <row r="660" spans="3:4" x14ac:dyDescent="0.2">
      <c r="C660" s="1672"/>
      <c r="D660" s="1672"/>
    </row>
    <row r="661" spans="3:4" x14ac:dyDescent="0.2">
      <c r="C661" s="1672"/>
      <c r="D661" s="1672"/>
    </row>
    <row r="662" spans="3:4" x14ac:dyDescent="0.2">
      <c r="C662" s="1672"/>
      <c r="D662" s="1672"/>
    </row>
    <row r="663" spans="3:4" x14ac:dyDescent="0.2">
      <c r="C663" s="1672"/>
      <c r="D663" s="1672"/>
    </row>
    <row r="664" spans="3:4" x14ac:dyDescent="0.2">
      <c r="C664" s="1672"/>
      <c r="D664" s="1672"/>
    </row>
    <row r="665" spans="3:4" x14ac:dyDescent="0.2">
      <c r="C665" s="1672"/>
      <c r="D665" s="1672"/>
    </row>
    <row r="666" spans="3:4" x14ac:dyDescent="0.2">
      <c r="C666" s="1672"/>
      <c r="D666" s="1672"/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topLeftCell="A127" zoomScale="76" zoomScaleNormal="76" workbookViewId="0">
      <selection activeCell="E48" sqref="E48"/>
    </sheetView>
  </sheetViews>
  <sheetFormatPr defaultColWidth="8.85546875" defaultRowHeight="12.75" zeroHeight="1" x14ac:dyDescent="0.2"/>
  <cols>
    <col min="1" max="1" width="66.5703125" style="2030" customWidth="1"/>
    <col min="2" max="2" width="19" style="2030" bestFit="1" customWidth="1"/>
    <col min="3" max="3" width="20.140625" style="2030" bestFit="1" customWidth="1"/>
    <col min="4" max="4" width="27.42578125" style="2030" customWidth="1"/>
    <col min="5" max="5" width="33.28515625" style="2030" customWidth="1"/>
    <col min="6" max="6" width="27.7109375" style="2030" customWidth="1"/>
    <col min="7" max="7" width="22.28515625" style="2030" customWidth="1"/>
    <col min="8" max="8" width="32" style="2030" customWidth="1"/>
    <col min="9" max="9" width="23.42578125" style="2030" customWidth="1"/>
    <col min="10" max="10" width="18.140625" style="2030" customWidth="1"/>
    <col min="11" max="11" width="16.7109375" style="2030" customWidth="1"/>
    <col min="12" max="12" width="13.42578125" style="2030" customWidth="1"/>
    <col min="13" max="13" width="15.28515625" style="2030" customWidth="1"/>
    <col min="14" max="14" width="11.140625" style="2030" customWidth="1"/>
    <col min="15" max="16" width="9.7109375" style="2030" customWidth="1"/>
    <col min="17" max="17" width="10.140625" style="2030" customWidth="1"/>
    <col min="18" max="19" width="17.140625" style="2030" customWidth="1"/>
    <col min="20" max="256" width="8.85546875" style="2030"/>
    <col min="257" max="257" width="86.7109375" style="2030" customWidth="1"/>
    <col min="258" max="258" width="23.140625" style="2030" customWidth="1"/>
    <col min="259" max="259" width="17.5703125" style="2030" customWidth="1"/>
    <col min="260" max="260" width="27.42578125" style="2030" customWidth="1"/>
    <col min="261" max="261" width="33.28515625" style="2030" customWidth="1"/>
    <col min="262" max="262" width="27.7109375" style="2030" customWidth="1"/>
    <col min="263" max="263" width="22.28515625" style="2030" customWidth="1"/>
    <col min="264" max="264" width="32" style="2030" customWidth="1"/>
    <col min="265" max="265" width="23.42578125" style="2030" customWidth="1"/>
    <col min="266" max="266" width="18.140625" style="2030" customWidth="1"/>
    <col min="267" max="267" width="16.7109375" style="2030" customWidth="1"/>
    <col min="268" max="268" width="13.42578125" style="2030" customWidth="1"/>
    <col min="269" max="269" width="15.28515625" style="2030" customWidth="1"/>
    <col min="270" max="270" width="11.140625" style="2030" customWidth="1"/>
    <col min="271" max="272" width="9.7109375" style="2030" customWidth="1"/>
    <col min="273" max="273" width="10.140625" style="2030" customWidth="1"/>
    <col min="274" max="275" width="17.140625" style="2030" customWidth="1"/>
    <col min="276" max="512" width="8.85546875" style="2030"/>
    <col min="513" max="513" width="86.7109375" style="2030" customWidth="1"/>
    <col min="514" max="514" width="23.140625" style="2030" customWidth="1"/>
    <col min="515" max="515" width="17.5703125" style="2030" customWidth="1"/>
    <col min="516" max="516" width="27.42578125" style="2030" customWidth="1"/>
    <col min="517" max="517" width="33.28515625" style="2030" customWidth="1"/>
    <col min="518" max="518" width="27.7109375" style="2030" customWidth="1"/>
    <col min="519" max="519" width="22.28515625" style="2030" customWidth="1"/>
    <col min="520" max="520" width="32" style="2030" customWidth="1"/>
    <col min="521" max="521" width="23.42578125" style="2030" customWidth="1"/>
    <col min="522" max="522" width="18.140625" style="2030" customWidth="1"/>
    <col min="523" max="523" width="16.7109375" style="2030" customWidth="1"/>
    <col min="524" max="524" width="13.42578125" style="2030" customWidth="1"/>
    <col min="525" max="525" width="15.28515625" style="2030" customWidth="1"/>
    <col min="526" max="526" width="11.140625" style="2030" customWidth="1"/>
    <col min="527" max="528" width="9.7109375" style="2030" customWidth="1"/>
    <col min="529" max="529" width="10.140625" style="2030" customWidth="1"/>
    <col min="530" max="531" width="17.140625" style="2030" customWidth="1"/>
    <col min="532" max="768" width="8.85546875" style="2030"/>
    <col min="769" max="769" width="86.7109375" style="2030" customWidth="1"/>
    <col min="770" max="770" width="23.140625" style="2030" customWidth="1"/>
    <col min="771" max="771" width="17.5703125" style="2030" customWidth="1"/>
    <col min="772" max="772" width="27.42578125" style="2030" customWidth="1"/>
    <col min="773" max="773" width="33.28515625" style="2030" customWidth="1"/>
    <col min="774" max="774" width="27.7109375" style="2030" customWidth="1"/>
    <col min="775" max="775" width="22.28515625" style="2030" customWidth="1"/>
    <col min="776" max="776" width="32" style="2030" customWidth="1"/>
    <col min="777" max="777" width="23.42578125" style="2030" customWidth="1"/>
    <col min="778" max="778" width="18.140625" style="2030" customWidth="1"/>
    <col min="779" max="779" width="16.7109375" style="2030" customWidth="1"/>
    <col min="780" max="780" width="13.42578125" style="2030" customWidth="1"/>
    <col min="781" max="781" width="15.28515625" style="2030" customWidth="1"/>
    <col min="782" max="782" width="11.140625" style="2030" customWidth="1"/>
    <col min="783" max="784" width="9.7109375" style="2030" customWidth="1"/>
    <col min="785" max="785" width="10.140625" style="2030" customWidth="1"/>
    <col min="786" max="787" width="17.140625" style="2030" customWidth="1"/>
    <col min="788" max="1024" width="8.85546875" style="2030"/>
    <col min="1025" max="1025" width="86.7109375" style="2030" customWidth="1"/>
    <col min="1026" max="1026" width="23.140625" style="2030" customWidth="1"/>
    <col min="1027" max="1027" width="17.5703125" style="2030" customWidth="1"/>
    <col min="1028" max="1028" width="27.42578125" style="2030" customWidth="1"/>
    <col min="1029" max="1029" width="33.28515625" style="2030" customWidth="1"/>
    <col min="1030" max="1030" width="27.7109375" style="2030" customWidth="1"/>
    <col min="1031" max="1031" width="22.28515625" style="2030" customWidth="1"/>
    <col min="1032" max="1032" width="32" style="2030" customWidth="1"/>
    <col min="1033" max="1033" width="23.42578125" style="2030" customWidth="1"/>
    <col min="1034" max="1034" width="18.140625" style="2030" customWidth="1"/>
    <col min="1035" max="1035" width="16.7109375" style="2030" customWidth="1"/>
    <col min="1036" max="1036" width="13.42578125" style="2030" customWidth="1"/>
    <col min="1037" max="1037" width="15.28515625" style="2030" customWidth="1"/>
    <col min="1038" max="1038" width="11.140625" style="2030" customWidth="1"/>
    <col min="1039" max="1040" width="9.7109375" style="2030" customWidth="1"/>
    <col min="1041" max="1041" width="10.140625" style="2030" customWidth="1"/>
    <col min="1042" max="1043" width="17.140625" style="2030" customWidth="1"/>
    <col min="1044" max="1280" width="8.85546875" style="2030"/>
    <col min="1281" max="1281" width="86.7109375" style="2030" customWidth="1"/>
    <col min="1282" max="1282" width="23.140625" style="2030" customWidth="1"/>
    <col min="1283" max="1283" width="17.5703125" style="2030" customWidth="1"/>
    <col min="1284" max="1284" width="27.42578125" style="2030" customWidth="1"/>
    <col min="1285" max="1285" width="33.28515625" style="2030" customWidth="1"/>
    <col min="1286" max="1286" width="27.7109375" style="2030" customWidth="1"/>
    <col min="1287" max="1287" width="22.28515625" style="2030" customWidth="1"/>
    <col min="1288" max="1288" width="32" style="2030" customWidth="1"/>
    <col min="1289" max="1289" width="23.42578125" style="2030" customWidth="1"/>
    <col min="1290" max="1290" width="18.140625" style="2030" customWidth="1"/>
    <col min="1291" max="1291" width="16.7109375" style="2030" customWidth="1"/>
    <col min="1292" max="1292" width="13.42578125" style="2030" customWidth="1"/>
    <col min="1293" max="1293" width="15.28515625" style="2030" customWidth="1"/>
    <col min="1294" max="1294" width="11.140625" style="2030" customWidth="1"/>
    <col min="1295" max="1296" width="9.7109375" style="2030" customWidth="1"/>
    <col min="1297" max="1297" width="10.140625" style="2030" customWidth="1"/>
    <col min="1298" max="1299" width="17.140625" style="2030" customWidth="1"/>
    <col min="1300" max="1536" width="8.85546875" style="2030"/>
    <col min="1537" max="1537" width="86.7109375" style="2030" customWidth="1"/>
    <col min="1538" max="1538" width="23.140625" style="2030" customWidth="1"/>
    <col min="1539" max="1539" width="17.5703125" style="2030" customWidth="1"/>
    <col min="1540" max="1540" width="27.42578125" style="2030" customWidth="1"/>
    <col min="1541" max="1541" width="33.28515625" style="2030" customWidth="1"/>
    <col min="1542" max="1542" width="27.7109375" style="2030" customWidth="1"/>
    <col min="1543" max="1543" width="22.28515625" style="2030" customWidth="1"/>
    <col min="1544" max="1544" width="32" style="2030" customWidth="1"/>
    <col min="1545" max="1545" width="23.42578125" style="2030" customWidth="1"/>
    <col min="1546" max="1546" width="18.140625" style="2030" customWidth="1"/>
    <col min="1547" max="1547" width="16.7109375" style="2030" customWidth="1"/>
    <col min="1548" max="1548" width="13.42578125" style="2030" customWidth="1"/>
    <col min="1549" max="1549" width="15.28515625" style="2030" customWidth="1"/>
    <col min="1550" max="1550" width="11.140625" style="2030" customWidth="1"/>
    <col min="1551" max="1552" width="9.7109375" style="2030" customWidth="1"/>
    <col min="1553" max="1553" width="10.140625" style="2030" customWidth="1"/>
    <col min="1554" max="1555" width="17.140625" style="2030" customWidth="1"/>
    <col min="1556" max="1792" width="8.85546875" style="2030"/>
    <col min="1793" max="1793" width="86.7109375" style="2030" customWidth="1"/>
    <col min="1794" max="1794" width="23.140625" style="2030" customWidth="1"/>
    <col min="1795" max="1795" width="17.5703125" style="2030" customWidth="1"/>
    <col min="1796" max="1796" width="27.42578125" style="2030" customWidth="1"/>
    <col min="1797" max="1797" width="33.28515625" style="2030" customWidth="1"/>
    <col min="1798" max="1798" width="27.7109375" style="2030" customWidth="1"/>
    <col min="1799" max="1799" width="22.28515625" style="2030" customWidth="1"/>
    <col min="1800" max="1800" width="32" style="2030" customWidth="1"/>
    <col min="1801" max="1801" width="23.42578125" style="2030" customWidth="1"/>
    <col min="1802" max="1802" width="18.140625" style="2030" customWidth="1"/>
    <col min="1803" max="1803" width="16.7109375" style="2030" customWidth="1"/>
    <col min="1804" max="1804" width="13.42578125" style="2030" customWidth="1"/>
    <col min="1805" max="1805" width="15.28515625" style="2030" customWidth="1"/>
    <col min="1806" max="1806" width="11.140625" style="2030" customWidth="1"/>
    <col min="1807" max="1808" width="9.7109375" style="2030" customWidth="1"/>
    <col min="1809" max="1809" width="10.140625" style="2030" customWidth="1"/>
    <col min="1810" max="1811" width="17.140625" style="2030" customWidth="1"/>
    <col min="1812" max="2048" width="8.85546875" style="2030"/>
    <col min="2049" max="2049" width="86.7109375" style="2030" customWidth="1"/>
    <col min="2050" max="2050" width="23.140625" style="2030" customWidth="1"/>
    <col min="2051" max="2051" width="17.5703125" style="2030" customWidth="1"/>
    <col min="2052" max="2052" width="27.42578125" style="2030" customWidth="1"/>
    <col min="2053" max="2053" width="33.28515625" style="2030" customWidth="1"/>
    <col min="2054" max="2054" width="27.7109375" style="2030" customWidth="1"/>
    <col min="2055" max="2055" width="22.28515625" style="2030" customWidth="1"/>
    <col min="2056" max="2056" width="32" style="2030" customWidth="1"/>
    <col min="2057" max="2057" width="23.42578125" style="2030" customWidth="1"/>
    <col min="2058" max="2058" width="18.140625" style="2030" customWidth="1"/>
    <col min="2059" max="2059" width="16.7109375" style="2030" customWidth="1"/>
    <col min="2060" max="2060" width="13.42578125" style="2030" customWidth="1"/>
    <col min="2061" max="2061" width="15.28515625" style="2030" customWidth="1"/>
    <col min="2062" max="2062" width="11.140625" style="2030" customWidth="1"/>
    <col min="2063" max="2064" width="9.7109375" style="2030" customWidth="1"/>
    <col min="2065" max="2065" width="10.140625" style="2030" customWidth="1"/>
    <col min="2066" max="2067" width="17.140625" style="2030" customWidth="1"/>
    <col min="2068" max="2304" width="8.85546875" style="2030"/>
    <col min="2305" max="2305" width="86.7109375" style="2030" customWidth="1"/>
    <col min="2306" max="2306" width="23.140625" style="2030" customWidth="1"/>
    <col min="2307" max="2307" width="17.5703125" style="2030" customWidth="1"/>
    <col min="2308" max="2308" width="27.42578125" style="2030" customWidth="1"/>
    <col min="2309" max="2309" width="33.28515625" style="2030" customWidth="1"/>
    <col min="2310" max="2310" width="27.7109375" style="2030" customWidth="1"/>
    <col min="2311" max="2311" width="22.28515625" style="2030" customWidth="1"/>
    <col min="2312" max="2312" width="32" style="2030" customWidth="1"/>
    <col min="2313" max="2313" width="23.42578125" style="2030" customWidth="1"/>
    <col min="2314" max="2314" width="18.140625" style="2030" customWidth="1"/>
    <col min="2315" max="2315" width="16.7109375" style="2030" customWidth="1"/>
    <col min="2316" max="2316" width="13.42578125" style="2030" customWidth="1"/>
    <col min="2317" max="2317" width="15.28515625" style="2030" customWidth="1"/>
    <col min="2318" max="2318" width="11.140625" style="2030" customWidth="1"/>
    <col min="2319" max="2320" width="9.7109375" style="2030" customWidth="1"/>
    <col min="2321" max="2321" width="10.140625" style="2030" customWidth="1"/>
    <col min="2322" max="2323" width="17.140625" style="2030" customWidth="1"/>
    <col min="2324" max="2560" width="8.85546875" style="2030"/>
    <col min="2561" max="2561" width="86.7109375" style="2030" customWidth="1"/>
    <col min="2562" max="2562" width="23.140625" style="2030" customWidth="1"/>
    <col min="2563" max="2563" width="17.5703125" style="2030" customWidth="1"/>
    <col min="2564" max="2564" width="27.42578125" style="2030" customWidth="1"/>
    <col min="2565" max="2565" width="33.28515625" style="2030" customWidth="1"/>
    <col min="2566" max="2566" width="27.7109375" style="2030" customWidth="1"/>
    <col min="2567" max="2567" width="22.28515625" style="2030" customWidth="1"/>
    <col min="2568" max="2568" width="32" style="2030" customWidth="1"/>
    <col min="2569" max="2569" width="23.42578125" style="2030" customWidth="1"/>
    <col min="2570" max="2570" width="18.140625" style="2030" customWidth="1"/>
    <col min="2571" max="2571" width="16.7109375" style="2030" customWidth="1"/>
    <col min="2572" max="2572" width="13.42578125" style="2030" customWidth="1"/>
    <col min="2573" max="2573" width="15.28515625" style="2030" customWidth="1"/>
    <col min="2574" max="2574" width="11.140625" style="2030" customWidth="1"/>
    <col min="2575" max="2576" width="9.7109375" style="2030" customWidth="1"/>
    <col min="2577" max="2577" width="10.140625" style="2030" customWidth="1"/>
    <col min="2578" max="2579" width="17.140625" style="2030" customWidth="1"/>
    <col min="2580" max="2816" width="8.85546875" style="2030"/>
    <col min="2817" max="2817" width="86.7109375" style="2030" customWidth="1"/>
    <col min="2818" max="2818" width="23.140625" style="2030" customWidth="1"/>
    <col min="2819" max="2819" width="17.5703125" style="2030" customWidth="1"/>
    <col min="2820" max="2820" width="27.42578125" style="2030" customWidth="1"/>
    <col min="2821" max="2821" width="33.28515625" style="2030" customWidth="1"/>
    <col min="2822" max="2822" width="27.7109375" style="2030" customWidth="1"/>
    <col min="2823" max="2823" width="22.28515625" style="2030" customWidth="1"/>
    <col min="2824" max="2824" width="32" style="2030" customWidth="1"/>
    <col min="2825" max="2825" width="23.42578125" style="2030" customWidth="1"/>
    <col min="2826" max="2826" width="18.140625" style="2030" customWidth="1"/>
    <col min="2827" max="2827" width="16.7109375" style="2030" customWidth="1"/>
    <col min="2828" max="2828" width="13.42578125" style="2030" customWidth="1"/>
    <col min="2829" max="2829" width="15.28515625" style="2030" customWidth="1"/>
    <col min="2830" max="2830" width="11.140625" style="2030" customWidth="1"/>
    <col min="2831" max="2832" width="9.7109375" style="2030" customWidth="1"/>
    <col min="2833" max="2833" width="10.140625" style="2030" customWidth="1"/>
    <col min="2834" max="2835" width="17.140625" style="2030" customWidth="1"/>
    <col min="2836" max="3072" width="8.85546875" style="2030"/>
    <col min="3073" max="3073" width="86.7109375" style="2030" customWidth="1"/>
    <col min="3074" max="3074" width="23.140625" style="2030" customWidth="1"/>
    <col min="3075" max="3075" width="17.5703125" style="2030" customWidth="1"/>
    <col min="3076" max="3076" width="27.42578125" style="2030" customWidth="1"/>
    <col min="3077" max="3077" width="33.28515625" style="2030" customWidth="1"/>
    <col min="3078" max="3078" width="27.7109375" style="2030" customWidth="1"/>
    <col min="3079" max="3079" width="22.28515625" style="2030" customWidth="1"/>
    <col min="3080" max="3080" width="32" style="2030" customWidth="1"/>
    <col min="3081" max="3081" width="23.42578125" style="2030" customWidth="1"/>
    <col min="3082" max="3082" width="18.140625" style="2030" customWidth="1"/>
    <col min="3083" max="3083" width="16.7109375" style="2030" customWidth="1"/>
    <col min="3084" max="3084" width="13.42578125" style="2030" customWidth="1"/>
    <col min="3085" max="3085" width="15.28515625" style="2030" customWidth="1"/>
    <col min="3086" max="3086" width="11.140625" style="2030" customWidth="1"/>
    <col min="3087" max="3088" width="9.7109375" style="2030" customWidth="1"/>
    <col min="3089" max="3089" width="10.140625" style="2030" customWidth="1"/>
    <col min="3090" max="3091" width="17.140625" style="2030" customWidth="1"/>
    <col min="3092" max="3328" width="8.85546875" style="2030"/>
    <col min="3329" max="3329" width="86.7109375" style="2030" customWidth="1"/>
    <col min="3330" max="3330" width="23.140625" style="2030" customWidth="1"/>
    <col min="3331" max="3331" width="17.5703125" style="2030" customWidth="1"/>
    <col min="3332" max="3332" width="27.42578125" style="2030" customWidth="1"/>
    <col min="3333" max="3333" width="33.28515625" style="2030" customWidth="1"/>
    <col min="3334" max="3334" width="27.7109375" style="2030" customWidth="1"/>
    <col min="3335" max="3335" width="22.28515625" style="2030" customWidth="1"/>
    <col min="3336" max="3336" width="32" style="2030" customWidth="1"/>
    <col min="3337" max="3337" width="23.42578125" style="2030" customWidth="1"/>
    <col min="3338" max="3338" width="18.140625" style="2030" customWidth="1"/>
    <col min="3339" max="3339" width="16.7109375" style="2030" customWidth="1"/>
    <col min="3340" max="3340" width="13.42578125" style="2030" customWidth="1"/>
    <col min="3341" max="3341" width="15.28515625" style="2030" customWidth="1"/>
    <col min="3342" max="3342" width="11.140625" style="2030" customWidth="1"/>
    <col min="3343" max="3344" width="9.7109375" style="2030" customWidth="1"/>
    <col min="3345" max="3345" width="10.140625" style="2030" customWidth="1"/>
    <col min="3346" max="3347" width="17.140625" style="2030" customWidth="1"/>
    <col min="3348" max="3584" width="8.85546875" style="2030"/>
    <col min="3585" max="3585" width="86.7109375" style="2030" customWidth="1"/>
    <col min="3586" max="3586" width="23.140625" style="2030" customWidth="1"/>
    <col min="3587" max="3587" width="17.5703125" style="2030" customWidth="1"/>
    <col min="3588" max="3588" width="27.42578125" style="2030" customWidth="1"/>
    <col min="3589" max="3589" width="33.28515625" style="2030" customWidth="1"/>
    <col min="3590" max="3590" width="27.7109375" style="2030" customWidth="1"/>
    <col min="3591" max="3591" width="22.28515625" style="2030" customWidth="1"/>
    <col min="3592" max="3592" width="32" style="2030" customWidth="1"/>
    <col min="3593" max="3593" width="23.42578125" style="2030" customWidth="1"/>
    <col min="3594" max="3594" width="18.140625" style="2030" customWidth="1"/>
    <col min="3595" max="3595" width="16.7109375" style="2030" customWidth="1"/>
    <col min="3596" max="3596" width="13.42578125" style="2030" customWidth="1"/>
    <col min="3597" max="3597" width="15.28515625" style="2030" customWidth="1"/>
    <col min="3598" max="3598" width="11.140625" style="2030" customWidth="1"/>
    <col min="3599" max="3600" width="9.7109375" style="2030" customWidth="1"/>
    <col min="3601" max="3601" width="10.140625" style="2030" customWidth="1"/>
    <col min="3602" max="3603" width="17.140625" style="2030" customWidth="1"/>
    <col min="3604" max="3840" width="8.85546875" style="2030"/>
    <col min="3841" max="3841" width="86.7109375" style="2030" customWidth="1"/>
    <col min="3842" max="3842" width="23.140625" style="2030" customWidth="1"/>
    <col min="3843" max="3843" width="17.5703125" style="2030" customWidth="1"/>
    <col min="3844" max="3844" width="27.42578125" style="2030" customWidth="1"/>
    <col min="3845" max="3845" width="33.28515625" style="2030" customWidth="1"/>
    <col min="3846" max="3846" width="27.7109375" style="2030" customWidth="1"/>
    <col min="3847" max="3847" width="22.28515625" style="2030" customWidth="1"/>
    <col min="3848" max="3848" width="32" style="2030" customWidth="1"/>
    <col min="3849" max="3849" width="23.42578125" style="2030" customWidth="1"/>
    <col min="3850" max="3850" width="18.140625" style="2030" customWidth="1"/>
    <col min="3851" max="3851" width="16.7109375" style="2030" customWidth="1"/>
    <col min="3852" max="3852" width="13.42578125" style="2030" customWidth="1"/>
    <col min="3853" max="3853" width="15.28515625" style="2030" customWidth="1"/>
    <col min="3854" max="3854" width="11.140625" style="2030" customWidth="1"/>
    <col min="3855" max="3856" width="9.7109375" style="2030" customWidth="1"/>
    <col min="3857" max="3857" width="10.140625" style="2030" customWidth="1"/>
    <col min="3858" max="3859" width="17.140625" style="2030" customWidth="1"/>
    <col min="3860" max="4096" width="8.85546875" style="2030"/>
    <col min="4097" max="4097" width="86.7109375" style="2030" customWidth="1"/>
    <col min="4098" max="4098" width="23.140625" style="2030" customWidth="1"/>
    <col min="4099" max="4099" width="17.5703125" style="2030" customWidth="1"/>
    <col min="4100" max="4100" width="27.42578125" style="2030" customWidth="1"/>
    <col min="4101" max="4101" width="33.28515625" style="2030" customWidth="1"/>
    <col min="4102" max="4102" width="27.7109375" style="2030" customWidth="1"/>
    <col min="4103" max="4103" width="22.28515625" style="2030" customWidth="1"/>
    <col min="4104" max="4104" width="32" style="2030" customWidth="1"/>
    <col min="4105" max="4105" width="23.42578125" style="2030" customWidth="1"/>
    <col min="4106" max="4106" width="18.140625" style="2030" customWidth="1"/>
    <col min="4107" max="4107" width="16.7109375" style="2030" customWidth="1"/>
    <col min="4108" max="4108" width="13.42578125" style="2030" customWidth="1"/>
    <col min="4109" max="4109" width="15.28515625" style="2030" customWidth="1"/>
    <col min="4110" max="4110" width="11.140625" style="2030" customWidth="1"/>
    <col min="4111" max="4112" width="9.7109375" style="2030" customWidth="1"/>
    <col min="4113" max="4113" width="10.140625" style="2030" customWidth="1"/>
    <col min="4114" max="4115" width="17.140625" style="2030" customWidth="1"/>
    <col min="4116" max="4352" width="8.85546875" style="2030"/>
    <col min="4353" max="4353" width="86.7109375" style="2030" customWidth="1"/>
    <col min="4354" max="4354" width="23.140625" style="2030" customWidth="1"/>
    <col min="4355" max="4355" width="17.5703125" style="2030" customWidth="1"/>
    <col min="4356" max="4356" width="27.42578125" style="2030" customWidth="1"/>
    <col min="4357" max="4357" width="33.28515625" style="2030" customWidth="1"/>
    <col min="4358" max="4358" width="27.7109375" style="2030" customWidth="1"/>
    <col min="4359" max="4359" width="22.28515625" style="2030" customWidth="1"/>
    <col min="4360" max="4360" width="32" style="2030" customWidth="1"/>
    <col min="4361" max="4361" width="23.42578125" style="2030" customWidth="1"/>
    <col min="4362" max="4362" width="18.140625" style="2030" customWidth="1"/>
    <col min="4363" max="4363" width="16.7109375" style="2030" customWidth="1"/>
    <col min="4364" max="4364" width="13.42578125" style="2030" customWidth="1"/>
    <col min="4365" max="4365" width="15.28515625" style="2030" customWidth="1"/>
    <col min="4366" max="4366" width="11.140625" style="2030" customWidth="1"/>
    <col min="4367" max="4368" width="9.7109375" style="2030" customWidth="1"/>
    <col min="4369" max="4369" width="10.140625" style="2030" customWidth="1"/>
    <col min="4370" max="4371" width="17.140625" style="2030" customWidth="1"/>
    <col min="4372" max="4608" width="8.85546875" style="2030"/>
    <col min="4609" max="4609" width="86.7109375" style="2030" customWidth="1"/>
    <col min="4610" max="4610" width="23.140625" style="2030" customWidth="1"/>
    <col min="4611" max="4611" width="17.5703125" style="2030" customWidth="1"/>
    <col min="4612" max="4612" width="27.42578125" style="2030" customWidth="1"/>
    <col min="4613" max="4613" width="33.28515625" style="2030" customWidth="1"/>
    <col min="4614" max="4614" width="27.7109375" style="2030" customWidth="1"/>
    <col min="4615" max="4615" width="22.28515625" style="2030" customWidth="1"/>
    <col min="4616" max="4616" width="32" style="2030" customWidth="1"/>
    <col min="4617" max="4617" width="23.42578125" style="2030" customWidth="1"/>
    <col min="4618" max="4618" width="18.140625" style="2030" customWidth="1"/>
    <col min="4619" max="4619" width="16.7109375" style="2030" customWidth="1"/>
    <col min="4620" max="4620" width="13.42578125" style="2030" customWidth="1"/>
    <col min="4621" max="4621" width="15.28515625" style="2030" customWidth="1"/>
    <col min="4622" max="4622" width="11.140625" style="2030" customWidth="1"/>
    <col min="4623" max="4624" width="9.7109375" style="2030" customWidth="1"/>
    <col min="4625" max="4625" width="10.140625" style="2030" customWidth="1"/>
    <col min="4626" max="4627" width="17.140625" style="2030" customWidth="1"/>
    <col min="4628" max="4864" width="8.85546875" style="2030"/>
    <col min="4865" max="4865" width="86.7109375" style="2030" customWidth="1"/>
    <col min="4866" max="4866" width="23.140625" style="2030" customWidth="1"/>
    <col min="4867" max="4867" width="17.5703125" style="2030" customWidth="1"/>
    <col min="4868" max="4868" width="27.42578125" style="2030" customWidth="1"/>
    <col min="4869" max="4869" width="33.28515625" style="2030" customWidth="1"/>
    <col min="4870" max="4870" width="27.7109375" style="2030" customWidth="1"/>
    <col min="4871" max="4871" width="22.28515625" style="2030" customWidth="1"/>
    <col min="4872" max="4872" width="32" style="2030" customWidth="1"/>
    <col min="4873" max="4873" width="23.42578125" style="2030" customWidth="1"/>
    <col min="4874" max="4874" width="18.140625" style="2030" customWidth="1"/>
    <col min="4875" max="4875" width="16.7109375" style="2030" customWidth="1"/>
    <col min="4876" max="4876" width="13.42578125" style="2030" customWidth="1"/>
    <col min="4877" max="4877" width="15.28515625" style="2030" customWidth="1"/>
    <col min="4878" max="4878" width="11.140625" style="2030" customWidth="1"/>
    <col min="4879" max="4880" width="9.7109375" style="2030" customWidth="1"/>
    <col min="4881" max="4881" width="10.140625" style="2030" customWidth="1"/>
    <col min="4882" max="4883" width="17.140625" style="2030" customWidth="1"/>
    <col min="4884" max="5120" width="8.85546875" style="2030"/>
    <col min="5121" max="5121" width="86.7109375" style="2030" customWidth="1"/>
    <col min="5122" max="5122" width="23.140625" style="2030" customWidth="1"/>
    <col min="5123" max="5123" width="17.5703125" style="2030" customWidth="1"/>
    <col min="5124" max="5124" width="27.42578125" style="2030" customWidth="1"/>
    <col min="5125" max="5125" width="33.28515625" style="2030" customWidth="1"/>
    <col min="5126" max="5126" width="27.7109375" style="2030" customWidth="1"/>
    <col min="5127" max="5127" width="22.28515625" style="2030" customWidth="1"/>
    <col min="5128" max="5128" width="32" style="2030" customWidth="1"/>
    <col min="5129" max="5129" width="23.42578125" style="2030" customWidth="1"/>
    <col min="5130" max="5130" width="18.140625" style="2030" customWidth="1"/>
    <col min="5131" max="5131" width="16.7109375" style="2030" customWidth="1"/>
    <col min="5132" max="5132" width="13.42578125" style="2030" customWidth="1"/>
    <col min="5133" max="5133" width="15.28515625" style="2030" customWidth="1"/>
    <col min="5134" max="5134" width="11.140625" style="2030" customWidth="1"/>
    <col min="5135" max="5136" width="9.7109375" style="2030" customWidth="1"/>
    <col min="5137" max="5137" width="10.140625" style="2030" customWidth="1"/>
    <col min="5138" max="5139" width="17.140625" style="2030" customWidth="1"/>
    <col min="5140" max="5376" width="8.85546875" style="2030"/>
    <col min="5377" max="5377" width="86.7109375" style="2030" customWidth="1"/>
    <col min="5378" max="5378" width="23.140625" style="2030" customWidth="1"/>
    <col min="5379" max="5379" width="17.5703125" style="2030" customWidth="1"/>
    <col min="5380" max="5380" width="27.42578125" style="2030" customWidth="1"/>
    <col min="5381" max="5381" width="33.28515625" style="2030" customWidth="1"/>
    <col min="5382" max="5382" width="27.7109375" style="2030" customWidth="1"/>
    <col min="5383" max="5383" width="22.28515625" style="2030" customWidth="1"/>
    <col min="5384" max="5384" width="32" style="2030" customWidth="1"/>
    <col min="5385" max="5385" width="23.42578125" style="2030" customWidth="1"/>
    <col min="5386" max="5386" width="18.140625" style="2030" customWidth="1"/>
    <col min="5387" max="5387" width="16.7109375" style="2030" customWidth="1"/>
    <col min="5388" max="5388" width="13.42578125" style="2030" customWidth="1"/>
    <col min="5389" max="5389" width="15.28515625" style="2030" customWidth="1"/>
    <col min="5390" max="5390" width="11.140625" style="2030" customWidth="1"/>
    <col min="5391" max="5392" width="9.7109375" style="2030" customWidth="1"/>
    <col min="5393" max="5393" width="10.140625" style="2030" customWidth="1"/>
    <col min="5394" max="5395" width="17.140625" style="2030" customWidth="1"/>
    <col min="5396" max="5632" width="8.85546875" style="2030"/>
    <col min="5633" max="5633" width="86.7109375" style="2030" customWidth="1"/>
    <col min="5634" max="5634" width="23.140625" style="2030" customWidth="1"/>
    <col min="5635" max="5635" width="17.5703125" style="2030" customWidth="1"/>
    <col min="5636" max="5636" width="27.42578125" style="2030" customWidth="1"/>
    <col min="5637" max="5637" width="33.28515625" style="2030" customWidth="1"/>
    <col min="5638" max="5638" width="27.7109375" style="2030" customWidth="1"/>
    <col min="5639" max="5639" width="22.28515625" style="2030" customWidth="1"/>
    <col min="5640" max="5640" width="32" style="2030" customWidth="1"/>
    <col min="5641" max="5641" width="23.42578125" style="2030" customWidth="1"/>
    <col min="5642" max="5642" width="18.140625" style="2030" customWidth="1"/>
    <col min="5643" max="5643" width="16.7109375" style="2030" customWidth="1"/>
    <col min="5644" max="5644" width="13.42578125" style="2030" customWidth="1"/>
    <col min="5645" max="5645" width="15.28515625" style="2030" customWidth="1"/>
    <col min="5646" max="5646" width="11.140625" style="2030" customWidth="1"/>
    <col min="5647" max="5648" width="9.7109375" style="2030" customWidth="1"/>
    <col min="5649" max="5649" width="10.140625" style="2030" customWidth="1"/>
    <col min="5650" max="5651" width="17.140625" style="2030" customWidth="1"/>
    <col min="5652" max="5888" width="8.85546875" style="2030"/>
    <col min="5889" max="5889" width="86.7109375" style="2030" customWidth="1"/>
    <col min="5890" max="5890" width="23.140625" style="2030" customWidth="1"/>
    <col min="5891" max="5891" width="17.5703125" style="2030" customWidth="1"/>
    <col min="5892" max="5892" width="27.42578125" style="2030" customWidth="1"/>
    <col min="5893" max="5893" width="33.28515625" style="2030" customWidth="1"/>
    <col min="5894" max="5894" width="27.7109375" style="2030" customWidth="1"/>
    <col min="5895" max="5895" width="22.28515625" style="2030" customWidth="1"/>
    <col min="5896" max="5896" width="32" style="2030" customWidth="1"/>
    <col min="5897" max="5897" width="23.42578125" style="2030" customWidth="1"/>
    <col min="5898" max="5898" width="18.140625" style="2030" customWidth="1"/>
    <col min="5899" max="5899" width="16.7109375" style="2030" customWidth="1"/>
    <col min="5900" max="5900" width="13.42578125" style="2030" customWidth="1"/>
    <col min="5901" max="5901" width="15.28515625" style="2030" customWidth="1"/>
    <col min="5902" max="5902" width="11.140625" style="2030" customWidth="1"/>
    <col min="5903" max="5904" width="9.7109375" style="2030" customWidth="1"/>
    <col min="5905" max="5905" width="10.140625" style="2030" customWidth="1"/>
    <col min="5906" max="5907" width="17.140625" style="2030" customWidth="1"/>
    <col min="5908" max="6144" width="8.85546875" style="2030"/>
    <col min="6145" max="6145" width="86.7109375" style="2030" customWidth="1"/>
    <col min="6146" max="6146" width="23.140625" style="2030" customWidth="1"/>
    <col min="6147" max="6147" width="17.5703125" style="2030" customWidth="1"/>
    <col min="6148" max="6148" width="27.42578125" style="2030" customWidth="1"/>
    <col min="6149" max="6149" width="33.28515625" style="2030" customWidth="1"/>
    <col min="6150" max="6150" width="27.7109375" style="2030" customWidth="1"/>
    <col min="6151" max="6151" width="22.28515625" style="2030" customWidth="1"/>
    <col min="6152" max="6152" width="32" style="2030" customWidth="1"/>
    <col min="6153" max="6153" width="23.42578125" style="2030" customWidth="1"/>
    <col min="6154" max="6154" width="18.140625" style="2030" customWidth="1"/>
    <col min="6155" max="6155" width="16.7109375" style="2030" customWidth="1"/>
    <col min="6156" max="6156" width="13.42578125" style="2030" customWidth="1"/>
    <col min="6157" max="6157" width="15.28515625" style="2030" customWidth="1"/>
    <col min="6158" max="6158" width="11.140625" style="2030" customWidth="1"/>
    <col min="6159" max="6160" width="9.7109375" style="2030" customWidth="1"/>
    <col min="6161" max="6161" width="10.140625" style="2030" customWidth="1"/>
    <col min="6162" max="6163" width="17.140625" style="2030" customWidth="1"/>
    <col min="6164" max="6400" width="8.85546875" style="2030"/>
    <col min="6401" max="6401" width="86.7109375" style="2030" customWidth="1"/>
    <col min="6402" max="6402" width="23.140625" style="2030" customWidth="1"/>
    <col min="6403" max="6403" width="17.5703125" style="2030" customWidth="1"/>
    <col min="6404" max="6404" width="27.42578125" style="2030" customWidth="1"/>
    <col min="6405" max="6405" width="33.28515625" style="2030" customWidth="1"/>
    <col min="6406" max="6406" width="27.7109375" style="2030" customWidth="1"/>
    <col min="6407" max="6407" width="22.28515625" style="2030" customWidth="1"/>
    <col min="6408" max="6408" width="32" style="2030" customWidth="1"/>
    <col min="6409" max="6409" width="23.42578125" style="2030" customWidth="1"/>
    <col min="6410" max="6410" width="18.140625" style="2030" customWidth="1"/>
    <col min="6411" max="6411" width="16.7109375" style="2030" customWidth="1"/>
    <col min="6412" max="6412" width="13.42578125" style="2030" customWidth="1"/>
    <col min="6413" max="6413" width="15.28515625" style="2030" customWidth="1"/>
    <col min="6414" max="6414" width="11.140625" style="2030" customWidth="1"/>
    <col min="6415" max="6416" width="9.7109375" style="2030" customWidth="1"/>
    <col min="6417" max="6417" width="10.140625" style="2030" customWidth="1"/>
    <col min="6418" max="6419" width="17.140625" style="2030" customWidth="1"/>
    <col min="6420" max="6656" width="8.85546875" style="2030"/>
    <col min="6657" max="6657" width="86.7109375" style="2030" customWidth="1"/>
    <col min="6658" max="6658" width="23.140625" style="2030" customWidth="1"/>
    <col min="6659" max="6659" width="17.5703125" style="2030" customWidth="1"/>
    <col min="6660" max="6660" width="27.42578125" style="2030" customWidth="1"/>
    <col min="6661" max="6661" width="33.28515625" style="2030" customWidth="1"/>
    <col min="6662" max="6662" width="27.7109375" style="2030" customWidth="1"/>
    <col min="6663" max="6663" width="22.28515625" style="2030" customWidth="1"/>
    <col min="6664" max="6664" width="32" style="2030" customWidth="1"/>
    <col min="6665" max="6665" width="23.42578125" style="2030" customWidth="1"/>
    <col min="6666" max="6666" width="18.140625" style="2030" customWidth="1"/>
    <col min="6667" max="6667" width="16.7109375" style="2030" customWidth="1"/>
    <col min="6668" max="6668" width="13.42578125" style="2030" customWidth="1"/>
    <col min="6669" max="6669" width="15.28515625" style="2030" customWidth="1"/>
    <col min="6670" max="6670" width="11.140625" style="2030" customWidth="1"/>
    <col min="6671" max="6672" width="9.7109375" style="2030" customWidth="1"/>
    <col min="6673" max="6673" width="10.140625" style="2030" customWidth="1"/>
    <col min="6674" max="6675" width="17.140625" style="2030" customWidth="1"/>
    <col min="6676" max="6912" width="8.85546875" style="2030"/>
    <col min="6913" max="6913" width="86.7109375" style="2030" customWidth="1"/>
    <col min="6914" max="6914" width="23.140625" style="2030" customWidth="1"/>
    <col min="6915" max="6915" width="17.5703125" style="2030" customWidth="1"/>
    <col min="6916" max="6916" width="27.42578125" style="2030" customWidth="1"/>
    <col min="6917" max="6917" width="33.28515625" style="2030" customWidth="1"/>
    <col min="6918" max="6918" width="27.7109375" style="2030" customWidth="1"/>
    <col min="6919" max="6919" width="22.28515625" style="2030" customWidth="1"/>
    <col min="6920" max="6920" width="32" style="2030" customWidth="1"/>
    <col min="6921" max="6921" width="23.42578125" style="2030" customWidth="1"/>
    <col min="6922" max="6922" width="18.140625" style="2030" customWidth="1"/>
    <col min="6923" max="6923" width="16.7109375" style="2030" customWidth="1"/>
    <col min="6924" max="6924" width="13.42578125" style="2030" customWidth="1"/>
    <col min="6925" max="6925" width="15.28515625" style="2030" customWidth="1"/>
    <col min="6926" max="6926" width="11.140625" style="2030" customWidth="1"/>
    <col min="6927" max="6928" width="9.7109375" style="2030" customWidth="1"/>
    <col min="6929" max="6929" width="10.140625" style="2030" customWidth="1"/>
    <col min="6930" max="6931" width="17.140625" style="2030" customWidth="1"/>
    <col min="6932" max="7168" width="8.85546875" style="2030"/>
    <col min="7169" max="7169" width="86.7109375" style="2030" customWidth="1"/>
    <col min="7170" max="7170" width="23.140625" style="2030" customWidth="1"/>
    <col min="7171" max="7171" width="17.5703125" style="2030" customWidth="1"/>
    <col min="7172" max="7172" width="27.42578125" style="2030" customWidth="1"/>
    <col min="7173" max="7173" width="33.28515625" style="2030" customWidth="1"/>
    <col min="7174" max="7174" width="27.7109375" style="2030" customWidth="1"/>
    <col min="7175" max="7175" width="22.28515625" style="2030" customWidth="1"/>
    <col min="7176" max="7176" width="32" style="2030" customWidth="1"/>
    <col min="7177" max="7177" width="23.42578125" style="2030" customWidth="1"/>
    <col min="7178" max="7178" width="18.140625" style="2030" customWidth="1"/>
    <col min="7179" max="7179" width="16.7109375" style="2030" customWidth="1"/>
    <col min="7180" max="7180" width="13.42578125" style="2030" customWidth="1"/>
    <col min="7181" max="7181" width="15.28515625" style="2030" customWidth="1"/>
    <col min="7182" max="7182" width="11.140625" style="2030" customWidth="1"/>
    <col min="7183" max="7184" width="9.7109375" style="2030" customWidth="1"/>
    <col min="7185" max="7185" width="10.140625" style="2030" customWidth="1"/>
    <col min="7186" max="7187" width="17.140625" style="2030" customWidth="1"/>
    <col min="7188" max="7424" width="8.85546875" style="2030"/>
    <col min="7425" max="7425" width="86.7109375" style="2030" customWidth="1"/>
    <col min="7426" max="7426" width="23.140625" style="2030" customWidth="1"/>
    <col min="7427" max="7427" width="17.5703125" style="2030" customWidth="1"/>
    <col min="7428" max="7428" width="27.42578125" style="2030" customWidth="1"/>
    <col min="7429" max="7429" width="33.28515625" style="2030" customWidth="1"/>
    <col min="7430" max="7430" width="27.7109375" style="2030" customWidth="1"/>
    <col min="7431" max="7431" width="22.28515625" style="2030" customWidth="1"/>
    <col min="7432" max="7432" width="32" style="2030" customWidth="1"/>
    <col min="7433" max="7433" width="23.42578125" style="2030" customWidth="1"/>
    <col min="7434" max="7434" width="18.140625" style="2030" customWidth="1"/>
    <col min="7435" max="7435" width="16.7109375" style="2030" customWidth="1"/>
    <col min="7436" max="7436" width="13.42578125" style="2030" customWidth="1"/>
    <col min="7437" max="7437" width="15.28515625" style="2030" customWidth="1"/>
    <col min="7438" max="7438" width="11.140625" style="2030" customWidth="1"/>
    <col min="7439" max="7440" width="9.7109375" style="2030" customWidth="1"/>
    <col min="7441" max="7441" width="10.140625" style="2030" customWidth="1"/>
    <col min="7442" max="7443" width="17.140625" style="2030" customWidth="1"/>
    <col min="7444" max="7680" width="8.85546875" style="2030"/>
    <col min="7681" max="7681" width="86.7109375" style="2030" customWidth="1"/>
    <col min="7682" max="7682" width="23.140625" style="2030" customWidth="1"/>
    <col min="7683" max="7683" width="17.5703125" style="2030" customWidth="1"/>
    <col min="7684" max="7684" width="27.42578125" style="2030" customWidth="1"/>
    <col min="7685" max="7685" width="33.28515625" style="2030" customWidth="1"/>
    <col min="7686" max="7686" width="27.7109375" style="2030" customWidth="1"/>
    <col min="7687" max="7687" width="22.28515625" style="2030" customWidth="1"/>
    <col min="7688" max="7688" width="32" style="2030" customWidth="1"/>
    <col min="7689" max="7689" width="23.42578125" style="2030" customWidth="1"/>
    <col min="7690" max="7690" width="18.140625" style="2030" customWidth="1"/>
    <col min="7691" max="7691" width="16.7109375" style="2030" customWidth="1"/>
    <col min="7692" max="7692" width="13.42578125" style="2030" customWidth="1"/>
    <col min="7693" max="7693" width="15.28515625" style="2030" customWidth="1"/>
    <col min="7694" max="7694" width="11.140625" style="2030" customWidth="1"/>
    <col min="7695" max="7696" width="9.7109375" style="2030" customWidth="1"/>
    <col min="7697" max="7697" width="10.140625" style="2030" customWidth="1"/>
    <col min="7698" max="7699" width="17.140625" style="2030" customWidth="1"/>
    <col min="7700" max="7936" width="8.85546875" style="2030"/>
    <col min="7937" max="7937" width="86.7109375" style="2030" customWidth="1"/>
    <col min="7938" max="7938" width="23.140625" style="2030" customWidth="1"/>
    <col min="7939" max="7939" width="17.5703125" style="2030" customWidth="1"/>
    <col min="7940" max="7940" width="27.42578125" style="2030" customWidth="1"/>
    <col min="7941" max="7941" width="33.28515625" style="2030" customWidth="1"/>
    <col min="7942" max="7942" width="27.7109375" style="2030" customWidth="1"/>
    <col min="7943" max="7943" width="22.28515625" style="2030" customWidth="1"/>
    <col min="7944" max="7944" width="32" style="2030" customWidth="1"/>
    <col min="7945" max="7945" width="23.42578125" style="2030" customWidth="1"/>
    <col min="7946" max="7946" width="18.140625" style="2030" customWidth="1"/>
    <col min="7947" max="7947" width="16.7109375" style="2030" customWidth="1"/>
    <col min="7948" max="7948" width="13.42578125" style="2030" customWidth="1"/>
    <col min="7949" max="7949" width="15.28515625" style="2030" customWidth="1"/>
    <col min="7950" max="7950" width="11.140625" style="2030" customWidth="1"/>
    <col min="7951" max="7952" width="9.7109375" style="2030" customWidth="1"/>
    <col min="7953" max="7953" width="10.140625" style="2030" customWidth="1"/>
    <col min="7954" max="7955" width="17.140625" style="2030" customWidth="1"/>
    <col min="7956" max="8192" width="8.85546875" style="2030"/>
    <col min="8193" max="8193" width="86.7109375" style="2030" customWidth="1"/>
    <col min="8194" max="8194" width="23.140625" style="2030" customWidth="1"/>
    <col min="8195" max="8195" width="17.5703125" style="2030" customWidth="1"/>
    <col min="8196" max="8196" width="27.42578125" style="2030" customWidth="1"/>
    <col min="8197" max="8197" width="33.28515625" style="2030" customWidth="1"/>
    <col min="8198" max="8198" width="27.7109375" style="2030" customWidth="1"/>
    <col min="8199" max="8199" width="22.28515625" style="2030" customWidth="1"/>
    <col min="8200" max="8200" width="32" style="2030" customWidth="1"/>
    <col min="8201" max="8201" width="23.42578125" style="2030" customWidth="1"/>
    <col min="8202" max="8202" width="18.140625" style="2030" customWidth="1"/>
    <col min="8203" max="8203" width="16.7109375" style="2030" customWidth="1"/>
    <col min="8204" max="8204" width="13.42578125" style="2030" customWidth="1"/>
    <col min="8205" max="8205" width="15.28515625" style="2030" customWidth="1"/>
    <col min="8206" max="8206" width="11.140625" style="2030" customWidth="1"/>
    <col min="8207" max="8208" width="9.7109375" style="2030" customWidth="1"/>
    <col min="8209" max="8209" width="10.140625" style="2030" customWidth="1"/>
    <col min="8210" max="8211" width="17.140625" style="2030" customWidth="1"/>
    <col min="8212" max="8448" width="8.85546875" style="2030"/>
    <col min="8449" max="8449" width="86.7109375" style="2030" customWidth="1"/>
    <col min="8450" max="8450" width="23.140625" style="2030" customWidth="1"/>
    <col min="8451" max="8451" width="17.5703125" style="2030" customWidth="1"/>
    <col min="8452" max="8452" width="27.42578125" style="2030" customWidth="1"/>
    <col min="8453" max="8453" width="33.28515625" style="2030" customWidth="1"/>
    <col min="8454" max="8454" width="27.7109375" style="2030" customWidth="1"/>
    <col min="8455" max="8455" width="22.28515625" style="2030" customWidth="1"/>
    <col min="8456" max="8456" width="32" style="2030" customWidth="1"/>
    <col min="8457" max="8457" width="23.42578125" style="2030" customWidth="1"/>
    <col min="8458" max="8458" width="18.140625" style="2030" customWidth="1"/>
    <col min="8459" max="8459" width="16.7109375" style="2030" customWidth="1"/>
    <col min="8460" max="8460" width="13.42578125" style="2030" customWidth="1"/>
    <col min="8461" max="8461" width="15.28515625" style="2030" customWidth="1"/>
    <col min="8462" max="8462" width="11.140625" style="2030" customWidth="1"/>
    <col min="8463" max="8464" width="9.7109375" style="2030" customWidth="1"/>
    <col min="8465" max="8465" width="10.140625" style="2030" customWidth="1"/>
    <col min="8466" max="8467" width="17.140625" style="2030" customWidth="1"/>
    <col min="8468" max="8704" width="8.85546875" style="2030"/>
    <col min="8705" max="8705" width="86.7109375" style="2030" customWidth="1"/>
    <col min="8706" max="8706" width="23.140625" style="2030" customWidth="1"/>
    <col min="8707" max="8707" width="17.5703125" style="2030" customWidth="1"/>
    <col min="8708" max="8708" width="27.42578125" style="2030" customWidth="1"/>
    <col min="8709" max="8709" width="33.28515625" style="2030" customWidth="1"/>
    <col min="8710" max="8710" width="27.7109375" style="2030" customWidth="1"/>
    <col min="8711" max="8711" width="22.28515625" style="2030" customWidth="1"/>
    <col min="8712" max="8712" width="32" style="2030" customWidth="1"/>
    <col min="8713" max="8713" width="23.42578125" style="2030" customWidth="1"/>
    <col min="8714" max="8714" width="18.140625" style="2030" customWidth="1"/>
    <col min="8715" max="8715" width="16.7109375" style="2030" customWidth="1"/>
    <col min="8716" max="8716" width="13.42578125" style="2030" customWidth="1"/>
    <col min="8717" max="8717" width="15.28515625" style="2030" customWidth="1"/>
    <col min="8718" max="8718" width="11.140625" style="2030" customWidth="1"/>
    <col min="8719" max="8720" width="9.7109375" style="2030" customWidth="1"/>
    <col min="8721" max="8721" width="10.140625" style="2030" customWidth="1"/>
    <col min="8722" max="8723" width="17.140625" style="2030" customWidth="1"/>
    <col min="8724" max="8960" width="8.85546875" style="2030"/>
    <col min="8961" max="8961" width="86.7109375" style="2030" customWidth="1"/>
    <col min="8962" max="8962" width="23.140625" style="2030" customWidth="1"/>
    <col min="8963" max="8963" width="17.5703125" style="2030" customWidth="1"/>
    <col min="8964" max="8964" width="27.42578125" style="2030" customWidth="1"/>
    <col min="8965" max="8965" width="33.28515625" style="2030" customWidth="1"/>
    <col min="8966" max="8966" width="27.7109375" style="2030" customWidth="1"/>
    <col min="8967" max="8967" width="22.28515625" style="2030" customWidth="1"/>
    <col min="8968" max="8968" width="32" style="2030" customWidth="1"/>
    <col min="8969" max="8969" width="23.42578125" style="2030" customWidth="1"/>
    <col min="8970" max="8970" width="18.140625" style="2030" customWidth="1"/>
    <col min="8971" max="8971" width="16.7109375" style="2030" customWidth="1"/>
    <col min="8972" max="8972" width="13.42578125" style="2030" customWidth="1"/>
    <col min="8973" max="8973" width="15.28515625" style="2030" customWidth="1"/>
    <col min="8974" max="8974" width="11.140625" style="2030" customWidth="1"/>
    <col min="8975" max="8976" width="9.7109375" style="2030" customWidth="1"/>
    <col min="8977" max="8977" width="10.140625" style="2030" customWidth="1"/>
    <col min="8978" max="8979" width="17.140625" style="2030" customWidth="1"/>
    <col min="8980" max="9216" width="8.85546875" style="2030"/>
    <col min="9217" max="9217" width="86.7109375" style="2030" customWidth="1"/>
    <col min="9218" max="9218" width="23.140625" style="2030" customWidth="1"/>
    <col min="9219" max="9219" width="17.5703125" style="2030" customWidth="1"/>
    <col min="9220" max="9220" width="27.42578125" style="2030" customWidth="1"/>
    <col min="9221" max="9221" width="33.28515625" style="2030" customWidth="1"/>
    <col min="9222" max="9222" width="27.7109375" style="2030" customWidth="1"/>
    <col min="9223" max="9223" width="22.28515625" style="2030" customWidth="1"/>
    <col min="9224" max="9224" width="32" style="2030" customWidth="1"/>
    <col min="9225" max="9225" width="23.42578125" style="2030" customWidth="1"/>
    <col min="9226" max="9226" width="18.140625" style="2030" customWidth="1"/>
    <col min="9227" max="9227" width="16.7109375" style="2030" customWidth="1"/>
    <col min="9228" max="9228" width="13.42578125" style="2030" customWidth="1"/>
    <col min="9229" max="9229" width="15.28515625" style="2030" customWidth="1"/>
    <col min="9230" max="9230" width="11.140625" style="2030" customWidth="1"/>
    <col min="9231" max="9232" width="9.7109375" style="2030" customWidth="1"/>
    <col min="9233" max="9233" width="10.140625" style="2030" customWidth="1"/>
    <col min="9234" max="9235" width="17.140625" style="2030" customWidth="1"/>
    <col min="9236" max="9472" width="8.85546875" style="2030"/>
    <col min="9473" max="9473" width="86.7109375" style="2030" customWidth="1"/>
    <col min="9474" max="9474" width="23.140625" style="2030" customWidth="1"/>
    <col min="9475" max="9475" width="17.5703125" style="2030" customWidth="1"/>
    <col min="9476" max="9476" width="27.42578125" style="2030" customWidth="1"/>
    <col min="9477" max="9477" width="33.28515625" style="2030" customWidth="1"/>
    <col min="9478" max="9478" width="27.7109375" style="2030" customWidth="1"/>
    <col min="9479" max="9479" width="22.28515625" style="2030" customWidth="1"/>
    <col min="9480" max="9480" width="32" style="2030" customWidth="1"/>
    <col min="9481" max="9481" width="23.42578125" style="2030" customWidth="1"/>
    <col min="9482" max="9482" width="18.140625" style="2030" customWidth="1"/>
    <col min="9483" max="9483" width="16.7109375" style="2030" customWidth="1"/>
    <col min="9484" max="9484" width="13.42578125" style="2030" customWidth="1"/>
    <col min="9485" max="9485" width="15.28515625" style="2030" customWidth="1"/>
    <col min="9486" max="9486" width="11.140625" style="2030" customWidth="1"/>
    <col min="9487" max="9488" width="9.7109375" style="2030" customWidth="1"/>
    <col min="9489" max="9489" width="10.140625" style="2030" customWidth="1"/>
    <col min="9490" max="9491" width="17.140625" style="2030" customWidth="1"/>
    <col min="9492" max="9728" width="8.85546875" style="2030"/>
    <col min="9729" max="9729" width="86.7109375" style="2030" customWidth="1"/>
    <col min="9730" max="9730" width="23.140625" style="2030" customWidth="1"/>
    <col min="9731" max="9731" width="17.5703125" style="2030" customWidth="1"/>
    <col min="9732" max="9732" width="27.42578125" style="2030" customWidth="1"/>
    <col min="9733" max="9733" width="33.28515625" style="2030" customWidth="1"/>
    <col min="9734" max="9734" width="27.7109375" style="2030" customWidth="1"/>
    <col min="9735" max="9735" width="22.28515625" style="2030" customWidth="1"/>
    <col min="9736" max="9736" width="32" style="2030" customWidth="1"/>
    <col min="9737" max="9737" width="23.42578125" style="2030" customWidth="1"/>
    <col min="9738" max="9738" width="18.140625" style="2030" customWidth="1"/>
    <col min="9739" max="9739" width="16.7109375" style="2030" customWidth="1"/>
    <col min="9740" max="9740" width="13.42578125" style="2030" customWidth="1"/>
    <col min="9741" max="9741" width="15.28515625" style="2030" customWidth="1"/>
    <col min="9742" max="9742" width="11.140625" style="2030" customWidth="1"/>
    <col min="9743" max="9744" width="9.7109375" style="2030" customWidth="1"/>
    <col min="9745" max="9745" width="10.140625" style="2030" customWidth="1"/>
    <col min="9746" max="9747" width="17.140625" style="2030" customWidth="1"/>
    <col min="9748" max="9984" width="8.85546875" style="2030"/>
    <col min="9985" max="9985" width="86.7109375" style="2030" customWidth="1"/>
    <col min="9986" max="9986" width="23.140625" style="2030" customWidth="1"/>
    <col min="9987" max="9987" width="17.5703125" style="2030" customWidth="1"/>
    <col min="9988" max="9988" width="27.42578125" style="2030" customWidth="1"/>
    <col min="9989" max="9989" width="33.28515625" style="2030" customWidth="1"/>
    <col min="9990" max="9990" width="27.7109375" style="2030" customWidth="1"/>
    <col min="9991" max="9991" width="22.28515625" style="2030" customWidth="1"/>
    <col min="9992" max="9992" width="32" style="2030" customWidth="1"/>
    <col min="9993" max="9993" width="23.42578125" style="2030" customWidth="1"/>
    <col min="9994" max="9994" width="18.140625" style="2030" customWidth="1"/>
    <col min="9995" max="9995" width="16.7109375" style="2030" customWidth="1"/>
    <col min="9996" max="9996" width="13.42578125" style="2030" customWidth="1"/>
    <col min="9997" max="9997" width="15.28515625" style="2030" customWidth="1"/>
    <col min="9998" max="9998" width="11.140625" style="2030" customWidth="1"/>
    <col min="9999" max="10000" width="9.7109375" style="2030" customWidth="1"/>
    <col min="10001" max="10001" width="10.140625" style="2030" customWidth="1"/>
    <col min="10002" max="10003" width="17.140625" style="2030" customWidth="1"/>
    <col min="10004" max="10240" width="8.85546875" style="2030"/>
    <col min="10241" max="10241" width="86.7109375" style="2030" customWidth="1"/>
    <col min="10242" max="10242" width="23.140625" style="2030" customWidth="1"/>
    <col min="10243" max="10243" width="17.5703125" style="2030" customWidth="1"/>
    <col min="10244" max="10244" width="27.42578125" style="2030" customWidth="1"/>
    <col min="10245" max="10245" width="33.28515625" style="2030" customWidth="1"/>
    <col min="10246" max="10246" width="27.7109375" style="2030" customWidth="1"/>
    <col min="10247" max="10247" width="22.28515625" style="2030" customWidth="1"/>
    <col min="10248" max="10248" width="32" style="2030" customWidth="1"/>
    <col min="10249" max="10249" width="23.42578125" style="2030" customWidth="1"/>
    <col min="10250" max="10250" width="18.140625" style="2030" customWidth="1"/>
    <col min="10251" max="10251" width="16.7109375" style="2030" customWidth="1"/>
    <col min="10252" max="10252" width="13.42578125" style="2030" customWidth="1"/>
    <col min="10253" max="10253" width="15.28515625" style="2030" customWidth="1"/>
    <col min="10254" max="10254" width="11.140625" style="2030" customWidth="1"/>
    <col min="10255" max="10256" width="9.7109375" style="2030" customWidth="1"/>
    <col min="10257" max="10257" width="10.140625" style="2030" customWidth="1"/>
    <col min="10258" max="10259" width="17.140625" style="2030" customWidth="1"/>
    <col min="10260" max="10496" width="8.85546875" style="2030"/>
    <col min="10497" max="10497" width="86.7109375" style="2030" customWidth="1"/>
    <col min="10498" max="10498" width="23.140625" style="2030" customWidth="1"/>
    <col min="10499" max="10499" width="17.5703125" style="2030" customWidth="1"/>
    <col min="10500" max="10500" width="27.42578125" style="2030" customWidth="1"/>
    <col min="10501" max="10501" width="33.28515625" style="2030" customWidth="1"/>
    <col min="10502" max="10502" width="27.7109375" style="2030" customWidth="1"/>
    <col min="10503" max="10503" width="22.28515625" style="2030" customWidth="1"/>
    <col min="10504" max="10504" width="32" style="2030" customWidth="1"/>
    <col min="10505" max="10505" width="23.42578125" style="2030" customWidth="1"/>
    <col min="10506" max="10506" width="18.140625" style="2030" customWidth="1"/>
    <col min="10507" max="10507" width="16.7109375" style="2030" customWidth="1"/>
    <col min="10508" max="10508" width="13.42578125" style="2030" customWidth="1"/>
    <col min="10509" max="10509" width="15.28515625" style="2030" customWidth="1"/>
    <col min="10510" max="10510" width="11.140625" style="2030" customWidth="1"/>
    <col min="10511" max="10512" width="9.7109375" style="2030" customWidth="1"/>
    <col min="10513" max="10513" width="10.140625" style="2030" customWidth="1"/>
    <col min="10514" max="10515" width="17.140625" style="2030" customWidth="1"/>
    <col min="10516" max="10752" width="8.85546875" style="2030"/>
    <col min="10753" max="10753" width="86.7109375" style="2030" customWidth="1"/>
    <col min="10754" max="10754" width="23.140625" style="2030" customWidth="1"/>
    <col min="10755" max="10755" width="17.5703125" style="2030" customWidth="1"/>
    <col min="10756" max="10756" width="27.42578125" style="2030" customWidth="1"/>
    <col min="10757" max="10757" width="33.28515625" style="2030" customWidth="1"/>
    <col min="10758" max="10758" width="27.7109375" style="2030" customWidth="1"/>
    <col min="10759" max="10759" width="22.28515625" style="2030" customWidth="1"/>
    <col min="10760" max="10760" width="32" style="2030" customWidth="1"/>
    <col min="10761" max="10761" width="23.42578125" style="2030" customWidth="1"/>
    <col min="10762" max="10762" width="18.140625" style="2030" customWidth="1"/>
    <col min="10763" max="10763" width="16.7109375" style="2030" customWidth="1"/>
    <col min="10764" max="10764" width="13.42578125" style="2030" customWidth="1"/>
    <col min="10765" max="10765" width="15.28515625" style="2030" customWidth="1"/>
    <col min="10766" max="10766" width="11.140625" style="2030" customWidth="1"/>
    <col min="10767" max="10768" width="9.7109375" style="2030" customWidth="1"/>
    <col min="10769" max="10769" width="10.140625" style="2030" customWidth="1"/>
    <col min="10770" max="10771" width="17.140625" style="2030" customWidth="1"/>
    <col min="10772" max="11008" width="8.85546875" style="2030"/>
    <col min="11009" max="11009" width="86.7109375" style="2030" customWidth="1"/>
    <col min="11010" max="11010" width="23.140625" style="2030" customWidth="1"/>
    <col min="11011" max="11011" width="17.5703125" style="2030" customWidth="1"/>
    <col min="11012" max="11012" width="27.42578125" style="2030" customWidth="1"/>
    <col min="11013" max="11013" width="33.28515625" style="2030" customWidth="1"/>
    <col min="11014" max="11014" width="27.7109375" style="2030" customWidth="1"/>
    <col min="11015" max="11015" width="22.28515625" style="2030" customWidth="1"/>
    <col min="11016" max="11016" width="32" style="2030" customWidth="1"/>
    <col min="11017" max="11017" width="23.42578125" style="2030" customWidth="1"/>
    <col min="11018" max="11018" width="18.140625" style="2030" customWidth="1"/>
    <col min="11019" max="11019" width="16.7109375" style="2030" customWidth="1"/>
    <col min="11020" max="11020" width="13.42578125" style="2030" customWidth="1"/>
    <col min="11021" max="11021" width="15.28515625" style="2030" customWidth="1"/>
    <col min="11022" max="11022" width="11.140625" style="2030" customWidth="1"/>
    <col min="11023" max="11024" width="9.7109375" style="2030" customWidth="1"/>
    <col min="11025" max="11025" width="10.140625" style="2030" customWidth="1"/>
    <col min="11026" max="11027" width="17.140625" style="2030" customWidth="1"/>
    <col min="11028" max="11264" width="8.85546875" style="2030"/>
    <col min="11265" max="11265" width="86.7109375" style="2030" customWidth="1"/>
    <col min="11266" max="11266" width="23.140625" style="2030" customWidth="1"/>
    <col min="11267" max="11267" width="17.5703125" style="2030" customWidth="1"/>
    <col min="11268" max="11268" width="27.42578125" style="2030" customWidth="1"/>
    <col min="11269" max="11269" width="33.28515625" style="2030" customWidth="1"/>
    <col min="11270" max="11270" width="27.7109375" style="2030" customWidth="1"/>
    <col min="11271" max="11271" width="22.28515625" style="2030" customWidth="1"/>
    <col min="11272" max="11272" width="32" style="2030" customWidth="1"/>
    <col min="11273" max="11273" width="23.42578125" style="2030" customWidth="1"/>
    <col min="11274" max="11274" width="18.140625" style="2030" customWidth="1"/>
    <col min="11275" max="11275" width="16.7109375" style="2030" customWidth="1"/>
    <col min="11276" max="11276" width="13.42578125" style="2030" customWidth="1"/>
    <col min="11277" max="11277" width="15.28515625" style="2030" customWidth="1"/>
    <col min="11278" max="11278" width="11.140625" style="2030" customWidth="1"/>
    <col min="11279" max="11280" width="9.7109375" style="2030" customWidth="1"/>
    <col min="11281" max="11281" width="10.140625" style="2030" customWidth="1"/>
    <col min="11282" max="11283" width="17.140625" style="2030" customWidth="1"/>
    <col min="11284" max="11520" width="8.85546875" style="2030"/>
    <col min="11521" max="11521" width="86.7109375" style="2030" customWidth="1"/>
    <col min="11522" max="11522" width="23.140625" style="2030" customWidth="1"/>
    <col min="11523" max="11523" width="17.5703125" style="2030" customWidth="1"/>
    <col min="11524" max="11524" width="27.42578125" style="2030" customWidth="1"/>
    <col min="11525" max="11525" width="33.28515625" style="2030" customWidth="1"/>
    <col min="11526" max="11526" width="27.7109375" style="2030" customWidth="1"/>
    <col min="11527" max="11527" width="22.28515625" style="2030" customWidth="1"/>
    <col min="11528" max="11528" width="32" style="2030" customWidth="1"/>
    <col min="11529" max="11529" width="23.42578125" style="2030" customWidth="1"/>
    <col min="11530" max="11530" width="18.140625" style="2030" customWidth="1"/>
    <col min="11531" max="11531" width="16.7109375" style="2030" customWidth="1"/>
    <col min="11532" max="11532" width="13.42578125" style="2030" customWidth="1"/>
    <col min="11533" max="11533" width="15.28515625" style="2030" customWidth="1"/>
    <col min="11534" max="11534" width="11.140625" style="2030" customWidth="1"/>
    <col min="11535" max="11536" width="9.7109375" style="2030" customWidth="1"/>
    <col min="11537" max="11537" width="10.140625" style="2030" customWidth="1"/>
    <col min="11538" max="11539" width="17.140625" style="2030" customWidth="1"/>
    <col min="11540" max="11776" width="8.85546875" style="2030"/>
    <col min="11777" max="11777" width="86.7109375" style="2030" customWidth="1"/>
    <col min="11778" max="11778" width="23.140625" style="2030" customWidth="1"/>
    <col min="11779" max="11779" width="17.5703125" style="2030" customWidth="1"/>
    <col min="11780" max="11780" width="27.42578125" style="2030" customWidth="1"/>
    <col min="11781" max="11781" width="33.28515625" style="2030" customWidth="1"/>
    <col min="11782" max="11782" width="27.7109375" style="2030" customWidth="1"/>
    <col min="11783" max="11783" width="22.28515625" style="2030" customWidth="1"/>
    <col min="11784" max="11784" width="32" style="2030" customWidth="1"/>
    <col min="11785" max="11785" width="23.42578125" style="2030" customWidth="1"/>
    <col min="11786" max="11786" width="18.140625" style="2030" customWidth="1"/>
    <col min="11787" max="11787" width="16.7109375" style="2030" customWidth="1"/>
    <col min="11788" max="11788" width="13.42578125" style="2030" customWidth="1"/>
    <col min="11789" max="11789" width="15.28515625" style="2030" customWidth="1"/>
    <col min="11790" max="11790" width="11.140625" style="2030" customWidth="1"/>
    <col min="11791" max="11792" width="9.7109375" style="2030" customWidth="1"/>
    <col min="11793" max="11793" width="10.140625" style="2030" customWidth="1"/>
    <col min="11794" max="11795" width="17.140625" style="2030" customWidth="1"/>
    <col min="11796" max="12032" width="8.85546875" style="2030"/>
    <col min="12033" max="12033" width="86.7109375" style="2030" customWidth="1"/>
    <col min="12034" max="12034" width="23.140625" style="2030" customWidth="1"/>
    <col min="12035" max="12035" width="17.5703125" style="2030" customWidth="1"/>
    <col min="12036" max="12036" width="27.42578125" style="2030" customWidth="1"/>
    <col min="12037" max="12037" width="33.28515625" style="2030" customWidth="1"/>
    <col min="12038" max="12038" width="27.7109375" style="2030" customWidth="1"/>
    <col min="12039" max="12039" width="22.28515625" style="2030" customWidth="1"/>
    <col min="12040" max="12040" width="32" style="2030" customWidth="1"/>
    <col min="12041" max="12041" width="23.42578125" style="2030" customWidth="1"/>
    <col min="12042" max="12042" width="18.140625" style="2030" customWidth="1"/>
    <col min="12043" max="12043" width="16.7109375" style="2030" customWidth="1"/>
    <col min="12044" max="12044" width="13.42578125" style="2030" customWidth="1"/>
    <col min="12045" max="12045" width="15.28515625" style="2030" customWidth="1"/>
    <col min="12046" max="12046" width="11.140625" style="2030" customWidth="1"/>
    <col min="12047" max="12048" width="9.7109375" style="2030" customWidth="1"/>
    <col min="12049" max="12049" width="10.140625" style="2030" customWidth="1"/>
    <col min="12050" max="12051" width="17.140625" style="2030" customWidth="1"/>
    <col min="12052" max="12288" width="8.85546875" style="2030"/>
    <col min="12289" max="12289" width="86.7109375" style="2030" customWidth="1"/>
    <col min="12290" max="12290" width="23.140625" style="2030" customWidth="1"/>
    <col min="12291" max="12291" width="17.5703125" style="2030" customWidth="1"/>
    <col min="12292" max="12292" width="27.42578125" style="2030" customWidth="1"/>
    <col min="12293" max="12293" width="33.28515625" style="2030" customWidth="1"/>
    <col min="12294" max="12294" width="27.7109375" style="2030" customWidth="1"/>
    <col min="12295" max="12295" width="22.28515625" style="2030" customWidth="1"/>
    <col min="12296" max="12296" width="32" style="2030" customWidth="1"/>
    <col min="12297" max="12297" width="23.42578125" style="2030" customWidth="1"/>
    <col min="12298" max="12298" width="18.140625" style="2030" customWidth="1"/>
    <col min="12299" max="12299" width="16.7109375" style="2030" customWidth="1"/>
    <col min="12300" max="12300" width="13.42578125" style="2030" customWidth="1"/>
    <col min="12301" max="12301" width="15.28515625" style="2030" customWidth="1"/>
    <col min="12302" max="12302" width="11.140625" style="2030" customWidth="1"/>
    <col min="12303" max="12304" width="9.7109375" style="2030" customWidth="1"/>
    <col min="12305" max="12305" width="10.140625" style="2030" customWidth="1"/>
    <col min="12306" max="12307" width="17.140625" style="2030" customWidth="1"/>
    <col min="12308" max="12544" width="8.85546875" style="2030"/>
    <col min="12545" max="12545" width="86.7109375" style="2030" customWidth="1"/>
    <col min="12546" max="12546" width="23.140625" style="2030" customWidth="1"/>
    <col min="12547" max="12547" width="17.5703125" style="2030" customWidth="1"/>
    <col min="12548" max="12548" width="27.42578125" style="2030" customWidth="1"/>
    <col min="12549" max="12549" width="33.28515625" style="2030" customWidth="1"/>
    <col min="12550" max="12550" width="27.7109375" style="2030" customWidth="1"/>
    <col min="12551" max="12551" width="22.28515625" style="2030" customWidth="1"/>
    <col min="12552" max="12552" width="32" style="2030" customWidth="1"/>
    <col min="12553" max="12553" width="23.42578125" style="2030" customWidth="1"/>
    <col min="12554" max="12554" width="18.140625" style="2030" customWidth="1"/>
    <col min="12555" max="12555" width="16.7109375" style="2030" customWidth="1"/>
    <col min="12556" max="12556" width="13.42578125" style="2030" customWidth="1"/>
    <col min="12557" max="12557" width="15.28515625" style="2030" customWidth="1"/>
    <col min="12558" max="12558" width="11.140625" style="2030" customWidth="1"/>
    <col min="12559" max="12560" width="9.7109375" style="2030" customWidth="1"/>
    <col min="12561" max="12561" width="10.140625" style="2030" customWidth="1"/>
    <col min="12562" max="12563" width="17.140625" style="2030" customWidth="1"/>
    <col min="12564" max="12800" width="8.85546875" style="2030"/>
    <col min="12801" max="12801" width="86.7109375" style="2030" customWidth="1"/>
    <col min="12802" max="12802" width="23.140625" style="2030" customWidth="1"/>
    <col min="12803" max="12803" width="17.5703125" style="2030" customWidth="1"/>
    <col min="12804" max="12804" width="27.42578125" style="2030" customWidth="1"/>
    <col min="12805" max="12805" width="33.28515625" style="2030" customWidth="1"/>
    <col min="12806" max="12806" width="27.7109375" style="2030" customWidth="1"/>
    <col min="12807" max="12807" width="22.28515625" style="2030" customWidth="1"/>
    <col min="12808" max="12808" width="32" style="2030" customWidth="1"/>
    <col min="12809" max="12809" width="23.42578125" style="2030" customWidth="1"/>
    <col min="12810" max="12810" width="18.140625" style="2030" customWidth="1"/>
    <col min="12811" max="12811" width="16.7109375" style="2030" customWidth="1"/>
    <col min="12812" max="12812" width="13.42578125" style="2030" customWidth="1"/>
    <col min="12813" max="12813" width="15.28515625" style="2030" customWidth="1"/>
    <col min="12814" max="12814" width="11.140625" style="2030" customWidth="1"/>
    <col min="12815" max="12816" width="9.7109375" style="2030" customWidth="1"/>
    <col min="12817" max="12817" width="10.140625" style="2030" customWidth="1"/>
    <col min="12818" max="12819" width="17.140625" style="2030" customWidth="1"/>
    <col min="12820" max="13056" width="8.85546875" style="2030"/>
    <col min="13057" max="13057" width="86.7109375" style="2030" customWidth="1"/>
    <col min="13058" max="13058" width="23.140625" style="2030" customWidth="1"/>
    <col min="13059" max="13059" width="17.5703125" style="2030" customWidth="1"/>
    <col min="13060" max="13060" width="27.42578125" style="2030" customWidth="1"/>
    <col min="13061" max="13061" width="33.28515625" style="2030" customWidth="1"/>
    <col min="13062" max="13062" width="27.7109375" style="2030" customWidth="1"/>
    <col min="13063" max="13063" width="22.28515625" style="2030" customWidth="1"/>
    <col min="13064" max="13064" width="32" style="2030" customWidth="1"/>
    <col min="13065" max="13065" width="23.42578125" style="2030" customWidth="1"/>
    <col min="13066" max="13066" width="18.140625" style="2030" customWidth="1"/>
    <col min="13067" max="13067" width="16.7109375" style="2030" customWidth="1"/>
    <col min="13068" max="13068" width="13.42578125" style="2030" customWidth="1"/>
    <col min="13069" max="13069" width="15.28515625" style="2030" customWidth="1"/>
    <col min="13070" max="13070" width="11.140625" style="2030" customWidth="1"/>
    <col min="13071" max="13072" width="9.7109375" style="2030" customWidth="1"/>
    <col min="13073" max="13073" width="10.140625" style="2030" customWidth="1"/>
    <col min="13074" max="13075" width="17.140625" style="2030" customWidth="1"/>
    <col min="13076" max="13312" width="8.85546875" style="2030"/>
    <col min="13313" max="13313" width="86.7109375" style="2030" customWidth="1"/>
    <col min="13314" max="13314" width="23.140625" style="2030" customWidth="1"/>
    <col min="13315" max="13315" width="17.5703125" style="2030" customWidth="1"/>
    <col min="13316" max="13316" width="27.42578125" style="2030" customWidth="1"/>
    <col min="13317" max="13317" width="33.28515625" style="2030" customWidth="1"/>
    <col min="13318" max="13318" width="27.7109375" style="2030" customWidth="1"/>
    <col min="13319" max="13319" width="22.28515625" style="2030" customWidth="1"/>
    <col min="13320" max="13320" width="32" style="2030" customWidth="1"/>
    <col min="13321" max="13321" width="23.42578125" style="2030" customWidth="1"/>
    <col min="13322" max="13322" width="18.140625" style="2030" customWidth="1"/>
    <col min="13323" max="13323" width="16.7109375" style="2030" customWidth="1"/>
    <col min="13324" max="13324" width="13.42578125" style="2030" customWidth="1"/>
    <col min="13325" max="13325" width="15.28515625" style="2030" customWidth="1"/>
    <col min="13326" max="13326" width="11.140625" style="2030" customWidth="1"/>
    <col min="13327" max="13328" width="9.7109375" style="2030" customWidth="1"/>
    <col min="13329" max="13329" width="10.140625" style="2030" customWidth="1"/>
    <col min="13330" max="13331" width="17.140625" style="2030" customWidth="1"/>
    <col min="13332" max="13568" width="8.85546875" style="2030"/>
    <col min="13569" max="13569" width="86.7109375" style="2030" customWidth="1"/>
    <col min="13570" max="13570" width="23.140625" style="2030" customWidth="1"/>
    <col min="13571" max="13571" width="17.5703125" style="2030" customWidth="1"/>
    <col min="13572" max="13572" width="27.42578125" style="2030" customWidth="1"/>
    <col min="13573" max="13573" width="33.28515625" style="2030" customWidth="1"/>
    <col min="13574" max="13574" width="27.7109375" style="2030" customWidth="1"/>
    <col min="13575" max="13575" width="22.28515625" style="2030" customWidth="1"/>
    <col min="13576" max="13576" width="32" style="2030" customWidth="1"/>
    <col min="13577" max="13577" width="23.42578125" style="2030" customWidth="1"/>
    <col min="13578" max="13578" width="18.140625" style="2030" customWidth="1"/>
    <col min="13579" max="13579" width="16.7109375" style="2030" customWidth="1"/>
    <col min="13580" max="13580" width="13.42578125" style="2030" customWidth="1"/>
    <col min="13581" max="13581" width="15.28515625" style="2030" customWidth="1"/>
    <col min="13582" max="13582" width="11.140625" style="2030" customWidth="1"/>
    <col min="13583" max="13584" width="9.7109375" style="2030" customWidth="1"/>
    <col min="13585" max="13585" width="10.140625" style="2030" customWidth="1"/>
    <col min="13586" max="13587" width="17.140625" style="2030" customWidth="1"/>
    <col min="13588" max="13824" width="8.85546875" style="2030"/>
    <col min="13825" max="13825" width="86.7109375" style="2030" customWidth="1"/>
    <col min="13826" max="13826" width="23.140625" style="2030" customWidth="1"/>
    <col min="13827" max="13827" width="17.5703125" style="2030" customWidth="1"/>
    <col min="13828" max="13828" width="27.42578125" style="2030" customWidth="1"/>
    <col min="13829" max="13829" width="33.28515625" style="2030" customWidth="1"/>
    <col min="13830" max="13830" width="27.7109375" style="2030" customWidth="1"/>
    <col min="13831" max="13831" width="22.28515625" style="2030" customWidth="1"/>
    <col min="13832" max="13832" width="32" style="2030" customWidth="1"/>
    <col min="13833" max="13833" width="23.42578125" style="2030" customWidth="1"/>
    <col min="13834" max="13834" width="18.140625" style="2030" customWidth="1"/>
    <col min="13835" max="13835" width="16.7109375" style="2030" customWidth="1"/>
    <col min="13836" max="13836" width="13.42578125" style="2030" customWidth="1"/>
    <col min="13837" max="13837" width="15.28515625" style="2030" customWidth="1"/>
    <col min="13838" max="13838" width="11.140625" style="2030" customWidth="1"/>
    <col min="13839" max="13840" width="9.7109375" style="2030" customWidth="1"/>
    <col min="13841" max="13841" width="10.140625" style="2030" customWidth="1"/>
    <col min="13842" max="13843" width="17.140625" style="2030" customWidth="1"/>
    <col min="13844" max="14080" width="8.85546875" style="2030"/>
    <col min="14081" max="14081" width="86.7109375" style="2030" customWidth="1"/>
    <col min="14082" max="14082" width="23.140625" style="2030" customWidth="1"/>
    <col min="14083" max="14083" width="17.5703125" style="2030" customWidth="1"/>
    <col min="14084" max="14084" width="27.42578125" style="2030" customWidth="1"/>
    <col min="14085" max="14085" width="33.28515625" style="2030" customWidth="1"/>
    <col min="14086" max="14086" width="27.7109375" style="2030" customWidth="1"/>
    <col min="14087" max="14087" width="22.28515625" style="2030" customWidth="1"/>
    <col min="14088" max="14088" width="32" style="2030" customWidth="1"/>
    <col min="14089" max="14089" width="23.42578125" style="2030" customWidth="1"/>
    <col min="14090" max="14090" width="18.140625" style="2030" customWidth="1"/>
    <col min="14091" max="14091" width="16.7109375" style="2030" customWidth="1"/>
    <col min="14092" max="14092" width="13.42578125" style="2030" customWidth="1"/>
    <col min="14093" max="14093" width="15.28515625" style="2030" customWidth="1"/>
    <col min="14094" max="14094" width="11.140625" style="2030" customWidth="1"/>
    <col min="14095" max="14096" width="9.7109375" style="2030" customWidth="1"/>
    <col min="14097" max="14097" width="10.140625" style="2030" customWidth="1"/>
    <col min="14098" max="14099" width="17.140625" style="2030" customWidth="1"/>
    <col min="14100" max="14336" width="8.85546875" style="2030"/>
    <col min="14337" max="14337" width="86.7109375" style="2030" customWidth="1"/>
    <col min="14338" max="14338" width="23.140625" style="2030" customWidth="1"/>
    <col min="14339" max="14339" width="17.5703125" style="2030" customWidth="1"/>
    <col min="14340" max="14340" width="27.42578125" style="2030" customWidth="1"/>
    <col min="14341" max="14341" width="33.28515625" style="2030" customWidth="1"/>
    <col min="14342" max="14342" width="27.7109375" style="2030" customWidth="1"/>
    <col min="14343" max="14343" width="22.28515625" style="2030" customWidth="1"/>
    <col min="14344" max="14344" width="32" style="2030" customWidth="1"/>
    <col min="14345" max="14345" width="23.42578125" style="2030" customWidth="1"/>
    <col min="14346" max="14346" width="18.140625" style="2030" customWidth="1"/>
    <col min="14347" max="14347" width="16.7109375" style="2030" customWidth="1"/>
    <col min="14348" max="14348" width="13.42578125" style="2030" customWidth="1"/>
    <col min="14349" max="14349" width="15.28515625" style="2030" customWidth="1"/>
    <col min="14350" max="14350" width="11.140625" style="2030" customWidth="1"/>
    <col min="14351" max="14352" width="9.7109375" style="2030" customWidth="1"/>
    <col min="14353" max="14353" width="10.140625" style="2030" customWidth="1"/>
    <col min="14354" max="14355" width="17.140625" style="2030" customWidth="1"/>
    <col min="14356" max="14592" width="8.85546875" style="2030"/>
    <col min="14593" max="14593" width="86.7109375" style="2030" customWidth="1"/>
    <col min="14594" max="14594" width="23.140625" style="2030" customWidth="1"/>
    <col min="14595" max="14595" width="17.5703125" style="2030" customWidth="1"/>
    <col min="14596" max="14596" width="27.42578125" style="2030" customWidth="1"/>
    <col min="14597" max="14597" width="33.28515625" style="2030" customWidth="1"/>
    <col min="14598" max="14598" width="27.7109375" style="2030" customWidth="1"/>
    <col min="14599" max="14599" width="22.28515625" style="2030" customWidth="1"/>
    <col min="14600" max="14600" width="32" style="2030" customWidth="1"/>
    <col min="14601" max="14601" width="23.42578125" style="2030" customWidth="1"/>
    <col min="14602" max="14602" width="18.140625" style="2030" customWidth="1"/>
    <col min="14603" max="14603" width="16.7109375" style="2030" customWidth="1"/>
    <col min="14604" max="14604" width="13.42578125" style="2030" customWidth="1"/>
    <col min="14605" max="14605" width="15.28515625" style="2030" customWidth="1"/>
    <col min="14606" max="14606" width="11.140625" style="2030" customWidth="1"/>
    <col min="14607" max="14608" width="9.7109375" style="2030" customWidth="1"/>
    <col min="14609" max="14609" width="10.140625" style="2030" customWidth="1"/>
    <col min="14610" max="14611" width="17.140625" style="2030" customWidth="1"/>
    <col min="14612" max="14848" width="8.85546875" style="2030"/>
    <col min="14849" max="14849" width="86.7109375" style="2030" customWidth="1"/>
    <col min="14850" max="14850" width="23.140625" style="2030" customWidth="1"/>
    <col min="14851" max="14851" width="17.5703125" style="2030" customWidth="1"/>
    <col min="14852" max="14852" width="27.42578125" style="2030" customWidth="1"/>
    <col min="14853" max="14853" width="33.28515625" style="2030" customWidth="1"/>
    <col min="14854" max="14854" width="27.7109375" style="2030" customWidth="1"/>
    <col min="14855" max="14855" width="22.28515625" style="2030" customWidth="1"/>
    <col min="14856" max="14856" width="32" style="2030" customWidth="1"/>
    <col min="14857" max="14857" width="23.42578125" style="2030" customWidth="1"/>
    <col min="14858" max="14858" width="18.140625" style="2030" customWidth="1"/>
    <col min="14859" max="14859" width="16.7109375" style="2030" customWidth="1"/>
    <col min="14860" max="14860" width="13.42578125" style="2030" customWidth="1"/>
    <col min="14861" max="14861" width="15.28515625" style="2030" customWidth="1"/>
    <col min="14862" max="14862" width="11.140625" style="2030" customWidth="1"/>
    <col min="14863" max="14864" width="9.7109375" style="2030" customWidth="1"/>
    <col min="14865" max="14865" width="10.140625" style="2030" customWidth="1"/>
    <col min="14866" max="14867" width="17.140625" style="2030" customWidth="1"/>
    <col min="14868" max="15104" width="8.85546875" style="2030"/>
    <col min="15105" max="15105" width="86.7109375" style="2030" customWidth="1"/>
    <col min="15106" max="15106" width="23.140625" style="2030" customWidth="1"/>
    <col min="15107" max="15107" width="17.5703125" style="2030" customWidth="1"/>
    <col min="15108" max="15108" width="27.42578125" style="2030" customWidth="1"/>
    <col min="15109" max="15109" width="33.28515625" style="2030" customWidth="1"/>
    <col min="15110" max="15110" width="27.7109375" style="2030" customWidth="1"/>
    <col min="15111" max="15111" width="22.28515625" style="2030" customWidth="1"/>
    <col min="15112" max="15112" width="32" style="2030" customWidth="1"/>
    <col min="15113" max="15113" width="23.42578125" style="2030" customWidth="1"/>
    <col min="15114" max="15114" width="18.140625" style="2030" customWidth="1"/>
    <col min="15115" max="15115" width="16.7109375" style="2030" customWidth="1"/>
    <col min="15116" max="15116" width="13.42578125" style="2030" customWidth="1"/>
    <col min="15117" max="15117" width="15.28515625" style="2030" customWidth="1"/>
    <col min="15118" max="15118" width="11.140625" style="2030" customWidth="1"/>
    <col min="15119" max="15120" width="9.7109375" style="2030" customWidth="1"/>
    <col min="15121" max="15121" width="10.140625" style="2030" customWidth="1"/>
    <col min="15122" max="15123" width="17.140625" style="2030" customWidth="1"/>
    <col min="15124" max="15360" width="8.85546875" style="2030"/>
    <col min="15361" max="15361" width="86.7109375" style="2030" customWidth="1"/>
    <col min="15362" max="15362" width="23.140625" style="2030" customWidth="1"/>
    <col min="15363" max="15363" width="17.5703125" style="2030" customWidth="1"/>
    <col min="15364" max="15364" width="27.42578125" style="2030" customWidth="1"/>
    <col min="15365" max="15365" width="33.28515625" style="2030" customWidth="1"/>
    <col min="15366" max="15366" width="27.7109375" style="2030" customWidth="1"/>
    <col min="15367" max="15367" width="22.28515625" style="2030" customWidth="1"/>
    <col min="15368" max="15368" width="32" style="2030" customWidth="1"/>
    <col min="15369" max="15369" width="23.42578125" style="2030" customWidth="1"/>
    <col min="15370" max="15370" width="18.140625" style="2030" customWidth="1"/>
    <col min="15371" max="15371" width="16.7109375" style="2030" customWidth="1"/>
    <col min="15372" max="15372" width="13.42578125" style="2030" customWidth="1"/>
    <col min="15373" max="15373" width="15.28515625" style="2030" customWidth="1"/>
    <col min="15374" max="15374" width="11.140625" style="2030" customWidth="1"/>
    <col min="15375" max="15376" width="9.7109375" style="2030" customWidth="1"/>
    <col min="15377" max="15377" width="10.140625" style="2030" customWidth="1"/>
    <col min="15378" max="15379" width="17.140625" style="2030" customWidth="1"/>
    <col min="15380" max="15616" width="8.85546875" style="2030"/>
    <col min="15617" max="15617" width="86.7109375" style="2030" customWidth="1"/>
    <col min="15618" max="15618" width="23.140625" style="2030" customWidth="1"/>
    <col min="15619" max="15619" width="17.5703125" style="2030" customWidth="1"/>
    <col min="15620" max="15620" width="27.42578125" style="2030" customWidth="1"/>
    <col min="15621" max="15621" width="33.28515625" style="2030" customWidth="1"/>
    <col min="15622" max="15622" width="27.7109375" style="2030" customWidth="1"/>
    <col min="15623" max="15623" width="22.28515625" style="2030" customWidth="1"/>
    <col min="15624" max="15624" width="32" style="2030" customWidth="1"/>
    <col min="15625" max="15625" width="23.42578125" style="2030" customWidth="1"/>
    <col min="15626" max="15626" width="18.140625" style="2030" customWidth="1"/>
    <col min="15627" max="15627" width="16.7109375" style="2030" customWidth="1"/>
    <col min="15628" max="15628" width="13.42578125" style="2030" customWidth="1"/>
    <col min="15629" max="15629" width="15.28515625" style="2030" customWidth="1"/>
    <col min="15630" max="15630" width="11.140625" style="2030" customWidth="1"/>
    <col min="15631" max="15632" width="9.7109375" style="2030" customWidth="1"/>
    <col min="15633" max="15633" width="10.140625" style="2030" customWidth="1"/>
    <col min="15634" max="15635" width="17.140625" style="2030" customWidth="1"/>
    <col min="15636" max="15872" width="8.85546875" style="2030"/>
    <col min="15873" max="15873" width="86.7109375" style="2030" customWidth="1"/>
    <col min="15874" max="15874" width="23.140625" style="2030" customWidth="1"/>
    <col min="15875" max="15875" width="17.5703125" style="2030" customWidth="1"/>
    <col min="15876" max="15876" width="27.42578125" style="2030" customWidth="1"/>
    <col min="15877" max="15877" width="33.28515625" style="2030" customWidth="1"/>
    <col min="15878" max="15878" width="27.7109375" style="2030" customWidth="1"/>
    <col min="15879" max="15879" width="22.28515625" style="2030" customWidth="1"/>
    <col min="15880" max="15880" width="32" style="2030" customWidth="1"/>
    <col min="15881" max="15881" width="23.42578125" style="2030" customWidth="1"/>
    <col min="15882" max="15882" width="18.140625" style="2030" customWidth="1"/>
    <col min="15883" max="15883" width="16.7109375" style="2030" customWidth="1"/>
    <col min="15884" max="15884" width="13.42578125" style="2030" customWidth="1"/>
    <col min="15885" max="15885" width="15.28515625" style="2030" customWidth="1"/>
    <col min="15886" max="15886" width="11.140625" style="2030" customWidth="1"/>
    <col min="15887" max="15888" width="9.7109375" style="2030" customWidth="1"/>
    <col min="15889" max="15889" width="10.140625" style="2030" customWidth="1"/>
    <col min="15890" max="15891" width="17.140625" style="2030" customWidth="1"/>
    <col min="15892" max="16128" width="8.85546875" style="2030"/>
    <col min="16129" max="16129" width="86.7109375" style="2030" customWidth="1"/>
    <col min="16130" max="16130" width="23.140625" style="2030" customWidth="1"/>
    <col min="16131" max="16131" width="17.5703125" style="2030" customWidth="1"/>
    <col min="16132" max="16132" width="27.42578125" style="2030" customWidth="1"/>
    <col min="16133" max="16133" width="33.28515625" style="2030" customWidth="1"/>
    <col min="16134" max="16134" width="27.7109375" style="2030" customWidth="1"/>
    <col min="16135" max="16135" width="22.28515625" style="2030" customWidth="1"/>
    <col min="16136" max="16136" width="32" style="2030" customWidth="1"/>
    <col min="16137" max="16137" width="23.42578125" style="2030" customWidth="1"/>
    <col min="16138" max="16138" width="18.140625" style="2030" customWidth="1"/>
    <col min="16139" max="16139" width="16.7109375" style="2030" customWidth="1"/>
    <col min="16140" max="16140" width="13.42578125" style="2030" customWidth="1"/>
    <col min="16141" max="16141" width="15.28515625" style="2030" customWidth="1"/>
    <col min="16142" max="16142" width="11.140625" style="2030" customWidth="1"/>
    <col min="16143" max="16144" width="9.7109375" style="2030" customWidth="1"/>
    <col min="16145" max="16145" width="10.140625" style="2030" customWidth="1"/>
    <col min="16146" max="16147" width="17.140625" style="2030" customWidth="1"/>
    <col min="16148" max="16384" width="8.85546875" style="2030"/>
  </cols>
  <sheetData>
    <row r="1" spans="1:22" ht="36" x14ac:dyDescent="0.55000000000000004">
      <c r="A1" s="2029" t="s">
        <v>2053</v>
      </c>
    </row>
    <row r="2" spans="1:22" x14ac:dyDescent="0.2">
      <c r="A2" s="2031" t="s">
        <v>1908</v>
      </c>
    </row>
    <row r="3" spans="1:22" x14ac:dyDescent="0.2">
      <c r="A3" s="2031"/>
    </row>
    <row r="4" spans="1:22" s="2033" customFormat="1" ht="19.5" thickBot="1" x14ac:dyDescent="0.35">
      <c r="A4" s="2032" t="s">
        <v>368</v>
      </c>
      <c r="J4" s="2034"/>
      <c r="K4" s="2034"/>
      <c r="L4" s="2034"/>
      <c r="M4" s="2034"/>
      <c r="N4" s="2034"/>
      <c r="V4" s="2035"/>
    </row>
    <row r="5" spans="1:22" ht="15.75" thickBot="1" x14ac:dyDescent="0.3">
      <c r="A5" s="2323"/>
      <c r="B5" s="2044" t="s">
        <v>369</v>
      </c>
      <c r="C5" s="2036" t="s">
        <v>370</v>
      </c>
      <c r="D5" s="2036" t="s">
        <v>1909</v>
      </c>
      <c r="E5" s="2036" t="s">
        <v>372</v>
      </c>
      <c r="F5" s="2036" t="s">
        <v>1910</v>
      </c>
      <c r="G5" s="2036" t="s">
        <v>376</v>
      </c>
      <c r="H5" s="2037" t="s">
        <v>78</v>
      </c>
      <c r="I5" s="2037" t="s">
        <v>79</v>
      </c>
      <c r="J5" s="2037" t="s">
        <v>377</v>
      </c>
      <c r="K5" s="2037" t="s">
        <v>378</v>
      </c>
      <c r="L5" s="2037" t="s">
        <v>379</v>
      </c>
      <c r="M5" s="2036" t="s">
        <v>380</v>
      </c>
      <c r="N5" s="2036" t="s">
        <v>381</v>
      </c>
      <c r="O5" s="2036" t="s">
        <v>382</v>
      </c>
      <c r="P5" s="2036" t="s">
        <v>383</v>
      </c>
      <c r="Q5" s="2038" t="s">
        <v>140</v>
      </c>
      <c r="R5" s="2313" t="s">
        <v>1911</v>
      </c>
      <c r="S5" s="2039"/>
      <c r="U5" s="2040"/>
    </row>
    <row r="6" spans="1:22" ht="15" x14ac:dyDescent="0.25">
      <c r="A6" s="2324"/>
      <c r="B6" s="2318"/>
      <c r="C6" s="2179"/>
      <c r="D6" s="2180"/>
      <c r="E6" s="2180">
        <f>0.6*D6</f>
        <v>0</v>
      </c>
      <c r="F6" s="2180">
        <f t="shared" ref="F6:F16" si="0">D6-E6</f>
        <v>0</v>
      </c>
      <c r="G6" s="2181" t="s">
        <v>390</v>
      </c>
      <c r="H6" s="2182"/>
      <c r="I6" s="2182"/>
      <c r="J6" s="2182"/>
      <c r="K6" s="2182"/>
      <c r="L6" s="2182"/>
      <c r="M6" s="2181"/>
      <c r="N6" s="2181"/>
      <c r="O6" s="2181"/>
      <c r="P6" s="2181"/>
      <c r="Q6" s="2183"/>
      <c r="R6" s="2314"/>
      <c r="S6" s="2039"/>
      <c r="T6" s="2039" t="s">
        <v>402</v>
      </c>
      <c r="V6" s="2040" t="s">
        <v>403</v>
      </c>
    </row>
    <row r="7" spans="1:22" ht="15" x14ac:dyDescent="0.25">
      <c r="A7" s="2325" t="s">
        <v>2054</v>
      </c>
      <c r="B7" s="2318">
        <v>182</v>
      </c>
      <c r="C7" s="2179">
        <v>9</v>
      </c>
      <c r="D7" s="2180">
        <f>5300*B7</f>
        <v>964600</v>
      </c>
      <c r="E7" s="2180">
        <v>0</v>
      </c>
      <c r="F7" s="2180">
        <f t="shared" si="0"/>
        <v>964600</v>
      </c>
      <c r="G7" s="2185" t="s">
        <v>390</v>
      </c>
      <c r="H7" s="2182" t="s">
        <v>387</v>
      </c>
      <c r="I7" s="2182" t="s">
        <v>387</v>
      </c>
      <c r="J7" s="2186" t="s">
        <v>401</v>
      </c>
      <c r="K7" s="2186" t="s">
        <v>401</v>
      </c>
      <c r="L7" s="2182" t="s">
        <v>387</v>
      </c>
      <c r="M7" s="2181" t="s">
        <v>413</v>
      </c>
      <c r="N7" s="2182" t="s">
        <v>392</v>
      </c>
      <c r="O7" s="2182" t="s">
        <v>392</v>
      </c>
      <c r="P7" s="2182" t="s">
        <v>392</v>
      </c>
      <c r="Q7" s="2187" t="s">
        <v>392</v>
      </c>
      <c r="R7" s="2314">
        <v>2024</v>
      </c>
      <c r="S7" s="2039"/>
      <c r="U7" s="2040"/>
    </row>
    <row r="8" spans="1:22" ht="15" x14ac:dyDescent="0.25">
      <c r="A8" s="2325" t="s">
        <v>404</v>
      </c>
      <c r="B8" s="2318">
        <v>372</v>
      </c>
      <c r="C8" s="2179">
        <v>12</v>
      </c>
      <c r="D8" s="2180">
        <f>9300*B8</f>
        <v>3459600</v>
      </c>
      <c r="E8" s="2180">
        <v>0</v>
      </c>
      <c r="F8" s="2180">
        <f t="shared" si="0"/>
        <v>3459600</v>
      </c>
      <c r="G8" s="2185" t="s">
        <v>390</v>
      </c>
      <c r="H8" s="2182" t="s">
        <v>387</v>
      </c>
      <c r="I8" s="2182" t="s">
        <v>387</v>
      </c>
      <c r="J8" s="2182" t="s">
        <v>387</v>
      </c>
      <c r="K8" s="2186" t="s">
        <v>401</v>
      </c>
      <c r="L8" s="2182" t="s">
        <v>387</v>
      </c>
      <c r="M8" s="2188" t="s">
        <v>391</v>
      </c>
      <c r="N8" s="2182" t="s">
        <v>387</v>
      </c>
      <c r="O8" s="2182" t="s">
        <v>387</v>
      </c>
      <c r="P8" s="2182" t="s">
        <v>392</v>
      </c>
      <c r="Q8" s="2187" t="s">
        <v>392</v>
      </c>
      <c r="R8" s="2314">
        <v>2024</v>
      </c>
      <c r="S8" s="2039"/>
      <c r="U8" s="2040"/>
    </row>
    <row r="9" spans="1:22" ht="15" x14ac:dyDescent="0.25">
      <c r="A9" s="2326" t="s">
        <v>395</v>
      </c>
      <c r="B9" s="2319">
        <v>150</v>
      </c>
      <c r="C9" s="2190">
        <v>17</v>
      </c>
      <c r="D9" s="2180">
        <f>5300*B9</f>
        <v>795000</v>
      </c>
      <c r="E9" s="2180">
        <f>0*D9</f>
        <v>0</v>
      </c>
      <c r="F9" s="2180">
        <f t="shared" si="0"/>
        <v>795000</v>
      </c>
      <c r="G9" s="2185" t="s">
        <v>396</v>
      </c>
      <c r="H9" s="2191" t="s">
        <v>387</v>
      </c>
      <c r="I9" s="2191" t="s">
        <v>387</v>
      </c>
      <c r="J9" s="2191" t="s">
        <v>387</v>
      </c>
      <c r="K9" s="2191" t="s">
        <v>387</v>
      </c>
      <c r="L9" s="2191" t="s">
        <v>387</v>
      </c>
      <c r="M9" s="2185" t="s">
        <v>391</v>
      </c>
      <c r="N9" s="2182" t="s">
        <v>387</v>
      </c>
      <c r="O9" s="2182" t="s">
        <v>387</v>
      </c>
      <c r="P9" s="2182" t="s">
        <v>387</v>
      </c>
      <c r="Q9" s="2187" t="s">
        <v>401</v>
      </c>
      <c r="R9" s="2314">
        <v>2024</v>
      </c>
      <c r="S9" s="2039"/>
      <c r="U9" s="2040"/>
    </row>
    <row r="10" spans="1:22" ht="15" x14ac:dyDescent="0.25">
      <c r="A10" s="2326" t="s">
        <v>399</v>
      </c>
      <c r="B10" s="2319">
        <v>95</v>
      </c>
      <c r="C10" s="2190">
        <v>12</v>
      </c>
      <c r="D10" s="2180">
        <f>5300*B10</f>
        <v>503500</v>
      </c>
      <c r="E10" s="2180">
        <f>0*D10</f>
        <v>0</v>
      </c>
      <c r="F10" s="2180">
        <f t="shared" si="0"/>
        <v>503500</v>
      </c>
      <c r="G10" s="2185" t="s">
        <v>400</v>
      </c>
      <c r="H10" s="2191" t="s">
        <v>387</v>
      </c>
      <c r="I10" s="2191" t="s">
        <v>387</v>
      </c>
      <c r="J10" s="2191" t="s">
        <v>387</v>
      </c>
      <c r="K10" s="2192" t="s">
        <v>401</v>
      </c>
      <c r="L10" s="2191" t="s">
        <v>387</v>
      </c>
      <c r="M10" s="2185" t="s">
        <v>391</v>
      </c>
      <c r="N10" s="2191" t="s">
        <v>387</v>
      </c>
      <c r="O10" s="2191" t="s">
        <v>387</v>
      </c>
      <c r="P10" s="2191" t="s">
        <v>392</v>
      </c>
      <c r="Q10" s="2193" t="s">
        <v>392</v>
      </c>
      <c r="R10" s="2314">
        <v>2024</v>
      </c>
    </row>
    <row r="11" spans="1:22" ht="15" x14ac:dyDescent="0.25">
      <c r="A11" s="2326" t="s">
        <v>526</v>
      </c>
      <c r="B11" s="2319">
        <v>172</v>
      </c>
      <c r="C11" s="2190">
        <v>12</v>
      </c>
      <c r="D11" s="2180">
        <f>5300*B11</f>
        <v>911600</v>
      </c>
      <c r="E11" s="2180">
        <f>0*D11</f>
        <v>0</v>
      </c>
      <c r="F11" s="2180">
        <f t="shared" si="0"/>
        <v>911600</v>
      </c>
      <c r="G11" s="2185" t="s">
        <v>390</v>
      </c>
      <c r="H11" s="2191" t="s">
        <v>387</v>
      </c>
      <c r="I11" s="2191" t="s">
        <v>387</v>
      </c>
      <c r="J11" s="2191" t="s">
        <v>387</v>
      </c>
      <c r="K11" s="2192" t="s">
        <v>401</v>
      </c>
      <c r="L11" s="2192" t="s">
        <v>401</v>
      </c>
      <c r="M11" s="2185" t="s">
        <v>413</v>
      </c>
      <c r="N11" s="2191" t="s">
        <v>392</v>
      </c>
      <c r="O11" s="2191" t="s">
        <v>392</v>
      </c>
      <c r="P11" s="2191" t="s">
        <v>392</v>
      </c>
      <c r="Q11" s="2193" t="s">
        <v>392</v>
      </c>
      <c r="R11" s="2315">
        <v>2024</v>
      </c>
    </row>
    <row r="12" spans="1:22" ht="15" x14ac:dyDescent="0.25">
      <c r="A12" s="2327" t="s">
        <v>2055</v>
      </c>
      <c r="B12" s="2320"/>
      <c r="C12" s="2195"/>
      <c r="D12" s="2196">
        <v>2800000</v>
      </c>
      <c r="E12" s="2196">
        <v>0</v>
      </c>
      <c r="F12" s="2196">
        <v>2800000</v>
      </c>
      <c r="G12" s="2185" t="s">
        <v>390</v>
      </c>
      <c r="H12" s="2191" t="s">
        <v>387</v>
      </c>
      <c r="I12" s="2191" t="s">
        <v>387</v>
      </c>
      <c r="J12" s="2191" t="s">
        <v>387</v>
      </c>
      <c r="K12" s="2191" t="s">
        <v>387</v>
      </c>
      <c r="L12" s="2192" t="s">
        <v>392</v>
      </c>
      <c r="M12" s="2185" t="s">
        <v>413</v>
      </c>
      <c r="N12" s="2185" t="s">
        <v>392</v>
      </c>
      <c r="O12" s="2185" t="s">
        <v>392</v>
      </c>
      <c r="P12" s="2185" t="s">
        <v>392</v>
      </c>
      <c r="Q12" s="2194" t="s">
        <v>392</v>
      </c>
      <c r="R12" s="2316">
        <v>2023</v>
      </c>
    </row>
    <row r="13" spans="1:22" ht="15" x14ac:dyDescent="0.25">
      <c r="A13" s="2327" t="s">
        <v>2056</v>
      </c>
      <c r="B13" s="2320"/>
      <c r="C13" s="2195"/>
      <c r="D13" s="2196">
        <v>2800000</v>
      </c>
      <c r="E13" s="2196">
        <v>0</v>
      </c>
      <c r="F13" s="2196">
        <v>2800000</v>
      </c>
      <c r="G13" s="2185" t="s">
        <v>390</v>
      </c>
      <c r="H13" s="2191" t="s">
        <v>387</v>
      </c>
      <c r="I13" s="2191" t="s">
        <v>387</v>
      </c>
      <c r="J13" s="2191" t="s">
        <v>387</v>
      </c>
      <c r="K13" s="2191" t="s">
        <v>387</v>
      </c>
      <c r="L13" s="2192" t="s">
        <v>392</v>
      </c>
      <c r="M13" s="2185" t="s">
        <v>413</v>
      </c>
      <c r="N13" s="2185" t="s">
        <v>392</v>
      </c>
      <c r="O13" s="2185" t="s">
        <v>392</v>
      </c>
      <c r="P13" s="2185" t="s">
        <v>392</v>
      </c>
      <c r="Q13" s="2194" t="s">
        <v>392</v>
      </c>
      <c r="R13" s="2316">
        <v>2023</v>
      </c>
    </row>
    <row r="14" spans="1:22" ht="15" x14ac:dyDescent="0.25">
      <c r="A14" s="2326" t="s">
        <v>412</v>
      </c>
      <c r="B14" s="2319">
        <v>520</v>
      </c>
      <c r="C14" s="2190">
        <v>13</v>
      </c>
      <c r="D14" s="2180">
        <f>5300*B14</f>
        <v>2756000</v>
      </c>
      <c r="E14" s="2180">
        <f>0*D14</f>
        <v>0</v>
      </c>
      <c r="F14" s="2180">
        <f>D14-E14</f>
        <v>2756000</v>
      </c>
      <c r="G14" s="2185" t="s">
        <v>390</v>
      </c>
      <c r="H14" s="2191" t="s">
        <v>387</v>
      </c>
      <c r="I14" s="2191" t="s">
        <v>387</v>
      </c>
      <c r="J14" s="2191" t="s">
        <v>387</v>
      </c>
      <c r="K14" s="2191" t="s">
        <v>387</v>
      </c>
      <c r="L14" s="2192" t="s">
        <v>401</v>
      </c>
      <c r="M14" s="2185" t="s">
        <v>413</v>
      </c>
      <c r="N14" s="2185" t="s">
        <v>392</v>
      </c>
      <c r="O14" s="2185" t="s">
        <v>392</v>
      </c>
      <c r="P14" s="2185" t="s">
        <v>392</v>
      </c>
      <c r="Q14" s="2194" t="s">
        <v>392</v>
      </c>
      <c r="R14" s="2316">
        <v>2023</v>
      </c>
    </row>
    <row r="15" spans="1:22" ht="15" x14ac:dyDescent="0.25">
      <c r="A15" s="2327" t="s">
        <v>2057</v>
      </c>
      <c r="B15" s="2320"/>
      <c r="C15" s="2195"/>
      <c r="D15" s="2197">
        <v>80000000</v>
      </c>
      <c r="E15" s="2196">
        <v>75500000</v>
      </c>
      <c r="F15" s="2196">
        <v>4500000</v>
      </c>
      <c r="G15" s="2185" t="s">
        <v>2058</v>
      </c>
      <c r="H15" s="2198"/>
      <c r="I15" s="2198"/>
      <c r="J15" s="2198"/>
      <c r="K15" s="2199"/>
      <c r="L15" s="2199"/>
      <c r="M15" s="2200"/>
      <c r="N15" s="2198"/>
      <c r="O15" s="2198"/>
      <c r="P15" s="2198"/>
      <c r="Q15" s="2321"/>
      <c r="R15" s="2316">
        <v>2024</v>
      </c>
    </row>
    <row r="16" spans="1:22" ht="15.75" thickBot="1" x14ac:dyDescent="0.3">
      <c r="A16" s="2328" t="s">
        <v>415</v>
      </c>
      <c r="B16" s="2322">
        <v>218</v>
      </c>
      <c r="C16" s="2202">
        <v>7</v>
      </c>
      <c r="D16" s="2203">
        <v>4500000</v>
      </c>
      <c r="E16" s="2204">
        <f>0*D16</f>
        <v>0</v>
      </c>
      <c r="F16" s="2204">
        <f t="shared" si="0"/>
        <v>4500000</v>
      </c>
      <c r="G16" s="2205" t="s">
        <v>390</v>
      </c>
      <c r="H16" s="2206" t="s">
        <v>387</v>
      </c>
      <c r="I16" s="2206" t="s">
        <v>387</v>
      </c>
      <c r="J16" s="2207" t="s">
        <v>416</v>
      </c>
      <c r="K16" s="2206" t="s">
        <v>387</v>
      </c>
      <c r="L16" s="2206" t="s">
        <v>387</v>
      </c>
      <c r="M16" s="2205" t="s">
        <v>413</v>
      </c>
      <c r="N16" s="2206" t="s">
        <v>392</v>
      </c>
      <c r="O16" s="2206" t="s">
        <v>392</v>
      </c>
      <c r="P16" s="2206" t="s">
        <v>392</v>
      </c>
      <c r="Q16" s="2208" t="s">
        <v>392</v>
      </c>
      <c r="R16" s="2317">
        <v>2024</v>
      </c>
    </row>
    <row r="17" spans="1:18" ht="15" x14ac:dyDescent="0.25">
      <c r="A17" s="2210"/>
      <c r="B17" s="2210"/>
      <c r="C17" s="2210"/>
      <c r="D17" s="2210"/>
      <c r="E17" s="2210"/>
      <c r="F17" s="2210"/>
      <c r="G17" s="2210"/>
      <c r="H17" s="2210"/>
      <c r="I17" s="2210"/>
      <c r="J17" s="2210"/>
      <c r="K17" s="2210"/>
      <c r="L17" s="2210"/>
      <c r="M17" s="2210"/>
      <c r="N17" s="2210"/>
      <c r="O17" s="2210"/>
      <c r="P17" s="2210"/>
      <c r="Q17" s="2210"/>
      <c r="R17" s="2210"/>
    </row>
    <row r="18" spans="1:18" ht="15" x14ac:dyDescent="0.25">
      <c r="A18" s="2211" t="s">
        <v>417</v>
      </c>
      <c r="B18" s="2212">
        <f>SUM(B7:B16)</f>
        <v>1709</v>
      </c>
      <c r="C18" s="2210"/>
      <c r="D18" s="2213">
        <f>SUM(D6:D16)</f>
        <v>99490300</v>
      </c>
      <c r="E18" s="2213">
        <f>SUM(E6:E16)</f>
        <v>75500000</v>
      </c>
      <c r="F18" s="2213">
        <f>SUM(F6:F16)</f>
        <v>23990300</v>
      </c>
      <c r="G18" s="2210"/>
      <c r="H18" s="2210"/>
      <c r="I18" s="2210"/>
      <c r="J18" s="2210"/>
      <c r="K18" s="2210"/>
      <c r="L18" s="2210"/>
      <c r="M18" s="2210"/>
      <c r="N18" s="2210"/>
      <c r="O18" s="2210"/>
      <c r="P18" s="2210"/>
      <c r="Q18" s="2210"/>
      <c r="R18" s="2210"/>
    </row>
    <row r="19" spans="1:18" ht="15" x14ac:dyDescent="0.25">
      <c r="A19" s="2211"/>
      <c r="B19" s="2212"/>
      <c r="C19" s="2210"/>
      <c r="D19" s="2213"/>
      <c r="E19" s="2213"/>
      <c r="F19" s="2213"/>
      <c r="G19" s="2210"/>
      <c r="H19" s="2210"/>
      <c r="I19" s="2210"/>
      <c r="J19" s="2210"/>
      <c r="K19" s="2210"/>
      <c r="L19" s="2210"/>
      <c r="M19" s="2210"/>
      <c r="N19" s="2210"/>
      <c r="O19" s="2210"/>
      <c r="P19" s="2210"/>
      <c r="Q19" s="2210"/>
      <c r="R19" s="2210"/>
    </row>
    <row r="20" spans="1:18" ht="16.5" thickBot="1" x14ac:dyDescent="0.3">
      <c r="A20" s="2043" t="s">
        <v>1912</v>
      </c>
      <c r="B20" s="2210"/>
      <c r="C20" s="2210"/>
      <c r="D20" s="2210"/>
      <c r="E20" s="2210"/>
      <c r="F20" s="2210"/>
      <c r="G20" s="2210"/>
      <c r="H20" s="2210"/>
      <c r="I20" s="2210"/>
      <c r="J20" s="2210"/>
      <c r="K20" s="2210"/>
      <c r="L20" s="2210"/>
      <c r="M20" s="2210"/>
      <c r="N20" s="2210"/>
      <c r="O20" s="2210"/>
      <c r="P20" s="2210"/>
      <c r="Q20" s="2210"/>
      <c r="R20" s="2210"/>
    </row>
    <row r="21" spans="1:18" ht="15.75" thickBot="1" x14ac:dyDescent="0.3">
      <c r="A21" s="2214"/>
      <c r="B21" s="2215" t="s">
        <v>369</v>
      </c>
      <c r="C21" s="2210"/>
      <c r="D21" s="2214" t="s">
        <v>1913</v>
      </c>
      <c r="E21" s="2216" t="s">
        <v>418</v>
      </c>
      <c r="F21" s="2216" t="s">
        <v>1910</v>
      </c>
      <c r="G21" s="2216" t="s">
        <v>376</v>
      </c>
      <c r="H21" s="2216" t="s">
        <v>380</v>
      </c>
      <c r="I21" s="2216" t="s">
        <v>381</v>
      </c>
      <c r="J21" s="2216" t="s">
        <v>382</v>
      </c>
      <c r="K21" s="2216" t="s">
        <v>383</v>
      </c>
      <c r="L21" s="2215" t="s">
        <v>140</v>
      </c>
      <c r="M21" s="2215" t="s">
        <v>1911</v>
      </c>
      <c r="N21" s="2210"/>
      <c r="O21" s="2210"/>
      <c r="P21" s="2210"/>
      <c r="Q21" s="2210"/>
      <c r="R21" s="2210"/>
    </row>
    <row r="22" spans="1:18" ht="15" x14ac:dyDescent="0.25">
      <c r="A22" s="2217" t="s">
        <v>420</v>
      </c>
      <c r="B22" s="2218">
        <v>350</v>
      </c>
      <c r="C22" s="2210"/>
      <c r="D22" s="2219">
        <v>650000</v>
      </c>
      <c r="E22" s="2220">
        <v>500000</v>
      </c>
      <c r="F22" s="2221">
        <f t="shared" ref="F22:F27" si="1">D22-E22</f>
        <v>150000</v>
      </c>
      <c r="G22" s="2222" t="s">
        <v>390</v>
      </c>
      <c r="H22" s="2222" t="s">
        <v>421</v>
      </c>
      <c r="I22" s="2222" t="s">
        <v>388</v>
      </c>
      <c r="J22" s="2222" t="s">
        <v>388</v>
      </c>
      <c r="K22" s="2222" t="s">
        <v>388</v>
      </c>
      <c r="L22" s="2223" t="s">
        <v>388</v>
      </c>
      <c r="M22" s="2223">
        <v>2023</v>
      </c>
      <c r="N22" s="2224" t="s">
        <v>1914</v>
      </c>
      <c r="O22" s="2210"/>
      <c r="P22" s="2210"/>
      <c r="Q22" s="2210"/>
      <c r="R22" s="2210"/>
    </row>
    <row r="23" spans="1:18" ht="15" x14ac:dyDescent="0.25">
      <c r="A23" s="2225" t="s">
        <v>529</v>
      </c>
      <c r="B23" s="2226">
        <v>300</v>
      </c>
      <c r="C23" s="2210"/>
      <c r="D23" s="2219">
        <v>750000</v>
      </c>
      <c r="E23" s="2220">
        <v>630000</v>
      </c>
      <c r="F23" s="2221">
        <f t="shared" si="1"/>
        <v>120000</v>
      </c>
      <c r="G23" s="2222" t="s">
        <v>390</v>
      </c>
      <c r="H23" s="2222" t="s">
        <v>512</v>
      </c>
      <c r="I23" s="2222" t="s">
        <v>392</v>
      </c>
      <c r="J23" s="2222" t="s">
        <v>392</v>
      </c>
      <c r="K23" s="2222" t="s">
        <v>392</v>
      </c>
      <c r="L23" s="2223" t="s">
        <v>392</v>
      </c>
      <c r="M23" s="2223">
        <v>2024</v>
      </c>
      <c r="N23" s="2210"/>
      <c r="O23" s="2210"/>
      <c r="P23" s="2210"/>
      <c r="Q23" s="2210"/>
      <c r="R23" s="2210"/>
    </row>
    <row r="24" spans="1:18" ht="15" x14ac:dyDescent="0.25">
      <c r="A24" s="2225" t="s">
        <v>2059</v>
      </c>
      <c r="B24" s="2226">
        <v>200</v>
      </c>
      <c r="C24" s="2227"/>
      <c r="D24" s="2219">
        <v>3700000</v>
      </c>
      <c r="E24" s="2220">
        <v>0</v>
      </c>
      <c r="F24" s="2221">
        <f t="shared" si="1"/>
        <v>3700000</v>
      </c>
      <c r="G24" s="2222" t="s">
        <v>390</v>
      </c>
      <c r="H24" s="2222" t="s">
        <v>2060</v>
      </c>
      <c r="I24" s="2222" t="s">
        <v>392</v>
      </c>
      <c r="J24" s="2222" t="s">
        <v>392</v>
      </c>
      <c r="K24" s="2222" t="s">
        <v>392</v>
      </c>
      <c r="L24" s="2223" t="s">
        <v>392</v>
      </c>
      <c r="M24" s="2223">
        <v>2024</v>
      </c>
      <c r="N24" s="2210"/>
      <c r="O24" s="2210"/>
      <c r="P24" s="2210"/>
      <c r="Q24" s="2210"/>
      <c r="R24" s="2210"/>
    </row>
    <row r="25" spans="1:18" ht="15" x14ac:dyDescent="0.25">
      <c r="A25" s="2228" t="s">
        <v>2061</v>
      </c>
      <c r="B25" s="2229">
        <v>208</v>
      </c>
      <c r="C25" s="2227"/>
      <c r="D25" s="2219">
        <v>3900000</v>
      </c>
      <c r="E25" s="2220">
        <v>3400000</v>
      </c>
      <c r="F25" s="2221">
        <f t="shared" si="1"/>
        <v>500000</v>
      </c>
      <c r="G25" s="2222" t="s">
        <v>390</v>
      </c>
      <c r="H25" s="2222" t="s">
        <v>2060</v>
      </c>
      <c r="I25" s="2222" t="s">
        <v>392</v>
      </c>
      <c r="J25" s="2222" t="s">
        <v>392</v>
      </c>
      <c r="K25" s="2222" t="s">
        <v>392</v>
      </c>
      <c r="L25" s="2223" t="s">
        <v>392</v>
      </c>
      <c r="M25" s="2228">
        <v>2023</v>
      </c>
      <c r="N25" s="2210"/>
      <c r="O25" s="2210"/>
      <c r="P25" s="2210"/>
      <c r="Q25" s="2210"/>
      <c r="R25" s="2210"/>
    </row>
    <row r="26" spans="1:18" ht="15" x14ac:dyDescent="0.25">
      <c r="A26" s="2228" t="s">
        <v>2062</v>
      </c>
      <c r="B26" s="2229">
        <v>80</v>
      </c>
      <c r="C26" s="2227"/>
      <c r="D26" s="2219">
        <v>1000000</v>
      </c>
      <c r="E26" s="2220">
        <v>0</v>
      </c>
      <c r="F26" s="2221">
        <f t="shared" si="1"/>
        <v>1000000</v>
      </c>
      <c r="G26" s="2222" t="s">
        <v>390</v>
      </c>
      <c r="H26" s="2222" t="s">
        <v>2060</v>
      </c>
      <c r="I26" s="2222" t="s">
        <v>392</v>
      </c>
      <c r="J26" s="2222" t="s">
        <v>392</v>
      </c>
      <c r="K26" s="2222" t="s">
        <v>392</v>
      </c>
      <c r="L26" s="2223" t="s">
        <v>392</v>
      </c>
      <c r="M26" s="2228">
        <v>2024</v>
      </c>
      <c r="N26" s="2210"/>
      <c r="O26" s="2210"/>
      <c r="P26" s="2210"/>
      <c r="Q26" s="2210"/>
      <c r="R26" s="2210"/>
    </row>
    <row r="27" spans="1:18" ht="15" x14ac:dyDescent="0.25">
      <c r="A27" s="2228" t="s">
        <v>2063</v>
      </c>
      <c r="B27" s="2229">
        <v>120</v>
      </c>
      <c r="C27" s="2227"/>
      <c r="D27" s="2219">
        <v>1600000</v>
      </c>
      <c r="E27" s="2220">
        <v>0</v>
      </c>
      <c r="F27" s="2221">
        <f t="shared" si="1"/>
        <v>1600000</v>
      </c>
      <c r="G27" s="2222" t="s">
        <v>390</v>
      </c>
      <c r="H27" s="2222" t="s">
        <v>2060</v>
      </c>
      <c r="I27" s="2222" t="s">
        <v>392</v>
      </c>
      <c r="J27" s="2222" t="s">
        <v>392</v>
      </c>
      <c r="K27" s="2222" t="s">
        <v>392</v>
      </c>
      <c r="L27" s="2223" t="s">
        <v>392</v>
      </c>
      <c r="M27" s="2228">
        <v>2024</v>
      </c>
      <c r="N27" s="2210"/>
      <c r="O27" s="2210"/>
      <c r="P27" s="2210"/>
      <c r="Q27" s="2210"/>
      <c r="R27" s="2210"/>
    </row>
    <row r="28" spans="1:18" ht="15" x14ac:dyDescent="0.25">
      <c r="A28" s="2210"/>
      <c r="B28" s="2210"/>
      <c r="C28" s="2210"/>
      <c r="D28" s="2210"/>
      <c r="E28" s="2210"/>
      <c r="F28" s="2210"/>
      <c r="G28" s="2210"/>
      <c r="H28" s="2210"/>
      <c r="I28" s="2210"/>
      <c r="J28" s="2210"/>
      <c r="K28" s="2210"/>
      <c r="L28" s="2210"/>
      <c r="M28" s="2210"/>
      <c r="N28" s="2210"/>
      <c r="O28" s="2210"/>
      <c r="P28" s="2210"/>
      <c r="Q28" s="2210"/>
      <c r="R28" s="2210"/>
    </row>
    <row r="29" spans="1:18" ht="15" x14ac:dyDescent="0.25">
      <c r="A29" s="2211" t="s">
        <v>417</v>
      </c>
      <c r="B29" s="2212">
        <f>SUM(B22:B27)</f>
        <v>1258</v>
      </c>
      <c r="C29" s="2210"/>
      <c r="D29" s="2213">
        <f>SUM(D22:D27)</f>
        <v>11600000</v>
      </c>
      <c r="E29" s="2213">
        <f>SUM(E22:E27)</f>
        <v>4530000</v>
      </c>
      <c r="F29" s="2213">
        <f>SUM(F22:F27)</f>
        <v>7070000</v>
      </c>
      <c r="G29" s="2210"/>
      <c r="H29" s="2210"/>
      <c r="I29" s="2210"/>
      <c r="J29" s="2210"/>
      <c r="K29" s="2210"/>
      <c r="L29" s="2210"/>
      <c r="M29" s="2210"/>
      <c r="N29" s="2210"/>
      <c r="O29" s="2210"/>
      <c r="P29" s="2210"/>
      <c r="Q29" s="2210"/>
      <c r="R29" s="2210"/>
    </row>
    <row r="30" spans="1:18" ht="15" x14ac:dyDescent="0.25">
      <c r="A30" s="2210"/>
      <c r="B30" s="2210"/>
      <c r="C30" s="2210"/>
      <c r="D30" s="2210"/>
      <c r="E30" s="2213"/>
      <c r="F30" s="2210"/>
      <c r="G30" s="2210"/>
      <c r="H30" s="2210"/>
      <c r="I30" s="2210"/>
      <c r="J30" s="2210"/>
      <c r="K30" s="2210"/>
      <c r="L30" s="2210"/>
      <c r="M30" s="2210"/>
      <c r="N30" s="2210"/>
      <c r="O30" s="2210"/>
      <c r="P30" s="2210"/>
      <c r="Q30" s="2210"/>
      <c r="R30" s="2210"/>
    </row>
    <row r="31" spans="1:18" ht="16.5" thickBot="1" x14ac:dyDescent="0.3">
      <c r="A31" s="2043" t="s">
        <v>427</v>
      </c>
      <c r="B31" s="2210"/>
      <c r="C31" s="2210"/>
      <c r="D31" s="2210"/>
      <c r="E31" s="2213"/>
      <c r="F31" s="2210"/>
      <c r="G31" s="2210"/>
      <c r="H31" s="2210"/>
      <c r="I31" s="2210"/>
      <c r="J31" s="2210"/>
      <c r="K31" s="2210"/>
      <c r="L31" s="2210"/>
      <c r="M31" s="2210"/>
      <c r="N31" s="2210"/>
      <c r="O31" s="2210"/>
      <c r="P31" s="2210"/>
      <c r="Q31" s="2210"/>
      <c r="R31" s="2210"/>
    </row>
    <row r="32" spans="1:18" ht="15.75" thickBot="1" x14ac:dyDescent="0.3">
      <c r="A32" s="2230"/>
      <c r="B32" s="2210"/>
      <c r="C32" s="2210"/>
      <c r="D32" s="2214" t="s">
        <v>371</v>
      </c>
      <c r="E32" s="2231" t="s">
        <v>428</v>
      </c>
      <c r="F32" s="2216" t="s">
        <v>419</v>
      </c>
      <c r="G32" s="2216" t="s">
        <v>376</v>
      </c>
      <c r="H32" s="2216" t="s">
        <v>380</v>
      </c>
      <c r="I32" s="2216" t="s">
        <v>381</v>
      </c>
      <c r="J32" s="2216" t="s">
        <v>382</v>
      </c>
      <c r="K32" s="2216" t="s">
        <v>383</v>
      </c>
      <c r="L32" s="2215" t="s">
        <v>140</v>
      </c>
      <c r="M32" s="2215" t="s">
        <v>1911</v>
      </c>
      <c r="N32" s="2210"/>
      <c r="O32" s="2210"/>
      <c r="P32" s="2210"/>
      <c r="Q32" s="2210"/>
      <c r="R32" s="2210"/>
    </row>
    <row r="33" spans="1:18" ht="15" x14ac:dyDescent="0.25">
      <c r="A33" s="2232"/>
      <c r="B33" s="2210"/>
      <c r="C33" s="2210"/>
      <c r="D33" s="2233"/>
      <c r="E33" s="2234"/>
      <c r="F33" s="2235"/>
      <c r="G33" s="2236"/>
      <c r="H33" s="2236"/>
      <c r="I33" s="2237"/>
      <c r="J33" s="2237"/>
      <c r="K33" s="2237"/>
      <c r="L33" s="2237"/>
      <c r="M33" s="2238"/>
      <c r="N33" s="2210"/>
      <c r="O33" s="2210"/>
      <c r="P33" s="2210"/>
      <c r="Q33" s="2210"/>
      <c r="R33" s="2210"/>
    </row>
    <row r="34" spans="1:18" ht="15" x14ac:dyDescent="0.25">
      <c r="A34" s="2232"/>
      <c r="B34" s="2210"/>
      <c r="C34" s="2210"/>
      <c r="D34" s="2233"/>
      <c r="E34" s="2234"/>
      <c r="F34" s="2235"/>
      <c r="G34" s="2236"/>
      <c r="H34" s="2236"/>
      <c r="I34" s="2237"/>
      <c r="J34" s="2237"/>
      <c r="K34" s="2237"/>
      <c r="L34" s="2237"/>
      <c r="M34" s="2238"/>
      <c r="N34" s="2210"/>
      <c r="O34" s="2210"/>
      <c r="P34" s="2210"/>
      <c r="Q34" s="2210"/>
      <c r="R34" s="2210"/>
    </row>
    <row r="35" spans="1:18" ht="15.75" thickBot="1" x14ac:dyDescent="0.3">
      <c r="A35" s="2239"/>
      <c r="B35" s="2210"/>
      <c r="C35" s="2210"/>
      <c r="D35" s="2240"/>
      <c r="E35" s="2241"/>
      <c r="F35" s="2242"/>
      <c r="G35" s="2243"/>
      <c r="H35" s="2244"/>
      <c r="I35" s="2243"/>
      <c r="J35" s="2243"/>
      <c r="K35" s="2243"/>
      <c r="L35" s="2243"/>
      <c r="M35" s="2245"/>
      <c r="N35" s="2210"/>
      <c r="O35" s="2210"/>
      <c r="P35" s="2210"/>
      <c r="Q35" s="2210"/>
      <c r="R35" s="2210"/>
    </row>
    <row r="36" spans="1:18" ht="15" x14ac:dyDescent="0.25">
      <c r="A36" s="2210"/>
      <c r="B36" s="2210"/>
      <c r="C36" s="2210"/>
      <c r="D36" s="2213"/>
      <c r="E36" s="2213"/>
      <c r="F36" s="2213"/>
      <c r="G36" s="2210"/>
      <c r="H36" s="2210"/>
      <c r="I36" s="2210"/>
      <c r="J36" s="2210"/>
      <c r="K36" s="2210"/>
      <c r="L36" s="2210"/>
      <c r="M36" s="2210"/>
      <c r="N36" s="2210"/>
      <c r="O36" s="2210"/>
      <c r="P36" s="2210"/>
      <c r="Q36" s="2210"/>
      <c r="R36" s="2210"/>
    </row>
    <row r="37" spans="1:18" ht="15" x14ac:dyDescent="0.25">
      <c r="A37" s="2211" t="s">
        <v>417</v>
      </c>
      <c r="B37" s="2210"/>
      <c r="C37" s="2210"/>
      <c r="D37" s="2213">
        <f>SUM(D33:D35)</f>
        <v>0</v>
      </c>
      <c r="E37" s="2213">
        <f>SUM(E33:E35)</f>
        <v>0</v>
      </c>
      <c r="F37" s="2213">
        <f>SUM(F33:F35)</f>
        <v>0</v>
      </c>
      <c r="G37" s="2213"/>
      <c r="H37" s="2213"/>
      <c r="I37" s="2210"/>
      <c r="J37" s="2210"/>
      <c r="K37" s="2210"/>
      <c r="L37" s="2210"/>
      <c r="M37" s="2210"/>
      <c r="N37" s="2210"/>
      <c r="O37" s="2210"/>
      <c r="P37" s="2210"/>
      <c r="Q37" s="2210"/>
      <c r="R37" s="2210"/>
    </row>
    <row r="38" spans="1:18" ht="15" x14ac:dyDescent="0.25">
      <c r="A38" s="2210"/>
      <c r="B38" s="2210"/>
      <c r="C38" s="2210"/>
      <c r="D38" s="2210"/>
      <c r="E38" s="2210"/>
      <c r="F38" s="2210"/>
      <c r="G38" s="2210"/>
      <c r="H38" s="2210"/>
      <c r="I38" s="2210"/>
      <c r="J38" s="2210"/>
      <c r="K38" s="2210"/>
      <c r="L38" s="2210"/>
      <c r="M38" s="2210"/>
      <c r="N38" s="2210"/>
      <c r="O38" s="2210"/>
      <c r="P38" s="2210"/>
      <c r="Q38" s="2210"/>
      <c r="R38" s="2210"/>
    </row>
    <row r="39" spans="1:18" ht="15" x14ac:dyDescent="0.25">
      <c r="A39" s="2210"/>
      <c r="B39" s="2210"/>
      <c r="C39" s="2210"/>
      <c r="D39" s="2210"/>
      <c r="E39" s="2210"/>
      <c r="F39" s="2210"/>
      <c r="G39" s="2210"/>
      <c r="H39" s="2210"/>
      <c r="I39" s="2210"/>
      <c r="J39" s="2210"/>
      <c r="K39" s="2210"/>
      <c r="L39" s="2210"/>
      <c r="M39" s="2210"/>
      <c r="N39" s="2210"/>
      <c r="O39" s="2210"/>
      <c r="P39" s="2210"/>
      <c r="Q39" s="2210"/>
      <c r="R39" s="2210"/>
    </row>
    <row r="40" spans="1:18" ht="16.5" thickBot="1" x14ac:dyDescent="0.3">
      <c r="A40" s="2043" t="s">
        <v>437</v>
      </c>
      <c r="B40" s="2210"/>
      <c r="C40" s="2210"/>
      <c r="D40" s="2210"/>
      <c r="E40" s="2213"/>
      <c r="F40" s="2210"/>
      <c r="G40" s="2210"/>
      <c r="H40" s="2210"/>
      <c r="I40" s="2210"/>
      <c r="J40" s="2210"/>
      <c r="K40" s="2210"/>
      <c r="L40" s="2210"/>
      <c r="M40" s="2210"/>
      <c r="N40" s="2210"/>
      <c r="O40" s="2210"/>
      <c r="P40" s="2210"/>
      <c r="Q40" s="2210"/>
      <c r="R40" s="2210"/>
    </row>
    <row r="41" spans="1:18" ht="15.75" thickBot="1" x14ac:dyDescent="0.3">
      <c r="A41" s="2230"/>
      <c r="B41" s="2210"/>
      <c r="C41" s="2210"/>
      <c r="D41" s="2214" t="s">
        <v>371</v>
      </c>
      <c r="E41" s="2231" t="s">
        <v>1915</v>
      </c>
      <c r="F41" s="2216" t="s">
        <v>419</v>
      </c>
      <c r="G41" s="2215" t="s">
        <v>376</v>
      </c>
      <c r="H41" s="2216" t="s">
        <v>380</v>
      </c>
      <c r="I41" s="2216" t="s">
        <v>381</v>
      </c>
      <c r="J41" s="2216" t="s">
        <v>382</v>
      </c>
      <c r="K41" s="2216" t="s">
        <v>383</v>
      </c>
      <c r="L41" s="2215" t="s">
        <v>140</v>
      </c>
      <c r="M41" s="2215" t="s">
        <v>1911</v>
      </c>
      <c r="N41" s="2210"/>
      <c r="O41" s="2210"/>
      <c r="P41" s="2210"/>
      <c r="Q41" s="2210"/>
      <c r="R41" s="2210"/>
    </row>
    <row r="42" spans="1:18" ht="15" x14ac:dyDescent="0.25">
      <c r="A42" s="2246" t="s">
        <v>2064</v>
      </c>
      <c r="B42" s="2210"/>
      <c r="C42" s="2210"/>
      <c r="D42" s="2247">
        <v>2500000</v>
      </c>
      <c r="E42" s="2248">
        <v>0</v>
      </c>
      <c r="F42" s="2249">
        <v>2500000</v>
      </c>
      <c r="G42" s="2250" t="s">
        <v>390</v>
      </c>
      <c r="H42" s="2251" t="s">
        <v>2065</v>
      </c>
      <c r="I42" s="2251" t="s">
        <v>388</v>
      </c>
      <c r="J42" s="2251" t="s">
        <v>388</v>
      </c>
      <c r="K42" s="2251" t="s">
        <v>388</v>
      </c>
      <c r="L42" s="2251" t="s">
        <v>392</v>
      </c>
      <c r="M42" s="2250">
        <v>2023</v>
      </c>
      <c r="N42" s="2210"/>
      <c r="O42" s="2210"/>
      <c r="P42" s="2210"/>
      <c r="Q42" s="2210"/>
      <c r="R42" s="2210"/>
    </row>
    <row r="43" spans="1:18" ht="15" x14ac:dyDescent="0.25">
      <c r="A43" s="2246" t="s">
        <v>1916</v>
      </c>
      <c r="B43" s="2210"/>
      <c r="C43" s="2210"/>
      <c r="D43" s="2247">
        <v>110000000</v>
      </c>
      <c r="E43" s="2248">
        <f>0.65*D43</f>
        <v>71500000</v>
      </c>
      <c r="F43" s="2249">
        <f>D43-E43</f>
        <v>38500000</v>
      </c>
      <c r="G43" s="2250" t="s">
        <v>1917</v>
      </c>
      <c r="H43" s="2251" t="s">
        <v>1918</v>
      </c>
      <c r="I43" s="2251" t="s">
        <v>388</v>
      </c>
      <c r="J43" s="2251" t="s">
        <v>388</v>
      </c>
      <c r="K43" s="2251" t="s">
        <v>388</v>
      </c>
      <c r="L43" s="2251" t="s">
        <v>1919</v>
      </c>
      <c r="M43" s="2250">
        <v>2023</v>
      </c>
      <c r="N43" s="2210"/>
      <c r="O43" s="2210"/>
      <c r="P43" s="2210"/>
      <c r="Q43" s="2210"/>
      <c r="R43" s="2210"/>
    </row>
    <row r="44" spans="1:18" ht="15" x14ac:dyDescent="0.25">
      <c r="A44" s="2246" t="s">
        <v>439</v>
      </c>
      <c r="B44" s="2210"/>
      <c r="C44" s="2210"/>
      <c r="D44" s="2247">
        <v>2000000</v>
      </c>
      <c r="E44" s="2248">
        <f>0.5*D44</f>
        <v>1000000</v>
      </c>
      <c r="F44" s="2249">
        <f>D44-E44</f>
        <v>1000000</v>
      </c>
      <c r="G44" s="2250" t="s">
        <v>390</v>
      </c>
      <c r="H44" s="2251" t="s">
        <v>1920</v>
      </c>
      <c r="I44" s="2251" t="s">
        <v>392</v>
      </c>
      <c r="J44" s="2251" t="s">
        <v>392</v>
      </c>
      <c r="K44" s="2251" t="s">
        <v>392</v>
      </c>
      <c r="L44" s="2251" t="s">
        <v>392</v>
      </c>
      <c r="M44" s="2250" t="s">
        <v>1921</v>
      </c>
      <c r="N44" s="2210"/>
      <c r="O44" s="2210"/>
      <c r="P44" s="2210"/>
      <c r="Q44" s="2210"/>
      <c r="R44" s="2210"/>
    </row>
    <row r="45" spans="1:18" ht="15" x14ac:dyDescent="0.25">
      <c r="A45" s="2246" t="s">
        <v>1922</v>
      </c>
      <c r="B45" s="2227"/>
      <c r="C45" s="2227"/>
      <c r="D45" s="2247">
        <v>5000000</v>
      </c>
      <c r="E45" s="2248">
        <v>0</v>
      </c>
      <c r="F45" s="2249">
        <f>D45-E45</f>
        <v>5000000</v>
      </c>
      <c r="G45" s="2250" t="s">
        <v>390</v>
      </c>
      <c r="H45" s="2251" t="s">
        <v>1923</v>
      </c>
      <c r="I45" s="2251" t="s">
        <v>388</v>
      </c>
      <c r="J45" s="2251" t="s">
        <v>392</v>
      </c>
      <c r="K45" s="2251" t="s">
        <v>392</v>
      </c>
      <c r="L45" s="2251" t="s">
        <v>392</v>
      </c>
      <c r="M45" s="2250" t="s">
        <v>1921</v>
      </c>
      <c r="N45" s="2211"/>
      <c r="O45" s="2211"/>
      <c r="P45" s="2211"/>
      <c r="Q45" s="2211"/>
      <c r="R45" s="2211"/>
    </row>
    <row r="46" spans="1:18" ht="15" x14ac:dyDescent="0.25">
      <c r="A46" s="2246" t="s">
        <v>1924</v>
      </c>
      <c r="B46" s="2210"/>
      <c r="C46" s="2210"/>
      <c r="D46" s="2247">
        <v>3000000</v>
      </c>
      <c r="E46" s="2248">
        <v>1500000</v>
      </c>
      <c r="F46" s="2249">
        <f>D46-E46</f>
        <v>1500000</v>
      </c>
      <c r="G46" s="2250" t="s">
        <v>390</v>
      </c>
      <c r="H46" s="2251" t="s">
        <v>1920</v>
      </c>
      <c r="I46" s="2251" t="s">
        <v>388</v>
      </c>
      <c r="J46" s="2251" t="s">
        <v>388</v>
      </c>
      <c r="K46" s="2251" t="s">
        <v>388</v>
      </c>
      <c r="L46" s="2251" t="s">
        <v>388</v>
      </c>
      <c r="M46" s="2250" t="s">
        <v>1921</v>
      </c>
      <c r="N46" s="2210"/>
      <c r="O46" s="2210"/>
      <c r="P46" s="2210"/>
      <c r="Q46" s="2210"/>
      <c r="R46" s="2210"/>
    </row>
    <row r="47" spans="1:18" ht="15" x14ac:dyDescent="0.25">
      <c r="A47" s="2246" t="s">
        <v>2066</v>
      </c>
      <c r="B47" s="2210"/>
      <c r="C47" s="2210"/>
      <c r="D47" s="2252">
        <v>1500000</v>
      </c>
      <c r="E47" s="2253">
        <f>F47</f>
        <v>750000</v>
      </c>
      <c r="F47" s="2254">
        <f>D47/2</f>
        <v>750000</v>
      </c>
      <c r="G47" s="2255" t="s">
        <v>390</v>
      </c>
      <c r="H47" s="2251"/>
      <c r="I47" s="2251"/>
      <c r="J47" s="2251"/>
      <c r="K47" s="2251"/>
      <c r="L47" s="2251"/>
      <c r="M47" s="2250" t="s">
        <v>1921</v>
      </c>
      <c r="N47" s="2210"/>
      <c r="O47" s="2210"/>
      <c r="P47" s="2210"/>
      <c r="Q47" s="2210"/>
      <c r="R47" s="2210"/>
    </row>
    <row r="48" spans="1:18" ht="15" x14ac:dyDescent="0.25">
      <c r="A48" s="2246" t="s">
        <v>1713</v>
      </c>
      <c r="B48" s="2210"/>
      <c r="C48" s="2210"/>
      <c r="D48" s="2247">
        <v>130000000</v>
      </c>
      <c r="E48" s="2248">
        <v>60000000</v>
      </c>
      <c r="F48" s="2249">
        <v>70000000</v>
      </c>
      <c r="G48" s="2250" t="s">
        <v>390</v>
      </c>
      <c r="H48" s="2251"/>
      <c r="I48" s="2251" t="s">
        <v>392</v>
      </c>
      <c r="J48" s="2251" t="s">
        <v>392</v>
      </c>
      <c r="K48" s="2251" t="s">
        <v>392</v>
      </c>
      <c r="L48" s="2251" t="s">
        <v>392</v>
      </c>
      <c r="M48" s="2250">
        <v>2024</v>
      </c>
      <c r="N48" s="2210"/>
      <c r="O48" s="2210"/>
      <c r="P48" s="2210"/>
      <c r="Q48" s="2210"/>
      <c r="R48" s="2210"/>
    </row>
    <row r="49" spans="1:18" ht="15.75" thickBot="1" x14ac:dyDescent="0.3">
      <c r="A49" s="2256" t="s">
        <v>441</v>
      </c>
      <c r="B49" s="2210"/>
      <c r="C49" s="2210"/>
      <c r="D49" s="2257">
        <v>7000000</v>
      </c>
      <c r="E49" s="2258">
        <f>0.5*D49</f>
        <v>3500000</v>
      </c>
      <c r="F49" s="2259">
        <f>D49-E49</f>
        <v>3500000</v>
      </c>
      <c r="G49" s="2260" t="s">
        <v>390</v>
      </c>
      <c r="H49" s="2251" t="s">
        <v>433</v>
      </c>
      <c r="I49" s="2251" t="s">
        <v>388</v>
      </c>
      <c r="J49" s="2251" t="s">
        <v>388</v>
      </c>
      <c r="K49" s="2251" t="s">
        <v>388</v>
      </c>
      <c r="L49" s="2251" t="s">
        <v>388</v>
      </c>
      <c r="M49" s="2250" t="s">
        <v>1921</v>
      </c>
      <c r="N49" s="2210"/>
      <c r="O49" s="2210"/>
      <c r="P49" s="2210"/>
      <c r="Q49" s="2210"/>
      <c r="R49" s="2210"/>
    </row>
    <row r="50" spans="1:18" ht="15" x14ac:dyDescent="0.25">
      <c r="A50" s="2210"/>
      <c r="B50" s="2210"/>
      <c r="C50" s="2210"/>
      <c r="D50" s="2213"/>
      <c r="E50" s="2213"/>
      <c r="F50" s="2213"/>
      <c r="G50" s="2210"/>
      <c r="H50" s="2210"/>
      <c r="I50" s="2210"/>
      <c r="J50" s="2210"/>
      <c r="K50" s="2210"/>
      <c r="L50" s="2210"/>
      <c r="M50" s="2210"/>
      <c r="N50" s="2210"/>
      <c r="O50" s="2210"/>
      <c r="P50" s="2210"/>
      <c r="Q50" s="2210"/>
      <c r="R50" s="2210"/>
    </row>
    <row r="51" spans="1:18" ht="15" x14ac:dyDescent="0.25">
      <c r="A51" s="2211" t="s">
        <v>417</v>
      </c>
      <c r="B51" s="2210"/>
      <c r="C51" s="2210"/>
      <c r="D51" s="2213">
        <f>SUM(D42:D49)</f>
        <v>261000000</v>
      </c>
      <c r="E51" s="2213">
        <f>SUM(E42:E49)</f>
        <v>138250000</v>
      </c>
      <c r="F51" s="2213">
        <f>SUM(F42:F49)</f>
        <v>122750000</v>
      </c>
      <c r="G51" s="2213"/>
      <c r="H51" s="2210"/>
      <c r="I51" s="2210"/>
      <c r="J51" s="2210"/>
      <c r="K51" s="2210"/>
      <c r="L51" s="2210"/>
      <c r="M51" s="2210"/>
      <c r="N51" s="2210"/>
      <c r="O51" s="2210"/>
      <c r="P51" s="2210"/>
      <c r="Q51" s="2210"/>
      <c r="R51" s="2210"/>
    </row>
    <row r="52" spans="1:18" ht="15" x14ac:dyDescent="0.25">
      <c r="A52" s="2210"/>
      <c r="B52" s="2210"/>
      <c r="C52" s="2210"/>
      <c r="D52" s="2210"/>
      <c r="E52" s="2210"/>
      <c r="F52" s="2210"/>
      <c r="G52" s="2210"/>
      <c r="H52" s="2210"/>
      <c r="I52" s="2210"/>
      <c r="J52" s="2210"/>
      <c r="K52" s="2210"/>
      <c r="L52" s="2210"/>
      <c r="M52" s="2210"/>
      <c r="N52" s="2210"/>
      <c r="O52" s="2210"/>
      <c r="P52" s="2210"/>
      <c r="Q52" s="2210"/>
      <c r="R52" s="2210"/>
    </row>
    <row r="53" spans="1:18" ht="15" x14ac:dyDescent="0.25">
      <c r="A53" s="2210"/>
      <c r="B53" s="2210"/>
      <c r="C53" s="2210"/>
      <c r="D53" s="2210"/>
      <c r="E53" s="2210"/>
      <c r="F53" s="2210"/>
      <c r="G53" s="2210"/>
      <c r="H53" s="2210"/>
      <c r="I53" s="2210"/>
      <c r="J53" s="2210"/>
      <c r="K53" s="2210"/>
      <c r="L53" s="2210"/>
      <c r="M53" s="2210"/>
      <c r="N53" s="2210"/>
      <c r="O53" s="2210"/>
      <c r="P53" s="2210"/>
      <c r="Q53" s="2210"/>
      <c r="R53" s="2210"/>
    </row>
    <row r="54" spans="1:18" ht="16.5" thickBot="1" x14ac:dyDescent="0.3">
      <c r="A54" s="2043" t="s">
        <v>442</v>
      </c>
      <c r="B54" s="2210"/>
      <c r="C54" s="2210"/>
      <c r="D54" s="2210"/>
      <c r="E54" s="2213"/>
      <c r="F54" s="2210"/>
      <c r="G54" s="2210"/>
      <c r="H54" s="2210"/>
      <c r="I54" s="2210"/>
      <c r="J54" s="2210"/>
      <c r="K54" s="2210"/>
      <c r="L54" s="2210"/>
      <c r="M54" s="2210"/>
      <c r="N54" s="2210"/>
      <c r="O54" s="2210"/>
      <c r="P54" s="2210"/>
      <c r="Q54" s="2210"/>
      <c r="R54" s="2210"/>
    </row>
    <row r="55" spans="1:18" ht="15.75" thickBot="1" x14ac:dyDescent="0.3">
      <c r="A55" s="2230"/>
      <c r="B55" s="2210"/>
      <c r="C55" s="2210"/>
      <c r="D55" s="2214" t="s">
        <v>371</v>
      </c>
      <c r="E55" s="2231" t="s">
        <v>428</v>
      </c>
      <c r="F55" s="2216" t="s">
        <v>419</v>
      </c>
      <c r="G55" s="2215" t="s">
        <v>376</v>
      </c>
      <c r="H55" s="2216" t="s">
        <v>380</v>
      </c>
      <c r="I55" s="2216" t="s">
        <v>381</v>
      </c>
      <c r="J55" s="2216" t="s">
        <v>382</v>
      </c>
      <c r="K55" s="2216" t="s">
        <v>383</v>
      </c>
      <c r="L55" s="2215" t="s">
        <v>140</v>
      </c>
      <c r="M55" s="2215" t="s">
        <v>1911</v>
      </c>
      <c r="N55" s="2210"/>
      <c r="O55" s="2210"/>
      <c r="P55" s="2210"/>
      <c r="Q55" s="2210"/>
      <c r="R55" s="2210"/>
    </row>
    <row r="56" spans="1:18" ht="15" x14ac:dyDescent="0.25">
      <c r="A56" s="2261" t="s">
        <v>1925</v>
      </c>
      <c r="B56" s="2210"/>
      <c r="C56" s="2210"/>
      <c r="D56" s="2262">
        <v>35000000</v>
      </c>
      <c r="E56" s="2263">
        <v>12000000</v>
      </c>
      <c r="F56" s="2264">
        <f>D56-E56</f>
        <v>23000000</v>
      </c>
      <c r="G56" s="2265" t="s">
        <v>390</v>
      </c>
      <c r="H56" s="2266" t="s">
        <v>2026</v>
      </c>
      <c r="I56" s="2266" t="s">
        <v>388</v>
      </c>
      <c r="J56" s="2266" t="s">
        <v>388</v>
      </c>
      <c r="K56" s="2266" t="s">
        <v>388</v>
      </c>
      <c r="L56" s="2266" t="s">
        <v>388</v>
      </c>
      <c r="M56" s="2265">
        <v>2023</v>
      </c>
      <c r="N56" s="2210"/>
      <c r="O56" s="2210"/>
      <c r="P56" s="2210"/>
      <c r="Q56" s="2210"/>
      <c r="R56" s="2210"/>
    </row>
    <row r="57" spans="1:18" ht="15" x14ac:dyDescent="0.25">
      <c r="A57" s="2261" t="s">
        <v>1928</v>
      </c>
      <c r="B57" s="2210"/>
      <c r="C57" s="2210"/>
      <c r="D57" s="2262">
        <v>32000000</v>
      </c>
      <c r="E57" s="2263">
        <v>15505276</v>
      </c>
      <c r="F57" s="2264">
        <f>D57-E57</f>
        <v>16494724</v>
      </c>
      <c r="G57" s="2265" t="s">
        <v>390</v>
      </c>
      <c r="H57" s="2266" t="s">
        <v>1926</v>
      </c>
      <c r="I57" s="2266" t="s">
        <v>2067</v>
      </c>
      <c r="J57" s="2266" t="s">
        <v>392</v>
      </c>
      <c r="K57" s="2266" t="s">
        <v>1927</v>
      </c>
      <c r="L57" s="2266" t="s">
        <v>392</v>
      </c>
      <c r="M57" s="2265">
        <v>2023</v>
      </c>
      <c r="N57" s="2210"/>
      <c r="O57" s="2210"/>
      <c r="P57" s="2210"/>
      <c r="Q57" s="2210"/>
      <c r="R57" s="2210"/>
    </row>
    <row r="58" spans="1:18" ht="15" x14ac:dyDescent="0.25">
      <c r="A58" s="2261" t="s">
        <v>446</v>
      </c>
      <c r="B58" s="2210"/>
      <c r="C58" s="2210"/>
      <c r="D58" s="2262">
        <v>20400000</v>
      </c>
      <c r="E58" s="2263">
        <v>7500000</v>
      </c>
      <c r="F58" s="2264">
        <f>D58-E58</f>
        <v>12900000</v>
      </c>
      <c r="G58" s="2265" t="s">
        <v>390</v>
      </c>
      <c r="H58" s="2266" t="s">
        <v>2027</v>
      </c>
      <c r="I58" s="2266" t="s">
        <v>388</v>
      </c>
      <c r="J58" s="2266" t="s">
        <v>388</v>
      </c>
      <c r="K58" s="2266" t="s">
        <v>388</v>
      </c>
      <c r="L58" s="2266" t="s">
        <v>388</v>
      </c>
      <c r="M58" s="2265">
        <v>2023</v>
      </c>
      <c r="N58" s="2210"/>
      <c r="O58" s="2210"/>
      <c r="P58" s="2210"/>
      <c r="Q58" s="2210"/>
      <c r="R58" s="2210"/>
    </row>
    <row r="59" spans="1:18" ht="15" x14ac:dyDescent="0.25">
      <c r="A59" s="2261" t="s">
        <v>2068</v>
      </c>
      <c r="B59" s="2210"/>
      <c r="C59" s="2210"/>
      <c r="D59" s="2262">
        <v>35000000</v>
      </c>
      <c r="E59" s="2263">
        <v>19250000</v>
      </c>
      <c r="F59" s="2264">
        <f>D59-E59</f>
        <v>15750000</v>
      </c>
      <c r="G59" s="2265" t="s">
        <v>390</v>
      </c>
      <c r="H59" s="2266" t="s">
        <v>2069</v>
      </c>
      <c r="I59" s="2266" t="s">
        <v>388</v>
      </c>
      <c r="J59" s="2266" t="s">
        <v>388</v>
      </c>
      <c r="K59" s="2266" t="s">
        <v>388</v>
      </c>
      <c r="L59" s="2266" t="s">
        <v>388</v>
      </c>
      <c r="M59" s="2265">
        <v>2024</v>
      </c>
      <c r="N59" s="2210"/>
      <c r="O59" s="2210"/>
      <c r="P59" s="2210"/>
      <c r="Q59" s="2210"/>
      <c r="R59" s="2210"/>
    </row>
    <row r="60" spans="1:18" ht="15" x14ac:dyDescent="0.25">
      <c r="A60" s="2267" t="s">
        <v>2070</v>
      </c>
      <c r="B60" s="2210"/>
      <c r="C60" s="2210"/>
      <c r="D60" s="2268">
        <v>2000000</v>
      </c>
      <c r="E60" s="2263">
        <v>0</v>
      </c>
      <c r="F60" s="2264">
        <v>2000000</v>
      </c>
      <c r="G60" s="2265" t="s">
        <v>390</v>
      </c>
      <c r="H60" s="2266"/>
      <c r="I60" s="2266" t="s">
        <v>392</v>
      </c>
      <c r="J60" s="2267" t="s">
        <v>392</v>
      </c>
      <c r="K60" s="2267" t="s">
        <v>392</v>
      </c>
      <c r="L60" s="2267" t="s">
        <v>392</v>
      </c>
      <c r="M60" s="2267">
        <v>2024</v>
      </c>
      <c r="N60" s="2210"/>
      <c r="O60" s="2210"/>
      <c r="P60" s="2210"/>
      <c r="Q60" s="2210"/>
      <c r="R60" s="2210"/>
    </row>
    <row r="61" spans="1:18" ht="15" x14ac:dyDescent="0.25">
      <c r="A61" s="2267" t="s">
        <v>2071</v>
      </c>
      <c r="B61" s="2210"/>
      <c r="C61" s="2210"/>
      <c r="D61" s="2268">
        <v>2500000</v>
      </c>
      <c r="E61" s="2268">
        <v>0</v>
      </c>
      <c r="F61" s="2268">
        <v>2500000</v>
      </c>
      <c r="G61" s="2265" t="s">
        <v>390</v>
      </c>
      <c r="H61" s="2267" t="s">
        <v>2072</v>
      </c>
      <c r="I61" s="2267" t="s">
        <v>392</v>
      </c>
      <c r="J61" s="2267" t="s">
        <v>392</v>
      </c>
      <c r="K61" s="2267" t="s">
        <v>392</v>
      </c>
      <c r="L61" s="2267" t="s">
        <v>392</v>
      </c>
      <c r="M61" s="2267">
        <v>2023</v>
      </c>
      <c r="N61" s="2210"/>
      <c r="O61" s="2210"/>
      <c r="P61" s="2210"/>
      <c r="Q61" s="2210"/>
      <c r="R61" s="2210"/>
    </row>
    <row r="62" spans="1:18" ht="15" x14ac:dyDescent="0.25">
      <c r="A62" s="2210"/>
      <c r="B62" s="2210"/>
      <c r="C62" s="2210"/>
      <c r="D62" s="2213"/>
      <c r="E62" s="2213"/>
      <c r="F62" s="2213"/>
      <c r="G62" s="2210"/>
      <c r="H62" s="2210"/>
      <c r="I62" s="2210"/>
      <c r="J62" s="2210"/>
      <c r="K62" s="2210"/>
      <c r="L62" s="2210"/>
      <c r="M62" s="2210"/>
      <c r="N62" s="2210"/>
      <c r="O62" s="2210"/>
      <c r="P62" s="2210"/>
      <c r="Q62" s="2210"/>
      <c r="R62" s="2210"/>
    </row>
    <row r="63" spans="1:18" ht="15" x14ac:dyDescent="0.25">
      <c r="A63" s="2211" t="s">
        <v>417</v>
      </c>
      <c r="B63" s="2210"/>
      <c r="C63" s="2210"/>
      <c r="D63" s="2213">
        <f>SUM(D56:D61)</f>
        <v>126900000</v>
      </c>
      <c r="E63" s="2213">
        <f>SUM(E56:E61)</f>
        <v>54255276</v>
      </c>
      <c r="F63" s="2213">
        <f>SUM(F56:F61)</f>
        <v>72644724</v>
      </c>
      <c r="G63" s="2213"/>
      <c r="H63" s="2210"/>
      <c r="I63" s="2210"/>
      <c r="J63" s="2210"/>
      <c r="K63" s="2210"/>
      <c r="L63" s="2210"/>
      <c r="M63" s="2210"/>
      <c r="N63" s="2210"/>
      <c r="O63" s="2210"/>
      <c r="P63" s="2210"/>
      <c r="Q63" s="2210"/>
      <c r="R63" s="2210"/>
    </row>
    <row r="64" spans="1:18" ht="15" x14ac:dyDescent="0.25">
      <c r="A64" s="2211"/>
      <c r="B64" s="2210"/>
      <c r="C64" s="2210"/>
      <c r="D64" s="2213"/>
      <c r="E64" s="2213"/>
      <c r="F64" s="2213"/>
      <c r="G64" s="2213"/>
      <c r="H64" s="2210"/>
      <c r="I64" s="2210"/>
      <c r="J64" s="2210"/>
      <c r="K64" s="2210"/>
      <c r="L64" s="2210"/>
      <c r="M64" s="2210"/>
      <c r="N64" s="2210"/>
      <c r="O64" s="2210"/>
      <c r="P64" s="2210"/>
      <c r="Q64" s="2210"/>
      <c r="R64" s="2210"/>
    </row>
    <row r="65" spans="1:18" ht="15" x14ac:dyDescent="0.25">
      <c r="A65" s="2210"/>
      <c r="B65" s="2269" t="s">
        <v>448</v>
      </c>
      <c r="C65" s="2269"/>
      <c r="D65" s="2210"/>
      <c r="E65" s="2210"/>
      <c r="F65" s="2210"/>
      <c r="G65" s="2210"/>
      <c r="H65" s="2210"/>
      <c r="I65" s="2210"/>
      <c r="J65" s="2210"/>
      <c r="K65" s="2210"/>
      <c r="L65" s="2210"/>
      <c r="M65" s="2210"/>
      <c r="N65" s="2210"/>
      <c r="O65" s="2210"/>
      <c r="P65" s="2210"/>
      <c r="Q65" s="2210"/>
      <c r="R65" s="2210"/>
    </row>
    <row r="66" spans="1:18" ht="15" x14ac:dyDescent="0.25">
      <c r="A66" s="2211" t="s">
        <v>450</v>
      </c>
      <c r="B66" s="2213">
        <f>D18+D29+D37+D51+D63</f>
        <v>498990300</v>
      </c>
      <c r="C66" s="2213"/>
      <c r="D66" s="2213"/>
      <c r="E66" s="2213"/>
      <c r="F66" s="2213"/>
      <c r="G66" s="2213"/>
      <c r="H66" s="2210"/>
      <c r="I66" s="2210"/>
      <c r="J66" s="2210"/>
      <c r="K66" s="2210"/>
      <c r="L66" s="2210"/>
      <c r="M66" s="2210"/>
      <c r="N66" s="2210"/>
      <c r="O66" s="2210"/>
      <c r="P66" s="2210"/>
      <c r="Q66" s="2210"/>
      <c r="R66" s="2210"/>
    </row>
    <row r="67" spans="1:18" ht="15" x14ac:dyDescent="0.25">
      <c r="A67" s="2211" t="s">
        <v>451</v>
      </c>
      <c r="B67" s="2213">
        <f>E18+E29+E37+E51+E63</f>
        <v>272535276</v>
      </c>
      <c r="C67" s="2213"/>
      <c r="D67" s="2210"/>
      <c r="E67" s="2210"/>
      <c r="F67" s="2213"/>
      <c r="G67" s="2210"/>
      <c r="H67" s="2210"/>
      <c r="I67" s="2210"/>
      <c r="J67" s="2210"/>
      <c r="K67" s="2210"/>
      <c r="L67" s="2210"/>
      <c r="M67" s="2210"/>
      <c r="N67" s="2210"/>
      <c r="O67" s="2210"/>
      <c r="P67" s="2210"/>
      <c r="Q67" s="2210"/>
      <c r="R67" s="2210"/>
    </row>
    <row r="68" spans="1:18" ht="15" x14ac:dyDescent="0.25">
      <c r="A68" s="2211" t="s">
        <v>452</v>
      </c>
      <c r="B68" s="2213">
        <f>B66-B67</f>
        <v>226455024</v>
      </c>
      <c r="C68" s="2213"/>
      <c r="D68" s="2210"/>
      <c r="E68" s="2210"/>
      <c r="F68" s="2210"/>
      <c r="G68" s="2210"/>
      <c r="H68" s="2210"/>
      <c r="I68" s="2210"/>
      <c r="J68" s="2210"/>
      <c r="K68" s="2210"/>
      <c r="L68" s="2210"/>
      <c r="M68" s="2210"/>
      <c r="N68" s="2210"/>
      <c r="O68" s="2210"/>
      <c r="P68" s="2210"/>
      <c r="Q68" s="2210"/>
      <c r="R68" s="2210"/>
    </row>
    <row r="69" spans="1:18" ht="15" x14ac:dyDescent="0.25">
      <c r="A69" s="2270" t="s">
        <v>453</v>
      </c>
      <c r="B69" s="2271">
        <f>F18</f>
        <v>23990300</v>
      </c>
      <c r="C69" s="2271"/>
      <c r="D69" s="2210"/>
      <c r="E69" s="2210"/>
      <c r="F69" s="2210"/>
      <c r="G69" s="2210"/>
      <c r="H69" s="2210"/>
      <c r="I69" s="2210"/>
      <c r="J69" s="2210"/>
      <c r="K69" s="2210"/>
      <c r="L69" s="2210"/>
      <c r="M69" s="2210"/>
      <c r="N69" s="2210"/>
      <c r="O69" s="2210"/>
      <c r="P69" s="2210"/>
      <c r="Q69" s="2210"/>
      <c r="R69" s="2210"/>
    </row>
    <row r="70" spans="1:18" ht="15" x14ac:dyDescent="0.25">
      <c r="A70" s="2270" t="s">
        <v>1929</v>
      </c>
      <c r="B70" s="2210"/>
      <c r="C70" s="2271">
        <f>F29</f>
        <v>7070000</v>
      </c>
      <c r="D70" s="2210"/>
      <c r="E70" s="2210"/>
      <c r="F70" s="2210"/>
      <c r="G70" s="2210"/>
      <c r="H70" s="2210"/>
      <c r="I70" s="2210"/>
      <c r="J70" s="2210"/>
      <c r="K70" s="2210"/>
      <c r="L70" s="2210"/>
      <c r="M70" s="2210"/>
      <c r="N70" s="2210"/>
      <c r="O70" s="2210"/>
      <c r="P70" s="2210"/>
      <c r="Q70" s="2210"/>
      <c r="R70" s="2210"/>
    </row>
    <row r="71" spans="1:18" ht="15" x14ac:dyDescent="0.25">
      <c r="A71" s="2270" t="s">
        <v>455</v>
      </c>
      <c r="B71" s="2210"/>
      <c r="C71" s="2271">
        <f>F51</f>
        <v>122750000</v>
      </c>
      <c r="D71" s="2210"/>
      <c r="E71" s="2210"/>
      <c r="F71" s="2210"/>
      <c r="G71" s="2210"/>
      <c r="H71" s="2210"/>
      <c r="I71" s="2210"/>
      <c r="J71" s="2210"/>
      <c r="K71" s="2210"/>
      <c r="L71" s="2210"/>
      <c r="M71" s="2210"/>
      <c r="N71" s="2210"/>
      <c r="O71" s="2210"/>
      <c r="P71" s="2210"/>
      <c r="Q71" s="2210"/>
      <c r="R71" s="2210"/>
    </row>
    <row r="72" spans="1:18" ht="15" x14ac:dyDescent="0.25">
      <c r="A72" s="2270" t="s">
        <v>456</v>
      </c>
      <c r="B72" s="2210"/>
      <c r="C72" s="2271">
        <f>F63</f>
        <v>72644724</v>
      </c>
      <c r="D72" s="2210"/>
      <c r="E72" s="2210"/>
      <c r="F72" s="2210"/>
      <c r="G72" s="2210"/>
      <c r="H72" s="2210"/>
      <c r="I72" s="2210"/>
      <c r="J72" s="2210"/>
      <c r="K72" s="2210"/>
      <c r="L72" s="2210"/>
      <c r="M72" s="2210"/>
      <c r="N72" s="2210"/>
      <c r="O72" s="2210"/>
      <c r="P72" s="2210"/>
      <c r="Q72" s="2210"/>
      <c r="R72" s="2210"/>
    </row>
    <row r="73" spans="1:18" ht="15" x14ac:dyDescent="0.25">
      <c r="A73" s="2270" t="s">
        <v>457</v>
      </c>
      <c r="B73" s="2210"/>
      <c r="C73" s="2271">
        <f>F37</f>
        <v>0</v>
      </c>
      <c r="D73" s="2210"/>
      <c r="E73" s="2210"/>
      <c r="F73" s="2210"/>
      <c r="G73" s="2210"/>
      <c r="H73" s="2210"/>
      <c r="I73" s="2210"/>
      <c r="J73" s="2210"/>
      <c r="K73" s="2210"/>
      <c r="L73" s="2210"/>
      <c r="M73" s="2210"/>
      <c r="N73" s="2210"/>
      <c r="O73" s="2210"/>
      <c r="P73" s="2210"/>
      <c r="Q73" s="2210"/>
      <c r="R73" s="2210"/>
    </row>
    <row r="74" spans="1:18" ht="15" x14ac:dyDescent="0.25">
      <c r="A74" s="2210"/>
      <c r="B74" s="2210"/>
      <c r="C74" s="2210"/>
      <c r="D74" s="2210"/>
      <c r="E74" s="2210"/>
      <c r="F74" s="2210"/>
      <c r="G74" s="2210"/>
      <c r="H74" s="2210"/>
      <c r="I74" s="2210"/>
      <c r="J74" s="2210"/>
      <c r="K74" s="2210"/>
      <c r="L74" s="2210"/>
      <c r="M74" s="2210"/>
      <c r="N74" s="2210"/>
      <c r="O74" s="2210"/>
      <c r="P74" s="2210"/>
      <c r="Q74" s="2210"/>
      <c r="R74" s="2210"/>
    </row>
    <row r="75" spans="1:18" ht="15" x14ac:dyDescent="0.25">
      <c r="A75" s="2211" t="s">
        <v>1930</v>
      </c>
      <c r="B75" s="2272">
        <f>15000000*4</f>
        <v>60000000</v>
      </c>
      <c r="C75" s="2213"/>
      <c r="D75" s="2210"/>
      <c r="E75" s="2210"/>
      <c r="F75" s="2210"/>
      <c r="G75" s="2210"/>
      <c r="H75" s="2210"/>
      <c r="I75" s="2210"/>
      <c r="J75" s="2210"/>
      <c r="K75" s="2210"/>
      <c r="L75" s="2210"/>
      <c r="M75" s="2210"/>
      <c r="N75" s="2210"/>
      <c r="O75" s="2210"/>
      <c r="P75" s="2210"/>
      <c r="Q75" s="2210"/>
      <c r="R75" s="2210"/>
    </row>
    <row r="76" spans="1:18" ht="15" x14ac:dyDescent="0.25">
      <c r="A76" s="2210"/>
      <c r="B76" s="2210"/>
      <c r="C76" s="2210"/>
      <c r="D76" s="2210"/>
      <c r="E76" s="2210"/>
      <c r="F76" s="2210"/>
      <c r="G76" s="2210"/>
      <c r="H76" s="2210"/>
      <c r="I76" s="2210"/>
      <c r="J76" s="2210"/>
      <c r="K76" s="2210"/>
      <c r="L76" s="2210"/>
      <c r="M76" s="2210"/>
      <c r="N76" s="2210"/>
      <c r="O76" s="2210"/>
      <c r="P76" s="2210"/>
      <c r="Q76" s="2210"/>
      <c r="R76" s="2210"/>
    </row>
    <row r="77" spans="1:18" ht="15" x14ac:dyDescent="0.25">
      <c r="A77" s="2211" t="s">
        <v>459</v>
      </c>
      <c r="B77" s="2272">
        <f>B68-SUM(B75:B75)</f>
        <v>166455024</v>
      </c>
      <c r="C77" s="2272"/>
      <c r="D77" s="2210"/>
      <c r="E77" s="2210"/>
      <c r="F77" s="2210"/>
      <c r="G77" s="2210"/>
      <c r="H77" s="2210"/>
      <c r="I77" s="2210"/>
      <c r="J77" s="2210"/>
      <c r="K77" s="2210"/>
      <c r="L77" s="2210"/>
      <c r="M77" s="2210"/>
      <c r="N77" s="2210"/>
      <c r="O77" s="2210"/>
      <c r="P77" s="2210"/>
      <c r="Q77" s="2210"/>
      <c r="R77" s="2210"/>
    </row>
    <row r="78" spans="1:18" ht="15" x14ac:dyDescent="0.25">
      <c r="A78" s="2210"/>
      <c r="B78" s="2210"/>
      <c r="C78" s="2210"/>
      <c r="D78" s="2210"/>
      <c r="E78" s="2210"/>
      <c r="F78" s="2210"/>
      <c r="G78" s="2210"/>
      <c r="H78" s="2210"/>
      <c r="I78" s="2210"/>
      <c r="J78" s="2210"/>
      <c r="K78" s="2210"/>
      <c r="L78" s="2210"/>
      <c r="M78" s="2210"/>
      <c r="N78" s="2210"/>
      <c r="O78" s="2210"/>
      <c r="P78" s="2210"/>
      <c r="Q78" s="2210"/>
      <c r="R78" s="2210"/>
    </row>
    <row r="79" spans="1:18" ht="15" x14ac:dyDescent="0.25">
      <c r="A79" s="2211" t="s">
        <v>460</v>
      </c>
      <c r="B79" s="2210"/>
      <c r="C79" s="2213"/>
      <c r="D79" s="2210"/>
      <c r="E79" s="2210"/>
      <c r="F79" s="2210"/>
      <c r="G79" s="2210"/>
      <c r="H79" s="2210"/>
      <c r="I79" s="2210"/>
      <c r="J79" s="2210"/>
      <c r="K79" s="2210"/>
      <c r="L79" s="2210"/>
      <c r="M79" s="2210"/>
      <c r="N79" s="2210"/>
      <c r="O79" s="2210"/>
      <c r="P79" s="2210"/>
      <c r="Q79" s="2210"/>
      <c r="R79" s="2210"/>
    </row>
    <row r="80" spans="1:18" ht="15" x14ac:dyDescent="0.25">
      <c r="A80" s="2270" t="s">
        <v>461</v>
      </c>
      <c r="B80" s="2213">
        <v>40000000</v>
      </c>
      <c r="C80" s="2213"/>
      <c r="D80" s="2213"/>
      <c r="E80" s="2210"/>
      <c r="F80" s="2210"/>
      <c r="G80" s="2210"/>
      <c r="H80" s="2210"/>
      <c r="I80" s="2210"/>
      <c r="J80" s="2210"/>
      <c r="K80" s="2210"/>
      <c r="L80" s="2210"/>
      <c r="M80" s="2210"/>
      <c r="N80" s="2210"/>
      <c r="O80" s="2210"/>
      <c r="P80" s="2210"/>
      <c r="Q80" s="2210"/>
      <c r="R80" s="2210"/>
    </row>
    <row r="81" spans="1:18" ht="15" x14ac:dyDescent="0.25">
      <c r="A81" s="2270" t="s">
        <v>1931</v>
      </c>
      <c r="B81" s="2213">
        <v>105000000</v>
      </c>
      <c r="C81" s="2213"/>
      <c r="D81" s="2210"/>
      <c r="E81" s="2210"/>
      <c r="F81" s="2210"/>
      <c r="G81" s="2210"/>
      <c r="H81" s="2210"/>
      <c r="I81" s="2210"/>
      <c r="J81" s="2210"/>
      <c r="K81" s="2210"/>
      <c r="L81" s="2210"/>
      <c r="M81" s="2210"/>
      <c r="N81" s="2210"/>
      <c r="O81" s="2210"/>
      <c r="P81" s="2210"/>
      <c r="Q81" s="2210"/>
      <c r="R81" s="2210"/>
    </row>
    <row r="82" spans="1:18" ht="15" x14ac:dyDescent="0.25">
      <c r="A82" s="2270" t="s">
        <v>1932</v>
      </c>
      <c r="B82" s="2213">
        <v>36000000</v>
      </c>
      <c r="C82" s="2213"/>
      <c r="D82" s="2210"/>
      <c r="E82" s="2210"/>
      <c r="F82" s="2210"/>
      <c r="G82" s="2210"/>
      <c r="H82" s="2210"/>
      <c r="I82" s="2210"/>
      <c r="J82" s="2210"/>
      <c r="K82" s="2210"/>
      <c r="L82" s="2210"/>
      <c r="M82" s="2210"/>
      <c r="N82" s="2210"/>
      <c r="O82" s="2210"/>
      <c r="P82" s="2210"/>
      <c r="Q82" s="2210"/>
      <c r="R82" s="2210"/>
    </row>
    <row r="83" spans="1:18" ht="15" x14ac:dyDescent="0.25">
      <c r="A83" s="2271"/>
      <c r="B83" s="2213"/>
      <c r="C83" s="2213"/>
      <c r="D83" s="2210"/>
      <c r="E83" s="2210"/>
      <c r="F83" s="2210"/>
      <c r="G83" s="2210"/>
      <c r="H83" s="2210"/>
      <c r="I83" s="2210"/>
      <c r="J83" s="2210"/>
      <c r="K83" s="2210"/>
      <c r="L83" s="2210"/>
      <c r="M83" s="2210"/>
      <c r="N83" s="2210"/>
      <c r="O83" s="2210"/>
      <c r="P83" s="2210"/>
      <c r="Q83" s="2210"/>
      <c r="R83" s="2210"/>
    </row>
    <row r="84" spans="1:18" ht="15" x14ac:dyDescent="0.25">
      <c r="A84" s="2211" t="s">
        <v>465</v>
      </c>
      <c r="B84" s="2272">
        <f>SUM(B80:B82)</f>
        <v>181000000</v>
      </c>
      <c r="C84" s="2213"/>
      <c r="D84" s="2210"/>
      <c r="E84" s="2210"/>
      <c r="F84" s="2210"/>
      <c r="G84" s="2210"/>
      <c r="H84" s="2210"/>
      <c r="I84" s="2210"/>
      <c r="J84" s="2210"/>
      <c r="K84" s="2210"/>
      <c r="L84" s="2210"/>
      <c r="M84" s="2210"/>
      <c r="N84" s="2210"/>
      <c r="O84" s="2210"/>
      <c r="P84" s="2210"/>
      <c r="Q84" s="2210"/>
      <c r="R84" s="2210"/>
    </row>
    <row r="85" spans="1:18" ht="15" x14ac:dyDescent="0.25">
      <c r="A85" s="2211"/>
      <c r="B85" s="2213"/>
      <c r="C85" s="2213"/>
      <c r="D85" s="2210"/>
      <c r="E85" s="2210"/>
      <c r="F85" s="2210"/>
      <c r="G85" s="2210"/>
      <c r="H85" s="2210"/>
      <c r="I85" s="2210"/>
      <c r="J85" s="2210"/>
      <c r="K85" s="2210"/>
      <c r="L85" s="2210"/>
      <c r="M85" s="2210"/>
      <c r="N85" s="2210"/>
      <c r="O85" s="2210"/>
      <c r="P85" s="2210"/>
      <c r="Q85" s="2210"/>
      <c r="R85" s="2210"/>
    </row>
    <row r="86" spans="1:18" ht="15" x14ac:dyDescent="0.25">
      <c r="A86" s="2211" t="s">
        <v>1933</v>
      </c>
      <c r="B86" s="2272">
        <f>13500000+5500000</f>
        <v>19000000</v>
      </c>
      <c r="C86" s="2213"/>
      <c r="D86" s="2210"/>
      <c r="E86" s="2210"/>
      <c r="F86" s="2210"/>
      <c r="G86" s="2210"/>
      <c r="H86" s="2210"/>
      <c r="I86" s="2210"/>
      <c r="J86" s="2210"/>
      <c r="K86" s="2210"/>
      <c r="L86" s="2210"/>
      <c r="M86" s="2210"/>
      <c r="N86" s="2210"/>
      <c r="O86" s="2210"/>
      <c r="P86" s="2210"/>
      <c r="Q86" s="2210"/>
      <c r="R86" s="2210"/>
    </row>
    <row r="87" spans="1:18" ht="15" x14ac:dyDescent="0.25">
      <c r="A87" s="2211"/>
      <c r="B87" s="2213"/>
      <c r="C87" s="2213"/>
      <c r="D87" s="2210"/>
      <c r="E87" s="2210"/>
      <c r="F87" s="2210"/>
      <c r="G87" s="2210"/>
      <c r="H87" s="2210"/>
      <c r="I87" s="2210"/>
      <c r="J87" s="2210"/>
      <c r="K87" s="2210"/>
      <c r="L87" s="2210"/>
      <c r="M87" s="2210"/>
      <c r="N87" s="2210"/>
      <c r="O87" s="2210"/>
      <c r="P87" s="2210"/>
      <c r="Q87" s="2210"/>
      <c r="R87" s="2210"/>
    </row>
    <row r="88" spans="1:18" ht="15" x14ac:dyDescent="0.25">
      <c r="A88" s="2211" t="s">
        <v>1934</v>
      </c>
      <c r="B88" s="2272">
        <v>0</v>
      </c>
      <c r="C88" s="2213"/>
      <c r="D88" s="2210"/>
      <c r="E88" s="2210"/>
      <c r="F88" s="2210"/>
      <c r="G88" s="2210"/>
      <c r="H88" s="2210"/>
      <c r="I88" s="2210"/>
      <c r="J88" s="2210"/>
      <c r="K88" s="2210"/>
      <c r="L88" s="2210"/>
      <c r="M88" s="2210"/>
      <c r="N88" s="2210"/>
      <c r="O88" s="2210"/>
      <c r="P88" s="2210"/>
      <c r="Q88" s="2210"/>
      <c r="R88" s="2210"/>
    </row>
    <row r="89" spans="1:18" ht="15" x14ac:dyDescent="0.25">
      <c r="A89" s="2210"/>
      <c r="B89" s="2213"/>
      <c r="C89" s="2213"/>
      <c r="D89" s="2210"/>
      <c r="E89" s="2210"/>
      <c r="F89" s="2210"/>
      <c r="G89" s="2210"/>
      <c r="H89" s="2210"/>
      <c r="I89" s="2210"/>
      <c r="J89" s="2210"/>
      <c r="K89" s="2210"/>
      <c r="L89" s="2210"/>
      <c r="M89" s="2210"/>
      <c r="N89" s="2210"/>
      <c r="O89" s="2210"/>
      <c r="P89" s="2210"/>
      <c r="Q89" s="2210"/>
      <c r="R89" s="2210"/>
    </row>
    <row r="90" spans="1:18" ht="15" x14ac:dyDescent="0.25">
      <c r="A90" s="2211" t="s">
        <v>1935</v>
      </c>
      <c r="B90" s="2272">
        <v>4000000</v>
      </c>
      <c r="C90" s="2213"/>
      <c r="D90" s="2210"/>
      <c r="E90" s="2210"/>
      <c r="F90" s="2210"/>
      <c r="G90" s="2210"/>
      <c r="H90" s="2210"/>
      <c r="I90" s="2210"/>
      <c r="J90" s="2210"/>
      <c r="K90" s="2210"/>
      <c r="L90" s="2210"/>
      <c r="M90" s="2210"/>
      <c r="N90" s="2210"/>
      <c r="O90" s="2210"/>
      <c r="P90" s="2210"/>
      <c r="Q90" s="2210"/>
      <c r="R90" s="2210"/>
    </row>
    <row r="91" spans="1:18" ht="15" x14ac:dyDescent="0.25">
      <c r="A91" s="2210"/>
      <c r="B91" s="2213"/>
      <c r="C91" s="2213"/>
      <c r="D91" s="2210"/>
      <c r="E91" s="2210"/>
      <c r="F91" s="2210"/>
      <c r="G91" s="2210"/>
      <c r="H91" s="2210"/>
      <c r="I91" s="2210"/>
      <c r="J91" s="2210"/>
      <c r="K91" s="2210"/>
      <c r="L91" s="2210"/>
      <c r="M91" s="2210"/>
      <c r="N91" s="2210"/>
      <c r="O91" s="2210"/>
      <c r="P91" s="2210"/>
      <c r="Q91" s="2210"/>
      <c r="R91" s="2210"/>
    </row>
    <row r="92" spans="1:18" ht="15" x14ac:dyDescent="0.25">
      <c r="A92" s="2211" t="s">
        <v>1936</v>
      </c>
      <c r="B92" s="2272">
        <f>SUM(B84,B86,B88,B90)</f>
        <v>204000000</v>
      </c>
      <c r="C92" s="2210"/>
      <c r="D92" s="2210"/>
      <c r="E92" s="2210"/>
      <c r="F92" s="2210"/>
      <c r="G92" s="2210"/>
      <c r="H92" s="2210"/>
      <c r="I92" s="2210"/>
      <c r="J92" s="2210"/>
      <c r="K92" s="2210"/>
      <c r="L92" s="2210"/>
      <c r="M92" s="2210"/>
      <c r="N92" s="2210"/>
      <c r="O92" s="2210"/>
      <c r="P92" s="2210"/>
      <c r="Q92" s="2210"/>
      <c r="R92" s="2210"/>
    </row>
    <row r="93" spans="1:18" ht="15" x14ac:dyDescent="0.25">
      <c r="A93" s="2211"/>
      <c r="B93" s="2213"/>
      <c r="C93" s="2210"/>
      <c r="D93" s="2210"/>
      <c r="E93" s="2210"/>
      <c r="F93" s="2210"/>
      <c r="G93" s="2210"/>
      <c r="H93" s="2210"/>
      <c r="I93" s="2210"/>
      <c r="J93" s="2210"/>
      <c r="K93" s="2210"/>
      <c r="L93" s="2210"/>
      <c r="M93" s="2210"/>
      <c r="N93" s="2210"/>
      <c r="O93" s="2210"/>
      <c r="P93" s="2210"/>
      <c r="Q93" s="2210"/>
      <c r="R93" s="2210"/>
    </row>
    <row r="94" spans="1:18" ht="21" x14ac:dyDescent="0.35">
      <c r="A94" s="2273" t="s">
        <v>1937</v>
      </c>
      <c r="B94" s="2274">
        <f>B92-B77</f>
        <v>37544976</v>
      </c>
      <c r="C94" s="2210"/>
      <c r="D94" s="2210"/>
      <c r="E94" s="2210"/>
      <c r="F94" s="2210"/>
      <c r="G94" s="2210"/>
      <c r="H94" s="2210"/>
      <c r="I94" s="2210"/>
      <c r="J94" s="2210"/>
      <c r="K94" s="2210"/>
      <c r="L94" s="2210"/>
      <c r="M94" s="2210"/>
      <c r="N94" s="2210"/>
      <c r="O94" s="2210"/>
      <c r="P94" s="2210"/>
      <c r="Q94" s="2210"/>
      <c r="R94" s="2210"/>
    </row>
    <row r="95" spans="1:18" ht="15" x14ac:dyDescent="0.25">
      <c r="A95" s="2210"/>
      <c r="B95" s="2210"/>
      <c r="C95" s="2210"/>
      <c r="D95" s="2210"/>
      <c r="E95" s="2210"/>
      <c r="F95" s="2210"/>
      <c r="G95" s="2210"/>
      <c r="H95" s="2210"/>
      <c r="I95" s="2210"/>
      <c r="J95" s="2210"/>
      <c r="K95" s="2210"/>
      <c r="L95" s="2210"/>
      <c r="M95" s="2210"/>
      <c r="N95" s="2210"/>
      <c r="O95" s="2210"/>
      <c r="P95" s="2210"/>
      <c r="Q95" s="2210"/>
      <c r="R95" s="2210"/>
    </row>
    <row r="96" spans="1:18" ht="21" x14ac:dyDescent="0.35">
      <c r="A96" s="2273" t="s">
        <v>2073</v>
      </c>
      <c r="B96" s="2274">
        <v>126137552</v>
      </c>
      <c r="C96" s="2213"/>
      <c r="D96" s="2213"/>
      <c r="E96" s="2210"/>
      <c r="F96" s="2210"/>
      <c r="G96" s="2210"/>
      <c r="H96" s="2210"/>
      <c r="I96" s="2210"/>
      <c r="J96" s="2210"/>
      <c r="K96" s="2210"/>
      <c r="L96" s="2210"/>
      <c r="M96" s="2210"/>
      <c r="N96" s="2210"/>
      <c r="O96" s="2210"/>
      <c r="P96" s="2210"/>
      <c r="Q96" s="2210"/>
      <c r="R96" s="2210"/>
    </row>
    <row r="97" spans="1:18" ht="15" x14ac:dyDescent="0.25">
      <c r="A97" s="2270" t="s">
        <v>1938</v>
      </c>
      <c r="B97" s="2271">
        <v>11818172</v>
      </c>
      <c r="C97" s="2271" t="s">
        <v>1939</v>
      </c>
      <c r="D97" s="2213"/>
      <c r="E97" s="2275"/>
      <c r="F97" s="2210"/>
      <c r="G97" s="2210"/>
      <c r="H97" s="2210"/>
      <c r="I97" s="2210"/>
      <c r="J97" s="2210"/>
      <c r="K97" s="2210"/>
      <c r="L97" s="2210"/>
      <c r="M97" s="2210"/>
      <c r="N97" s="2210"/>
      <c r="O97" s="2210"/>
      <c r="P97" s="2210"/>
      <c r="Q97" s="2210"/>
      <c r="R97" s="2210"/>
    </row>
    <row r="98" spans="1:18" ht="15" x14ac:dyDescent="0.25">
      <c r="A98" s="2270" t="s">
        <v>1940</v>
      </c>
      <c r="B98" s="2271">
        <v>72938360</v>
      </c>
      <c r="C98" s="2271" t="s">
        <v>1941</v>
      </c>
      <c r="D98" s="2213"/>
      <c r="E98" s="2275"/>
      <c r="F98" s="2210"/>
      <c r="G98" s="2210"/>
      <c r="H98" s="2210"/>
      <c r="I98" s="2210"/>
      <c r="J98" s="2210"/>
      <c r="K98" s="2210"/>
      <c r="L98" s="2210"/>
      <c r="M98" s="2210"/>
      <c r="N98" s="2210"/>
      <c r="O98" s="2210"/>
      <c r="P98" s="2210"/>
      <c r="Q98" s="2210"/>
      <c r="R98" s="2210"/>
    </row>
    <row r="99" spans="1:18" ht="15" x14ac:dyDescent="0.25">
      <c r="A99" s="2270" t="s">
        <v>1942</v>
      </c>
      <c r="B99" s="2271">
        <v>41381020</v>
      </c>
      <c r="C99" s="2271" t="s">
        <v>1943</v>
      </c>
      <c r="D99" s="2213"/>
      <c r="E99" s="2275"/>
      <c r="F99" s="2210"/>
      <c r="G99" s="2210"/>
      <c r="H99" s="2210"/>
      <c r="I99" s="2210"/>
      <c r="J99" s="2210"/>
      <c r="K99" s="2210"/>
      <c r="L99" s="2210"/>
      <c r="M99" s="2210"/>
      <c r="N99" s="2210"/>
      <c r="O99" s="2210"/>
      <c r="P99" s="2210"/>
      <c r="Q99" s="2210"/>
      <c r="R99" s="2210"/>
    </row>
    <row r="100" spans="1:18" ht="15" x14ac:dyDescent="0.25">
      <c r="A100" s="2211"/>
      <c r="B100" s="2213"/>
      <c r="C100" s="2213"/>
      <c r="D100" s="2210"/>
      <c r="E100" s="2210"/>
      <c r="F100" s="2210"/>
      <c r="G100" s="2210"/>
      <c r="H100" s="2210"/>
      <c r="I100" s="2210"/>
      <c r="J100" s="2210"/>
      <c r="K100" s="2210"/>
      <c r="L100" s="2210"/>
      <c r="M100" s="2210"/>
      <c r="N100" s="2210"/>
      <c r="O100" s="2210"/>
      <c r="P100" s="2210"/>
      <c r="Q100" s="2210"/>
      <c r="R100" s="2210"/>
    </row>
    <row r="101" spans="1:18" ht="15" hidden="1" x14ac:dyDescent="0.25">
      <c r="A101" s="2276" t="s">
        <v>1944</v>
      </c>
      <c r="B101" s="2277">
        <f>61000000</f>
        <v>61000000</v>
      </c>
      <c r="C101" s="2213"/>
      <c r="D101" s="2210"/>
      <c r="E101" s="2210"/>
      <c r="F101" s="2210"/>
      <c r="G101" s="2210"/>
      <c r="H101" s="2210"/>
      <c r="I101" s="2210"/>
      <c r="J101" s="2210"/>
      <c r="K101" s="2210"/>
      <c r="L101" s="2210"/>
      <c r="M101" s="2210"/>
      <c r="N101" s="2210"/>
      <c r="O101" s="2210"/>
      <c r="P101" s="2210"/>
      <c r="Q101" s="2210"/>
      <c r="R101" s="2210"/>
    </row>
    <row r="102" spans="1:18" ht="15" hidden="1" x14ac:dyDescent="0.25">
      <c r="A102" s="2276"/>
      <c r="B102" s="2277"/>
      <c r="C102" s="2213"/>
      <c r="D102" s="2210"/>
      <c r="E102" s="2210"/>
      <c r="F102" s="2210"/>
      <c r="G102" s="2210"/>
      <c r="H102" s="2210"/>
      <c r="I102" s="2210"/>
      <c r="J102" s="2210"/>
      <c r="K102" s="2210"/>
      <c r="L102" s="2210"/>
      <c r="M102" s="2210"/>
      <c r="N102" s="2210"/>
      <c r="O102" s="2210"/>
      <c r="P102" s="2210"/>
      <c r="Q102" s="2210"/>
      <c r="R102" s="2210"/>
    </row>
    <row r="103" spans="1:18" ht="21" hidden="1" x14ac:dyDescent="0.35">
      <c r="A103" s="2278" t="s">
        <v>1945</v>
      </c>
      <c r="B103" s="2279">
        <f>B96-B108</f>
        <v>43137552</v>
      </c>
      <c r="C103" s="2213"/>
      <c r="D103" s="2210"/>
      <c r="E103" s="2210"/>
      <c r="F103" s="2210"/>
      <c r="G103" s="2210"/>
      <c r="H103" s="2210"/>
      <c r="I103" s="2210"/>
      <c r="J103" s="2210"/>
      <c r="K103" s="2210"/>
      <c r="L103" s="2210"/>
      <c r="M103" s="2210"/>
      <c r="N103" s="2210"/>
      <c r="O103" s="2210"/>
      <c r="P103" s="2210"/>
      <c r="Q103" s="2210"/>
      <c r="R103" s="2210"/>
    </row>
    <row r="104" spans="1:18" ht="15" hidden="1" x14ac:dyDescent="0.25">
      <c r="A104" s="2280" t="s">
        <v>1938</v>
      </c>
      <c r="B104" s="2281">
        <v>0</v>
      </c>
      <c r="C104" s="2213"/>
      <c r="D104" s="2210"/>
      <c r="E104" s="2210"/>
      <c r="F104" s="2210"/>
      <c r="G104" s="2210"/>
      <c r="H104" s="2210"/>
      <c r="I104" s="2210"/>
      <c r="J104" s="2210"/>
      <c r="K104" s="2210"/>
      <c r="L104" s="2210"/>
      <c r="M104" s="2210"/>
      <c r="N104" s="2210"/>
      <c r="O104" s="2210"/>
      <c r="P104" s="2210"/>
      <c r="Q104" s="2210"/>
      <c r="R104" s="2210"/>
    </row>
    <row r="105" spans="1:18" ht="15" hidden="1" x14ac:dyDescent="0.25">
      <c r="A105" s="2280" t="s">
        <v>1940</v>
      </c>
      <c r="B105" s="2281">
        <v>65000000</v>
      </c>
      <c r="C105" s="2213"/>
      <c r="D105" s="2210"/>
      <c r="E105" s="2210"/>
      <c r="F105" s="2210"/>
      <c r="G105" s="2210"/>
      <c r="H105" s="2210"/>
      <c r="I105" s="2210"/>
      <c r="J105" s="2210"/>
      <c r="K105" s="2210"/>
      <c r="L105" s="2210"/>
      <c r="M105" s="2210"/>
      <c r="N105" s="2210"/>
      <c r="O105" s="2210"/>
      <c r="P105" s="2210"/>
      <c r="Q105" s="2210"/>
      <c r="R105" s="2210"/>
    </row>
    <row r="106" spans="1:18" ht="15" hidden="1" x14ac:dyDescent="0.25">
      <c r="A106" s="2280" t="s">
        <v>1942</v>
      </c>
      <c r="B106" s="2281">
        <v>20000000</v>
      </c>
      <c r="C106" s="2213"/>
      <c r="D106" s="2210"/>
      <c r="E106" s="2210"/>
      <c r="F106" s="2210"/>
      <c r="G106" s="2210"/>
      <c r="H106" s="2210"/>
      <c r="I106" s="2210"/>
      <c r="J106" s="2210"/>
      <c r="K106" s="2210"/>
      <c r="L106" s="2210"/>
      <c r="M106" s="2210"/>
      <c r="N106" s="2210"/>
      <c r="O106" s="2210"/>
      <c r="P106" s="2210"/>
      <c r="Q106" s="2210"/>
      <c r="R106" s="2210"/>
    </row>
    <row r="107" spans="1:18" ht="15" hidden="1" x14ac:dyDescent="0.25">
      <c r="A107" s="2282"/>
      <c r="B107" s="2277"/>
      <c r="C107" s="2213"/>
      <c r="D107" s="2210"/>
      <c r="E107" s="2210"/>
      <c r="F107" s="2210"/>
      <c r="G107" s="2210"/>
      <c r="H107" s="2210"/>
      <c r="I107" s="2210"/>
      <c r="J107" s="2210"/>
      <c r="K107" s="2210"/>
      <c r="L107" s="2210"/>
      <c r="M107" s="2210"/>
      <c r="N107" s="2210"/>
      <c r="O107" s="2210"/>
      <c r="P107" s="2210"/>
      <c r="Q107" s="2210"/>
      <c r="R107" s="2210"/>
    </row>
    <row r="108" spans="1:18" ht="15" hidden="1" x14ac:dyDescent="0.25">
      <c r="A108" s="2276" t="s">
        <v>1944</v>
      </c>
      <c r="B108" s="2277">
        <v>83000000</v>
      </c>
      <c r="C108" s="2213"/>
      <c r="D108" s="2210"/>
      <c r="E108" s="2210"/>
      <c r="F108" s="2210"/>
      <c r="G108" s="2210"/>
      <c r="H108" s="2210"/>
      <c r="I108" s="2210"/>
      <c r="J108" s="2210"/>
      <c r="K108" s="2210"/>
      <c r="L108" s="2210"/>
      <c r="M108" s="2210"/>
      <c r="N108" s="2210"/>
      <c r="O108" s="2210"/>
      <c r="P108" s="2210"/>
      <c r="Q108" s="2210"/>
      <c r="R108" s="2210"/>
    </row>
    <row r="109" spans="1:18" ht="15" x14ac:dyDescent="0.25">
      <c r="A109" s="2282" t="s">
        <v>1946</v>
      </c>
      <c r="B109" s="2282">
        <v>2024</v>
      </c>
      <c r="C109" s="2272"/>
      <c r="D109" s="2210"/>
      <c r="E109" s="2210"/>
      <c r="F109" s="2210"/>
      <c r="G109" s="2210"/>
      <c r="H109" s="2210"/>
      <c r="I109" s="2210"/>
      <c r="J109" s="2210"/>
      <c r="K109" s="2210"/>
      <c r="L109" s="2210"/>
      <c r="M109" s="2210"/>
      <c r="N109" s="2210"/>
      <c r="O109" s="2210"/>
      <c r="P109" s="2210"/>
      <c r="Q109" s="2210"/>
      <c r="R109" s="2210"/>
    </row>
    <row r="110" spans="1:18" ht="36" x14ac:dyDescent="0.55000000000000004">
      <c r="A110" s="2283" t="s">
        <v>1947</v>
      </c>
      <c r="B110" s="2210"/>
      <c r="C110" s="2210"/>
      <c r="D110" s="2210"/>
      <c r="E110" s="2210"/>
      <c r="F110" s="2210"/>
      <c r="G110" s="2210"/>
      <c r="H110" s="2210"/>
      <c r="I110" s="2210"/>
      <c r="J110" s="2210"/>
      <c r="K110" s="2210"/>
      <c r="L110" s="2210"/>
      <c r="M110" s="2210"/>
      <c r="N110" s="2210"/>
      <c r="O110" s="2210"/>
      <c r="P110" s="2210"/>
      <c r="Q110" s="2210"/>
      <c r="R110" s="2210"/>
    </row>
    <row r="111" spans="1:18" ht="36" x14ac:dyDescent="0.55000000000000004">
      <c r="A111" s="2283"/>
      <c r="B111" s="2210"/>
      <c r="C111" s="2210"/>
      <c r="D111" s="2210"/>
      <c r="E111" s="2210"/>
      <c r="F111" s="2210"/>
      <c r="G111" s="2210"/>
      <c r="H111" s="2210"/>
      <c r="I111" s="2210"/>
      <c r="J111" s="2210"/>
      <c r="K111" s="2210"/>
      <c r="L111" s="2210"/>
      <c r="M111" s="2210"/>
      <c r="N111" s="2210"/>
      <c r="O111" s="2210"/>
      <c r="P111" s="2210"/>
      <c r="Q111" s="2210"/>
      <c r="R111" s="2210"/>
    </row>
    <row r="112" spans="1:18" ht="19.5" thickBot="1" x14ac:dyDescent="0.35">
      <c r="A112" s="2284" t="s">
        <v>368</v>
      </c>
      <c r="B112" s="2211"/>
      <c r="C112" s="2211"/>
      <c r="D112" s="2210"/>
      <c r="E112" s="2210"/>
      <c r="F112" s="2210"/>
      <c r="G112" s="2210"/>
      <c r="H112" s="2210"/>
      <c r="I112" s="2210"/>
      <c r="J112" s="2210"/>
      <c r="K112" s="2210"/>
      <c r="L112" s="2210"/>
      <c r="M112" s="2210"/>
      <c r="N112" s="2210"/>
      <c r="O112" s="2210"/>
      <c r="P112" s="2210"/>
      <c r="Q112" s="2210"/>
      <c r="R112" s="2210"/>
    </row>
    <row r="113" spans="1:21" ht="18.75" x14ac:dyDescent="0.3">
      <c r="A113" s="2285"/>
      <c r="B113" s="2286" t="s">
        <v>369</v>
      </c>
      <c r="C113" s="2286" t="s">
        <v>370</v>
      </c>
      <c r="D113" s="2286" t="s">
        <v>1909</v>
      </c>
      <c r="E113" s="2286" t="s">
        <v>372</v>
      </c>
      <c r="F113" s="2286" t="s">
        <v>1910</v>
      </c>
      <c r="G113" s="2286" t="s">
        <v>376</v>
      </c>
      <c r="H113" s="2287" t="s">
        <v>78</v>
      </c>
      <c r="I113" s="2287" t="s">
        <v>79</v>
      </c>
      <c r="J113" s="2287" t="s">
        <v>377</v>
      </c>
      <c r="K113" s="2287" t="s">
        <v>378</v>
      </c>
      <c r="L113" s="2287" t="s">
        <v>379</v>
      </c>
      <c r="M113" s="2286" t="s">
        <v>380</v>
      </c>
      <c r="N113" s="2286" t="s">
        <v>381</v>
      </c>
      <c r="O113" s="2286" t="s">
        <v>382</v>
      </c>
      <c r="P113" s="2286" t="s">
        <v>383</v>
      </c>
      <c r="Q113" s="2288" t="s">
        <v>140</v>
      </c>
      <c r="R113" s="2210"/>
    </row>
    <row r="114" spans="1:21" ht="15" x14ac:dyDescent="0.25">
      <c r="A114" s="2189" t="s">
        <v>1948</v>
      </c>
      <c r="B114" s="2190"/>
      <c r="C114" s="2190">
        <v>1</v>
      </c>
      <c r="D114" s="2180">
        <v>26100000</v>
      </c>
      <c r="E114" s="2180">
        <v>13100000</v>
      </c>
      <c r="F114" s="2180">
        <f>D114-E114</f>
        <v>13000000</v>
      </c>
      <c r="G114" s="2185" t="s">
        <v>390</v>
      </c>
      <c r="H114" s="2191" t="s">
        <v>387</v>
      </c>
      <c r="I114" s="2191" t="s">
        <v>387</v>
      </c>
      <c r="J114" s="2191" t="s">
        <v>387</v>
      </c>
      <c r="K114" s="2192" t="s">
        <v>387</v>
      </c>
      <c r="L114" s="2192" t="s">
        <v>387</v>
      </c>
      <c r="M114" s="2185" t="s">
        <v>2074</v>
      </c>
      <c r="N114" s="2185" t="s">
        <v>392</v>
      </c>
      <c r="O114" s="2185" t="s">
        <v>392</v>
      </c>
      <c r="P114" s="2185" t="s">
        <v>392</v>
      </c>
      <c r="Q114" s="2194" t="s">
        <v>392</v>
      </c>
      <c r="R114" s="2210"/>
    </row>
    <row r="115" spans="1:21" ht="15" x14ac:dyDescent="0.25">
      <c r="A115" s="2178" t="s">
        <v>2075</v>
      </c>
      <c r="B115" s="2179"/>
      <c r="C115" s="2179"/>
      <c r="D115" s="2180">
        <v>17300000</v>
      </c>
      <c r="E115" s="2180">
        <v>13000000</v>
      </c>
      <c r="F115" s="2180">
        <f>D115-E115</f>
        <v>4300000</v>
      </c>
      <c r="G115" s="2185" t="s">
        <v>390</v>
      </c>
      <c r="H115" s="2191" t="s">
        <v>387</v>
      </c>
      <c r="I115" s="2191" t="s">
        <v>387</v>
      </c>
      <c r="J115" s="2191" t="s">
        <v>387</v>
      </c>
      <c r="K115" s="2192" t="s">
        <v>387</v>
      </c>
      <c r="L115" s="2192" t="s">
        <v>387</v>
      </c>
      <c r="M115" s="2185" t="s">
        <v>2074</v>
      </c>
      <c r="N115" s="2185" t="s">
        <v>392</v>
      </c>
      <c r="O115" s="2185" t="s">
        <v>392</v>
      </c>
      <c r="P115" s="2185" t="s">
        <v>392</v>
      </c>
      <c r="Q115" s="2194" t="s">
        <v>392</v>
      </c>
      <c r="R115" s="2210"/>
    </row>
    <row r="116" spans="1:21" ht="15" x14ac:dyDescent="0.25">
      <c r="A116" s="2189" t="s">
        <v>1949</v>
      </c>
      <c r="B116" s="2190">
        <v>180</v>
      </c>
      <c r="C116" s="2190">
        <v>12</v>
      </c>
      <c r="D116" s="2180">
        <f>5300*B116</f>
        <v>954000</v>
      </c>
      <c r="E116" s="2180">
        <f>0*D116</f>
        <v>0</v>
      </c>
      <c r="F116" s="2180">
        <f>D116-E116</f>
        <v>954000</v>
      </c>
      <c r="G116" s="2185" t="s">
        <v>390</v>
      </c>
      <c r="H116" s="2191" t="s">
        <v>387</v>
      </c>
      <c r="I116" s="2191" t="s">
        <v>387</v>
      </c>
      <c r="J116" s="2191" t="s">
        <v>387</v>
      </c>
      <c r="K116" s="2192" t="s">
        <v>401</v>
      </c>
      <c r="L116" s="2192" t="s">
        <v>401</v>
      </c>
      <c r="M116" s="2185" t="s">
        <v>413</v>
      </c>
      <c r="N116" s="2185" t="s">
        <v>392</v>
      </c>
      <c r="O116" s="2185" t="s">
        <v>392</v>
      </c>
      <c r="P116" s="2185" t="s">
        <v>392</v>
      </c>
      <c r="Q116" s="2194" t="s">
        <v>392</v>
      </c>
      <c r="R116" s="2210"/>
    </row>
    <row r="117" spans="1:21" ht="15" x14ac:dyDescent="0.25">
      <c r="A117" s="2184" t="s">
        <v>1950</v>
      </c>
      <c r="B117" s="2179">
        <v>100</v>
      </c>
      <c r="C117" s="2190">
        <v>17</v>
      </c>
      <c r="D117" s="2180">
        <f>5300*B117</f>
        <v>530000</v>
      </c>
      <c r="E117" s="2180">
        <v>0</v>
      </c>
      <c r="F117" s="2180">
        <f>D117-E117</f>
        <v>530000</v>
      </c>
      <c r="G117" s="2185" t="s">
        <v>390</v>
      </c>
      <c r="H117" s="2182" t="s">
        <v>387</v>
      </c>
      <c r="I117" s="2182" t="s">
        <v>387</v>
      </c>
      <c r="J117" s="2182" t="s">
        <v>387</v>
      </c>
      <c r="K117" s="2186" t="s">
        <v>401</v>
      </c>
      <c r="L117" s="2182" t="s">
        <v>387</v>
      </c>
      <c r="M117" s="2181" t="s">
        <v>413</v>
      </c>
      <c r="N117" s="2181" t="s">
        <v>392</v>
      </c>
      <c r="O117" s="2181" t="s">
        <v>392</v>
      </c>
      <c r="P117" s="2181" t="s">
        <v>392</v>
      </c>
      <c r="Q117" s="2183" t="s">
        <v>392</v>
      </c>
      <c r="R117" s="2210"/>
      <c r="S117" s="2039"/>
      <c r="U117" s="2040"/>
    </row>
    <row r="118" spans="1:21" ht="15.75" thickBot="1" x14ac:dyDescent="0.3">
      <c r="A118" s="2201" t="s">
        <v>1951</v>
      </c>
      <c r="B118" s="2202">
        <v>70</v>
      </c>
      <c r="C118" s="2202">
        <v>17</v>
      </c>
      <c r="D118" s="2204">
        <f>5300*B118</f>
        <v>371000</v>
      </c>
      <c r="E118" s="2204">
        <f>0*D118</f>
        <v>0</v>
      </c>
      <c r="F118" s="2204">
        <f>D118-E118</f>
        <v>371000</v>
      </c>
      <c r="G118" s="2205" t="s">
        <v>390</v>
      </c>
      <c r="H118" s="2206" t="s">
        <v>387</v>
      </c>
      <c r="I118" s="2206" t="s">
        <v>387</v>
      </c>
      <c r="J118" s="2206" t="s">
        <v>387</v>
      </c>
      <c r="K118" s="2206" t="s">
        <v>387</v>
      </c>
      <c r="L118" s="2206" t="s">
        <v>387</v>
      </c>
      <c r="M118" s="2205" t="s">
        <v>413</v>
      </c>
      <c r="N118" s="2205" t="s">
        <v>392</v>
      </c>
      <c r="O118" s="2205" t="s">
        <v>392</v>
      </c>
      <c r="P118" s="2205" t="s">
        <v>392</v>
      </c>
      <c r="Q118" s="2209" t="s">
        <v>392</v>
      </c>
      <c r="R118" s="2210"/>
    </row>
    <row r="119" spans="1:21" ht="15" x14ac:dyDescent="0.25">
      <c r="A119" s="2224"/>
      <c r="B119" s="2271"/>
      <c r="C119" s="2271"/>
      <c r="D119" s="2210"/>
      <c r="E119" s="2210"/>
      <c r="F119" s="2210"/>
      <c r="G119" s="2210"/>
      <c r="H119" s="2210"/>
      <c r="I119" s="2210"/>
      <c r="J119" s="2210"/>
      <c r="K119" s="2210"/>
      <c r="L119" s="2210"/>
      <c r="M119" s="2210"/>
      <c r="N119" s="2210"/>
      <c r="O119" s="2210"/>
      <c r="P119" s="2210"/>
      <c r="Q119" s="2210"/>
      <c r="R119" s="2210"/>
    </row>
    <row r="120" spans="1:21" ht="15" x14ac:dyDescent="0.25">
      <c r="A120" s="2224" t="s">
        <v>2</v>
      </c>
      <c r="B120" s="2289">
        <f>SUM(B116:B118)</f>
        <v>350</v>
      </c>
      <c r="C120" s="2271"/>
      <c r="D120" s="2271">
        <f>SUM(D114:D118)</f>
        <v>45255000</v>
      </c>
      <c r="E120" s="2213">
        <f>SUM(E114:E118)</f>
        <v>26100000</v>
      </c>
      <c r="F120" s="2271">
        <f>SUM(F114:F118)</f>
        <v>19155000</v>
      </c>
      <c r="G120" s="2210"/>
      <c r="H120" s="2210"/>
      <c r="I120" s="2210"/>
      <c r="J120" s="2210"/>
      <c r="K120" s="2210"/>
      <c r="L120" s="2210"/>
      <c r="M120" s="2210"/>
      <c r="N120" s="2210"/>
      <c r="O120" s="2210"/>
      <c r="P120" s="2210"/>
      <c r="Q120" s="2210"/>
      <c r="R120" s="2210"/>
    </row>
    <row r="121" spans="1:21" ht="15" x14ac:dyDescent="0.25">
      <c r="A121" s="2224"/>
      <c r="B121" s="2271"/>
      <c r="C121" s="2271"/>
      <c r="D121" s="2210"/>
      <c r="E121" s="2210"/>
      <c r="F121" s="2271"/>
      <c r="G121" s="2210"/>
      <c r="H121" s="2210"/>
      <c r="I121" s="2210"/>
      <c r="J121" s="2210"/>
      <c r="K121" s="2210"/>
      <c r="L121" s="2210"/>
      <c r="M121" s="2210"/>
      <c r="N121" s="2210"/>
      <c r="O121" s="2210"/>
      <c r="P121" s="2210"/>
      <c r="Q121" s="2210"/>
      <c r="R121" s="2210"/>
    </row>
    <row r="122" spans="1:21" ht="19.5" thickBot="1" x14ac:dyDescent="0.35">
      <c r="A122" s="2284" t="s">
        <v>1912</v>
      </c>
      <c r="B122" s="2271"/>
      <c r="C122" s="2271"/>
      <c r="D122" s="2210"/>
      <c r="E122" s="2210"/>
      <c r="F122" s="2210"/>
      <c r="G122" s="2210"/>
      <c r="H122" s="2210"/>
      <c r="I122" s="2210"/>
      <c r="J122" s="2210"/>
      <c r="K122" s="2210"/>
      <c r="L122" s="2210"/>
      <c r="M122" s="2210"/>
      <c r="N122" s="2210"/>
      <c r="O122" s="2210"/>
      <c r="P122" s="2210"/>
      <c r="Q122" s="2210"/>
      <c r="R122" s="2210"/>
    </row>
    <row r="123" spans="1:21" ht="19.5" thickBot="1" x14ac:dyDescent="0.35">
      <c r="A123" s="2284"/>
      <c r="B123" s="2230" t="s">
        <v>369</v>
      </c>
      <c r="C123" s="2210"/>
      <c r="D123" s="2214" t="s">
        <v>1913</v>
      </c>
      <c r="E123" s="2216" t="s">
        <v>418</v>
      </c>
      <c r="F123" s="2216" t="s">
        <v>1910</v>
      </c>
      <c r="G123" s="2215" t="s">
        <v>376</v>
      </c>
      <c r="H123" s="2210"/>
      <c r="I123" s="2210"/>
      <c r="J123" s="2210"/>
      <c r="K123" s="2210"/>
      <c r="L123" s="2210"/>
      <c r="M123" s="2210"/>
      <c r="N123" s="2210"/>
      <c r="O123" s="2210"/>
      <c r="P123" s="2210"/>
      <c r="Q123" s="2210"/>
      <c r="R123" s="2210"/>
    </row>
    <row r="124" spans="1:21" ht="15.75" thickBot="1" x14ac:dyDescent="0.3">
      <c r="A124" s="2329" t="s">
        <v>2076</v>
      </c>
      <c r="B124" s="2330">
        <v>3000</v>
      </c>
      <c r="C124" s="2227"/>
      <c r="D124" s="2290">
        <v>500000</v>
      </c>
      <c r="E124" s="2291">
        <v>0</v>
      </c>
      <c r="F124" s="2291">
        <f>D124-E124</f>
        <v>500000</v>
      </c>
      <c r="G124" s="2332" t="s">
        <v>390</v>
      </c>
      <c r="H124" s="2331" t="s">
        <v>421</v>
      </c>
      <c r="I124" s="2228" t="s">
        <v>388</v>
      </c>
      <c r="J124" s="2228" t="s">
        <v>388</v>
      </c>
      <c r="K124" s="2228" t="s">
        <v>392</v>
      </c>
      <c r="L124" s="2228" t="s">
        <v>392</v>
      </c>
      <c r="M124" s="2228">
        <v>2024</v>
      </c>
      <c r="N124" s="2210"/>
      <c r="O124" s="2210"/>
      <c r="P124" s="2210"/>
      <c r="Q124" s="2210"/>
      <c r="R124" s="2210"/>
    </row>
    <row r="125" spans="1:21" ht="15" x14ac:dyDescent="0.25">
      <c r="A125" s="2224" t="s">
        <v>2</v>
      </c>
      <c r="B125" s="2271"/>
      <c r="C125" s="2271"/>
      <c r="D125" s="2271">
        <f>D124</f>
        <v>500000</v>
      </c>
      <c r="E125" s="2271">
        <f>E12</f>
        <v>0</v>
      </c>
      <c r="F125" s="2271">
        <v>0</v>
      </c>
      <c r="G125" s="2210"/>
      <c r="H125" s="2210"/>
      <c r="I125" s="2210"/>
      <c r="J125" s="2210"/>
      <c r="K125" s="2210"/>
      <c r="L125" s="2210"/>
      <c r="M125" s="2210"/>
      <c r="N125" s="2210"/>
      <c r="O125" s="2210"/>
      <c r="P125" s="2210"/>
      <c r="Q125" s="2210"/>
      <c r="R125" s="2210"/>
    </row>
    <row r="126" spans="1:21" ht="21" x14ac:dyDescent="0.35">
      <c r="A126" s="2273"/>
      <c r="B126" s="2210"/>
      <c r="C126" s="2292"/>
      <c r="D126" s="2210"/>
      <c r="E126" s="2210"/>
      <c r="F126" s="2210"/>
      <c r="G126" s="2210"/>
      <c r="H126" s="2210"/>
      <c r="I126" s="2210"/>
      <c r="J126" s="2210"/>
      <c r="K126" s="2210"/>
      <c r="L126" s="2210"/>
      <c r="M126" s="2210"/>
      <c r="N126" s="2210"/>
      <c r="O126" s="2210"/>
      <c r="P126" s="2210"/>
      <c r="Q126" s="2210"/>
      <c r="R126" s="2210"/>
    </row>
    <row r="127" spans="1:21" ht="19.5" thickBot="1" x14ac:dyDescent="0.35">
      <c r="A127" s="2284" t="s">
        <v>437</v>
      </c>
      <c r="B127" s="2210"/>
      <c r="C127" s="2210"/>
      <c r="D127" s="2210"/>
      <c r="E127" s="2213"/>
      <c r="F127" s="2210"/>
      <c r="G127" s="2210"/>
      <c r="H127" s="2210"/>
      <c r="I127" s="2210"/>
      <c r="J127" s="2210"/>
      <c r="K127" s="2210"/>
      <c r="L127" s="2210"/>
      <c r="M127" s="2210"/>
      <c r="N127" s="2210"/>
      <c r="O127" s="2210"/>
      <c r="P127" s="2210"/>
      <c r="Q127" s="2210"/>
      <c r="R127" s="2210"/>
    </row>
    <row r="128" spans="1:21" ht="15.75" thickBot="1" x14ac:dyDescent="0.3">
      <c r="A128" s="2230"/>
      <c r="B128" s="2210"/>
      <c r="C128" s="2210"/>
      <c r="D128" s="2214" t="s">
        <v>371</v>
      </c>
      <c r="E128" s="2231" t="s">
        <v>1915</v>
      </c>
      <c r="F128" s="2216" t="s">
        <v>419</v>
      </c>
      <c r="G128" s="2215" t="s">
        <v>376</v>
      </c>
      <c r="H128" s="2210"/>
      <c r="I128" s="2210"/>
      <c r="J128" s="2210"/>
      <c r="K128" s="2210"/>
      <c r="L128" s="2210"/>
      <c r="M128" s="2210"/>
      <c r="N128" s="2210"/>
      <c r="O128" s="2210"/>
      <c r="P128" s="2210"/>
      <c r="Q128" s="2210"/>
      <c r="R128" s="2210"/>
    </row>
    <row r="129" spans="1:18" ht="15" x14ac:dyDescent="0.25">
      <c r="A129" s="2246" t="s">
        <v>2077</v>
      </c>
      <c r="B129" s="2210"/>
      <c r="C129" s="2210"/>
      <c r="D129" s="2247">
        <v>17000000</v>
      </c>
      <c r="E129" s="2248">
        <v>4000000</v>
      </c>
      <c r="F129" s="2249">
        <f>D129-E129</f>
        <v>13000000</v>
      </c>
      <c r="G129" s="2250" t="s">
        <v>390</v>
      </c>
      <c r="H129" s="2210"/>
      <c r="I129" s="2210"/>
      <c r="J129" s="2210"/>
      <c r="K129" s="2210"/>
      <c r="L129" s="2210"/>
      <c r="M129" s="2210"/>
      <c r="N129" s="2210"/>
      <c r="O129" s="2210"/>
      <c r="P129" s="2210"/>
      <c r="Q129" s="2210"/>
      <c r="R129" s="2210"/>
    </row>
    <row r="130" spans="1:18" ht="15" x14ac:dyDescent="0.25">
      <c r="A130" s="2246" t="s">
        <v>438</v>
      </c>
      <c r="B130" s="2210"/>
      <c r="C130" s="2210"/>
      <c r="D130" s="2247">
        <v>28000000</v>
      </c>
      <c r="E130" s="2248">
        <v>19000000</v>
      </c>
      <c r="F130" s="2249">
        <f>D130-E130</f>
        <v>9000000</v>
      </c>
      <c r="G130" s="2250" t="s">
        <v>386</v>
      </c>
      <c r="H130" s="2210"/>
      <c r="I130" s="2210"/>
      <c r="J130" s="2210"/>
      <c r="K130" s="2210"/>
      <c r="L130" s="2210"/>
      <c r="M130" s="2210"/>
      <c r="N130" s="2210"/>
      <c r="O130" s="2210"/>
      <c r="P130" s="2210"/>
      <c r="Q130" s="2210"/>
      <c r="R130" s="2210"/>
    </row>
    <row r="131" spans="1:18" ht="15" x14ac:dyDescent="0.25">
      <c r="A131" s="2246" t="s">
        <v>2078</v>
      </c>
      <c r="B131" s="2210"/>
      <c r="C131" s="2210"/>
      <c r="D131" s="2252">
        <v>55000000</v>
      </c>
      <c r="E131" s="2253">
        <f>F131</f>
        <v>27500000</v>
      </c>
      <c r="F131" s="2254">
        <f>D131/2</f>
        <v>27500000</v>
      </c>
      <c r="G131" s="2293" t="s">
        <v>390</v>
      </c>
      <c r="H131" s="2294" t="s">
        <v>2079</v>
      </c>
      <c r="I131" s="2294" t="s">
        <v>392</v>
      </c>
      <c r="J131" s="2294" t="s">
        <v>392</v>
      </c>
      <c r="K131" s="2294" t="s">
        <v>392</v>
      </c>
      <c r="L131" s="2294" t="s">
        <v>392</v>
      </c>
      <c r="M131" s="2294">
        <v>2025</v>
      </c>
      <c r="N131" s="2210"/>
      <c r="O131" s="2210"/>
      <c r="P131" s="2210"/>
      <c r="Q131" s="2210"/>
      <c r="R131" s="2210"/>
    </row>
    <row r="132" spans="1:18" ht="15" x14ac:dyDescent="0.25">
      <c r="A132" s="2210" t="s">
        <v>2</v>
      </c>
      <c r="B132" s="2210"/>
      <c r="C132" s="2210"/>
      <c r="D132" s="2271">
        <f>SUM(D129:D131)</f>
        <v>100000000</v>
      </c>
      <c r="E132" s="2271">
        <f>SUM(E129:E131)</f>
        <v>50500000</v>
      </c>
      <c r="F132" s="2271">
        <f>SUM(F129:F131)</f>
        <v>49500000</v>
      </c>
      <c r="G132" s="2210"/>
      <c r="H132" s="2210"/>
      <c r="I132" s="2210"/>
      <c r="J132" s="2210"/>
      <c r="K132" s="2210"/>
      <c r="L132" s="2210"/>
      <c r="M132" s="2210"/>
      <c r="N132" s="2210"/>
      <c r="O132" s="2210"/>
      <c r="P132" s="2210"/>
      <c r="Q132" s="2210"/>
      <c r="R132" s="2210"/>
    </row>
    <row r="133" spans="1:18" ht="15" x14ac:dyDescent="0.25">
      <c r="A133" s="2210"/>
      <c r="B133" s="2210"/>
      <c r="C133" s="2210"/>
      <c r="D133" s="2210"/>
      <c r="E133" s="2210"/>
      <c r="F133" s="2210"/>
      <c r="G133" s="2210"/>
      <c r="H133" s="2210"/>
      <c r="I133" s="2210"/>
      <c r="J133" s="2210"/>
      <c r="K133" s="2210"/>
      <c r="L133" s="2210"/>
      <c r="M133" s="2210"/>
      <c r="N133" s="2210"/>
      <c r="O133" s="2210"/>
      <c r="P133" s="2210"/>
      <c r="Q133" s="2210"/>
      <c r="R133" s="2210"/>
    </row>
    <row r="134" spans="1:18" ht="19.5" thickBot="1" x14ac:dyDescent="0.35">
      <c r="A134" s="2284" t="s">
        <v>442</v>
      </c>
      <c r="B134" s="2210"/>
      <c r="C134" s="2210"/>
      <c r="D134" s="2210"/>
      <c r="E134" s="2213"/>
      <c r="F134" s="2210"/>
      <c r="G134" s="2210"/>
      <c r="H134" s="2210"/>
      <c r="I134" s="2210"/>
      <c r="J134" s="2210"/>
      <c r="K134" s="2210"/>
      <c r="L134" s="2210"/>
      <c r="M134" s="2210"/>
      <c r="N134" s="2210"/>
      <c r="O134" s="2210"/>
      <c r="P134" s="2210"/>
      <c r="Q134" s="2210"/>
      <c r="R134" s="2210"/>
    </row>
    <row r="135" spans="1:18" ht="15.75" thickBot="1" x14ac:dyDescent="0.3">
      <c r="A135" s="2230"/>
      <c r="B135" s="2210"/>
      <c r="C135" s="2210"/>
      <c r="D135" s="2295" t="s">
        <v>371</v>
      </c>
      <c r="E135" s="2296" t="s">
        <v>428</v>
      </c>
      <c r="F135" s="2297" t="s">
        <v>419</v>
      </c>
      <c r="G135" s="2298" t="s">
        <v>376</v>
      </c>
      <c r="H135" s="2210"/>
      <c r="I135" s="2210"/>
      <c r="J135" s="2210"/>
      <c r="K135" s="2210"/>
      <c r="L135" s="2210"/>
      <c r="M135" s="2210"/>
      <c r="N135" s="2210"/>
      <c r="O135" s="2210"/>
      <c r="P135" s="2210"/>
      <c r="Q135" s="2210"/>
      <c r="R135" s="2210"/>
    </row>
    <row r="136" spans="1:18" ht="15" x14ac:dyDescent="0.25">
      <c r="A136" s="2261" t="s">
        <v>445</v>
      </c>
      <c r="B136" s="2210"/>
      <c r="C136" s="2210"/>
      <c r="D136" s="2300">
        <v>8500000</v>
      </c>
      <c r="E136" s="2268">
        <v>3500000</v>
      </c>
      <c r="F136" s="2268">
        <f>D136-E136</f>
        <v>5000000</v>
      </c>
      <c r="G136" s="2302" t="s">
        <v>390</v>
      </c>
      <c r="H136" s="2210"/>
      <c r="I136" s="2210"/>
      <c r="J136" s="2210"/>
      <c r="K136" s="2210"/>
      <c r="L136" s="2210"/>
      <c r="M136" s="2210"/>
      <c r="N136" s="2210"/>
      <c r="O136" s="2210"/>
      <c r="P136" s="2210"/>
      <c r="Q136" s="2210"/>
      <c r="R136" s="2210"/>
    </row>
    <row r="137" spans="1:18" ht="15" x14ac:dyDescent="0.25">
      <c r="A137" s="2261" t="s">
        <v>2080</v>
      </c>
      <c r="B137" s="2210"/>
      <c r="C137" s="2210"/>
      <c r="D137" s="2300">
        <v>363000000</v>
      </c>
      <c r="E137" s="2268">
        <v>150000000</v>
      </c>
      <c r="F137" s="2268">
        <v>213000000</v>
      </c>
      <c r="G137" s="2302" t="s">
        <v>390</v>
      </c>
      <c r="H137" s="2299" t="s">
        <v>2081</v>
      </c>
      <c r="I137" s="2267" t="s">
        <v>388</v>
      </c>
      <c r="J137" s="2267" t="s">
        <v>388</v>
      </c>
      <c r="K137" s="2267" t="s">
        <v>388</v>
      </c>
      <c r="L137" s="2267" t="s">
        <v>1927</v>
      </c>
      <c r="M137" s="2267">
        <v>2024</v>
      </c>
      <c r="N137" s="2210"/>
      <c r="O137" s="2210"/>
      <c r="P137" s="2210"/>
      <c r="Q137" s="2210"/>
      <c r="R137" s="2210"/>
    </row>
    <row r="138" spans="1:18" ht="15" x14ac:dyDescent="0.25">
      <c r="A138" s="2261" t="s">
        <v>537</v>
      </c>
      <c r="B138" s="2210"/>
      <c r="C138" s="2210"/>
      <c r="D138" s="2262">
        <v>1130000000</v>
      </c>
      <c r="E138" s="2263">
        <f>0.78*D138</f>
        <v>881400000</v>
      </c>
      <c r="F138" s="2264">
        <f>(D138-E138)*0.64</f>
        <v>159104000</v>
      </c>
      <c r="G138" s="2265" t="s">
        <v>538</v>
      </c>
      <c r="H138" s="2299" t="s">
        <v>2082</v>
      </c>
      <c r="I138" s="2267" t="s">
        <v>388</v>
      </c>
      <c r="J138" s="2267" t="s">
        <v>388</v>
      </c>
      <c r="K138" s="2267" t="s">
        <v>1927</v>
      </c>
      <c r="L138" s="2267" t="s">
        <v>1927</v>
      </c>
      <c r="M138" s="2267">
        <v>2025</v>
      </c>
      <c r="N138" s="2210"/>
      <c r="O138" s="2210"/>
      <c r="P138" s="2210"/>
      <c r="Q138" s="2210"/>
      <c r="R138" s="2210"/>
    </row>
    <row r="139" spans="1:18" ht="15" x14ac:dyDescent="0.25">
      <c r="A139" s="2261" t="s">
        <v>2028</v>
      </c>
      <c r="B139" s="2210"/>
      <c r="C139" s="2210"/>
      <c r="D139" s="2300">
        <v>65000000</v>
      </c>
      <c r="E139" s="2301">
        <v>0</v>
      </c>
      <c r="F139" s="2268">
        <v>65000000</v>
      </c>
      <c r="G139" s="2302" t="s">
        <v>390</v>
      </c>
      <c r="H139" s="2299" t="s">
        <v>1697</v>
      </c>
      <c r="I139" s="2267" t="s">
        <v>392</v>
      </c>
      <c r="J139" s="2267" t="s">
        <v>392</v>
      </c>
      <c r="K139" s="2267" t="s">
        <v>1927</v>
      </c>
      <c r="L139" s="2267" t="s">
        <v>392</v>
      </c>
      <c r="M139" s="2302">
        <v>2026</v>
      </c>
      <c r="N139" s="2210"/>
      <c r="O139" s="2210"/>
      <c r="P139" s="2210"/>
      <c r="Q139" s="2210"/>
      <c r="R139" s="2210"/>
    </row>
    <row r="140" spans="1:18" ht="15" x14ac:dyDescent="0.25">
      <c r="A140" s="2261" t="s">
        <v>443</v>
      </c>
      <c r="B140" s="2210"/>
      <c r="C140" s="2210"/>
      <c r="D140" s="2262">
        <v>15000000</v>
      </c>
      <c r="E140" s="2263">
        <v>0</v>
      </c>
      <c r="F140" s="2264">
        <f>D140-E140</f>
        <v>15000000</v>
      </c>
      <c r="G140" s="2265" t="s">
        <v>390</v>
      </c>
      <c r="H140" s="2310" t="s">
        <v>2083</v>
      </c>
      <c r="I140" s="2266" t="s">
        <v>392</v>
      </c>
      <c r="J140" s="2266" t="s">
        <v>392</v>
      </c>
      <c r="K140" s="2266" t="s">
        <v>1927</v>
      </c>
      <c r="L140" s="2266" t="s">
        <v>392</v>
      </c>
      <c r="M140" s="2265">
        <v>2025</v>
      </c>
      <c r="N140" s="2210"/>
      <c r="O140" s="2210"/>
      <c r="P140" s="2210"/>
      <c r="Q140" s="2210"/>
      <c r="R140" s="2210"/>
    </row>
    <row r="141" spans="1:18" ht="15.75" thickBot="1" x14ac:dyDescent="0.3">
      <c r="A141" s="2303" t="s">
        <v>447</v>
      </c>
      <c r="B141" s="2210"/>
      <c r="C141" s="2210"/>
      <c r="D141" s="2304">
        <v>3000000</v>
      </c>
      <c r="E141" s="2305">
        <v>0</v>
      </c>
      <c r="F141" s="2306">
        <f>D141-E141</f>
        <v>3000000</v>
      </c>
      <c r="G141" s="2307" t="s">
        <v>390</v>
      </c>
      <c r="H141" s="2311" t="s">
        <v>433</v>
      </c>
      <c r="I141" s="2308" t="s">
        <v>388</v>
      </c>
      <c r="J141" s="2308" t="s">
        <v>388</v>
      </c>
      <c r="K141" s="2308" t="s">
        <v>388</v>
      </c>
      <c r="L141" s="2308" t="s">
        <v>388</v>
      </c>
      <c r="M141" s="2307">
        <v>2025</v>
      </c>
      <c r="N141" s="2210"/>
      <c r="O141" s="2210"/>
      <c r="P141" s="2210"/>
      <c r="Q141" s="2210"/>
      <c r="R141" s="2210"/>
    </row>
    <row r="142" spans="1:18" ht="15" x14ac:dyDescent="0.25">
      <c r="A142" s="2227"/>
      <c r="B142" s="2227"/>
      <c r="C142" s="2227"/>
      <c r="D142" s="2309"/>
      <c r="E142" s="2309"/>
      <c r="F142" s="2309"/>
      <c r="G142" s="2227"/>
      <c r="H142" s="2227"/>
      <c r="I142" s="2227"/>
      <c r="J142" s="2227"/>
      <c r="K142" s="2227"/>
      <c r="L142" s="2227"/>
      <c r="M142" s="2227"/>
      <c r="N142" s="2210"/>
      <c r="O142" s="2210"/>
      <c r="P142" s="2210"/>
      <c r="Q142" s="2210"/>
      <c r="R142" s="2210"/>
    </row>
    <row r="143" spans="1:18" ht="15" x14ac:dyDescent="0.25">
      <c r="A143" s="2224" t="s">
        <v>417</v>
      </c>
      <c r="B143" s="2224"/>
      <c r="C143" s="2224"/>
      <c r="D143" s="2271">
        <f>SUM(D136:D141)</f>
        <v>1584500000</v>
      </c>
      <c r="E143" s="2271">
        <f>SUM(E136:E141)</f>
        <v>1034900000</v>
      </c>
      <c r="F143" s="2271">
        <f>SUM(F136:F141)</f>
        <v>460104000</v>
      </c>
      <c r="G143" s="2213"/>
      <c r="H143" s="2210"/>
      <c r="I143" s="2210"/>
      <c r="J143" s="2210"/>
      <c r="K143" s="2210"/>
      <c r="L143" s="2210"/>
      <c r="M143" s="2210"/>
      <c r="N143" s="2210"/>
      <c r="O143" s="2210"/>
      <c r="P143" s="2210"/>
      <c r="Q143" s="2210"/>
      <c r="R143" s="2210"/>
    </row>
    <row r="144" spans="1:18" x14ac:dyDescent="0.2"/>
    <row r="145" spans="1:3" x14ac:dyDescent="0.2"/>
    <row r="146" spans="1:3" ht="15" x14ac:dyDescent="0.25">
      <c r="A146" s="2039" t="s">
        <v>417</v>
      </c>
    </row>
    <row r="147" spans="1:3" ht="15" x14ac:dyDescent="0.25">
      <c r="A147" s="2039"/>
    </row>
    <row r="148" spans="1:3" ht="15" x14ac:dyDescent="0.25">
      <c r="B148" s="2047"/>
    </row>
    <row r="149" spans="1:3" ht="15" x14ac:dyDescent="0.25">
      <c r="A149" s="2039" t="s">
        <v>450</v>
      </c>
      <c r="B149" s="2050">
        <f>D120+D125+D132+D143</f>
        <v>1730255000</v>
      </c>
    </row>
    <row r="150" spans="1:3" ht="15" x14ac:dyDescent="0.25">
      <c r="A150" s="2039" t="s">
        <v>451</v>
      </c>
      <c r="B150" s="2050">
        <f>E120+E125+E132+E143</f>
        <v>1111500000</v>
      </c>
    </row>
    <row r="151" spans="1:3" ht="15" x14ac:dyDescent="0.25">
      <c r="A151" s="2039" t="s">
        <v>452</v>
      </c>
      <c r="B151" s="2050">
        <f>F120+F125+F132+F143</f>
        <v>528759000</v>
      </c>
    </row>
    <row r="152" spans="1:3" ht="15" x14ac:dyDescent="0.25">
      <c r="A152" s="2048" t="s">
        <v>453</v>
      </c>
      <c r="B152" s="2051">
        <f>F120</f>
        <v>19155000</v>
      </c>
    </row>
    <row r="153" spans="1:3" ht="15" x14ac:dyDescent="0.25">
      <c r="A153" s="2048" t="s">
        <v>454</v>
      </c>
      <c r="C153" s="2049">
        <f>F125</f>
        <v>0</v>
      </c>
    </row>
    <row r="154" spans="1:3" ht="15" x14ac:dyDescent="0.25">
      <c r="A154" s="2048" t="s">
        <v>455</v>
      </c>
      <c r="C154" s="2049">
        <f>F132</f>
        <v>49500000</v>
      </c>
    </row>
    <row r="155" spans="1:3" ht="15" x14ac:dyDescent="0.25">
      <c r="A155" s="2048" t="s">
        <v>456</v>
      </c>
      <c r="C155" s="2049">
        <f>F143</f>
        <v>460104000</v>
      </c>
    </row>
    <row r="156" spans="1:3" ht="15" x14ac:dyDescent="0.25">
      <c r="A156" s="2048"/>
      <c r="C156" s="2049"/>
    </row>
    <row r="157" spans="1:3" x14ac:dyDescent="0.2"/>
    <row r="158" spans="1:3" ht="18.75" x14ac:dyDescent="0.3">
      <c r="A158" s="2052" t="s">
        <v>1952</v>
      </c>
      <c r="B158" s="2312">
        <v>120000000</v>
      </c>
      <c r="C158" s="2053" t="s">
        <v>1953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zoomScale="87" zoomScaleNormal="87" workbookViewId="0">
      <selection activeCell="G19" sqref="G19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3.7109375" style="3" customWidth="1"/>
    <col min="4" max="4" width="10.42578125" style="3" customWidth="1"/>
    <col min="5" max="5" width="10.5703125" style="3" customWidth="1"/>
    <col min="6" max="6" width="10.7109375" style="2355" customWidth="1"/>
    <col min="7" max="7" width="6.140625" style="2352" customWidth="1"/>
    <col min="8" max="8" width="14.42578125" style="2356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50">
        <v>2023</v>
      </c>
      <c r="V1" s="2">
        <v>2024</v>
      </c>
      <c r="AI1" s="2">
        <v>2025</v>
      </c>
      <c r="AV1" s="2">
        <v>2026</v>
      </c>
    </row>
    <row r="2" spans="1:60" x14ac:dyDescent="0.2">
      <c r="A2" s="2" t="s">
        <v>2236</v>
      </c>
      <c r="B2" s="2350"/>
      <c r="G2" s="2351" t="s">
        <v>2093</v>
      </c>
      <c r="H2" s="2351"/>
      <c r="J2" s="3" t="s">
        <v>612</v>
      </c>
      <c r="K2" s="3" t="s">
        <v>613</v>
      </c>
      <c r="L2" s="3" t="s">
        <v>614</v>
      </c>
      <c r="M2" s="3" t="s">
        <v>615</v>
      </c>
      <c r="N2" s="3" t="s">
        <v>616</v>
      </c>
      <c r="O2" s="3" t="s">
        <v>190</v>
      </c>
      <c r="P2" s="3" t="s">
        <v>191</v>
      </c>
      <c r="Q2" s="3" t="s">
        <v>617</v>
      </c>
      <c r="R2" s="3" t="s">
        <v>618</v>
      </c>
      <c r="S2" s="3" t="s">
        <v>619</v>
      </c>
      <c r="T2" s="3" t="s">
        <v>620</v>
      </c>
      <c r="U2" s="3" t="s">
        <v>621</v>
      </c>
      <c r="W2" s="3" t="s">
        <v>612</v>
      </c>
      <c r="X2" s="3" t="s">
        <v>613</v>
      </c>
      <c r="Y2" s="3" t="s">
        <v>614</v>
      </c>
      <c r="Z2" s="3" t="s">
        <v>615</v>
      </c>
      <c r="AA2" s="3" t="s">
        <v>616</v>
      </c>
      <c r="AB2" s="3" t="s">
        <v>190</v>
      </c>
      <c r="AC2" s="3" t="s">
        <v>191</v>
      </c>
      <c r="AD2" s="3" t="s">
        <v>617</v>
      </c>
      <c r="AE2" s="3" t="s">
        <v>618</v>
      </c>
      <c r="AF2" s="3" t="s">
        <v>619</v>
      </c>
      <c r="AG2" s="3" t="s">
        <v>620</v>
      </c>
      <c r="AH2" s="3" t="s">
        <v>621</v>
      </c>
      <c r="AJ2" s="3" t="s">
        <v>612</v>
      </c>
      <c r="AK2" s="3" t="s">
        <v>613</v>
      </c>
      <c r="AL2" s="3" t="s">
        <v>614</v>
      </c>
      <c r="AM2" s="3" t="s">
        <v>615</v>
      </c>
      <c r="AN2" s="3" t="s">
        <v>616</v>
      </c>
      <c r="AO2" s="3" t="s">
        <v>190</v>
      </c>
      <c r="AP2" s="3" t="s">
        <v>191</v>
      </c>
      <c r="AQ2" s="3" t="s">
        <v>617</v>
      </c>
      <c r="AR2" s="3" t="s">
        <v>618</v>
      </c>
      <c r="AS2" s="3" t="s">
        <v>619</v>
      </c>
      <c r="AT2" s="3" t="s">
        <v>620</v>
      </c>
      <c r="AU2" s="3" t="s">
        <v>621</v>
      </c>
      <c r="AW2" s="3" t="s">
        <v>612</v>
      </c>
      <c r="AX2" s="3" t="s">
        <v>613</v>
      </c>
      <c r="AY2" s="3" t="s">
        <v>614</v>
      </c>
      <c r="AZ2" s="3" t="s">
        <v>615</v>
      </c>
      <c r="BA2" s="3" t="s">
        <v>616</v>
      </c>
      <c r="BB2" s="3" t="s">
        <v>190</v>
      </c>
      <c r="BC2" s="3" t="s">
        <v>191</v>
      </c>
      <c r="BD2" s="3" t="s">
        <v>617</v>
      </c>
      <c r="BE2" s="3" t="s">
        <v>618</v>
      </c>
      <c r="BF2" s="3" t="s">
        <v>619</v>
      </c>
      <c r="BG2" s="3" t="s">
        <v>620</v>
      </c>
      <c r="BH2" s="3" t="s">
        <v>621</v>
      </c>
    </row>
    <row r="3" spans="1:60" x14ac:dyDescent="0.2">
      <c r="C3" s="2350"/>
      <c r="D3" s="2350"/>
      <c r="E3" s="2350"/>
      <c r="F3" s="2354"/>
    </row>
    <row r="4" spans="1:60" x14ac:dyDescent="0.2">
      <c r="A4" s="2" t="s">
        <v>2091</v>
      </c>
      <c r="B4" s="2562">
        <f>+B8+B17+B6+B16+B5</f>
        <v>364885276</v>
      </c>
      <c r="C4" s="2350">
        <f>+B4-B61</f>
        <v>-179605024</v>
      </c>
      <c r="D4" s="2350"/>
      <c r="E4" s="2350"/>
      <c r="F4" s="2354"/>
    </row>
    <row r="5" spans="1:60" x14ac:dyDescent="0.2">
      <c r="A5" s="2" t="s">
        <v>4</v>
      </c>
      <c r="B5" s="2">
        <f>+C21+C33++C41+C51</f>
        <v>245535276</v>
      </c>
      <c r="C5" s="2350"/>
      <c r="D5" s="2350"/>
      <c r="E5" s="2350"/>
      <c r="F5" s="2354"/>
    </row>
    <row r="6" spans="1:60" x14ac:dyDescent="0.2">
      <c r="A6" s="2" t="s">
        <v>2235</v>
      </c>
      <c r="B6" s="2">
        <f>35000000*3</f>
        <v>105000000</v>
      </c>
      <c r="C6" s="2350"/>
      <c r="D6" s="2350"/>
      <c r="E6" s="2350"/>
      <c r="F6" s="2354"/>
      <c r="H6" s="2356">
        <f>840-540</f>
        <v>300</v>
      </c>
    </row>
    <row r="7" spans="1:60" x14ac:dyDescent="0.2">
      <c r="C7" s="2350"/>
      <c r="D7" s="2350"/>
      <c r="E7" s="2350"/>
      <c r="F7" s="2354"/>
    </row>
    <row r="8" spans="1:60" x14ac:dyDescent="0.2">
      <c r="A8" s="2564" t="s">
        <v>460</v>
      </c>
      <c r="B8" s="2">
        <f>SUM(B9:B14)</f>
        <v>14350000</v>
      </c>
      <c r="C8" s="2350"/>
      <c r="E8" s="2350"/>
      <c r="F8" s="2354"/>
    </row>
    <row r="9" spans="1:60" x14ac:dyDescent="0.2">
      <c r="A9" s="2355" t="s">
        <v>461</v>
      </c>
      <c r="C9" s="3">
        <f>'zásobník projektů 2020-2024'!B80</f>
        <v>40000000</v>
      </c>
      <c r="D9" s="2350"/>
      <c r="E9" s="2350"/>
      <c r="F9" s="2354"/>
    </row>
    <row r="10" spans="1:60" x14ac:dyDescent="0.2">
      <c r="A10" s="2355" t="s">
        <v>1931</v>
      </c>
      <c r="C10" s="3">
        <f>'zásobník projektů 2020-2024'!B81</f>
        <v>105000000</v>
      </c>
      <c r="D10" s="2350">
        <f>+C10/E10</f>
        <v>5526.3157894736842</v>
      </c>
      <c r="E10" s="2350">
        <f>+F10/2</f>
        <v>19000</v>
      </c>
      <c r="F10" s="2354">
        <v>38000</v>
      </c>
    </row>
    <row r="11" spans="1:60" x14ac:dyDescent="0.2">
      <c r="A11" s="2355" t="s">
        <v>1932</v>
      </c>
      <c r="D11" s="2350"/>
      <c r="E11" s="2350">
        <f>+E10*6000</f>
        <v>114000000</v>
      </c>
      <c r="F11" s="2354">
        <f>+F10*5000</f>
        <v>190000000</v>
      </c>
    </row>
    <row r="12" spans="1:60" x14ac:dyDescent="0.2">
      <c r="A12" s="2355" t="s">
        <v>2208</v>
      </c>
      <c r="B12" s="3">
        <f>13050000-4000000</f>
        <v>9050000</v>
      </c>
      <c r="C12" s="2350"/>
      <c r="D12" s="2350"/>
      <c r="E12" s="2350"/>
      <c r="F12" s="2354"/>
    </row>
    <row r="13" spans="1:60" x14ac:dyDescent="0.2">
      <c r="A13" s="2355" t="s">
        <v>2211</v>
      </c>
      <c r="C13" s="2350"/>
      <c r="D13" s="2350"/>
      <c r="E13" s="2350"/>
      <c r="F13" s="2354"/>
    </row>
    <row r="14" spans="1:60" x14ac:dyDescent="0.2">
      <c r="A14" s="2355" t="s">
        <v>2210</v>
      </c>
      <c r="B14" s="3">
        <v>5300000</v>
      </c>
      <c r="C14" s="2350" t="s">
        <v>2212</v>
      </c>
      <c r="D14" s="2350"/>
      <c r="E14" s="2350"/>
      <c r="F14" s="2354"/>
    </row>
    <row r="15" spans="1:60" x14ac:dyDescent="0.2">
      <c r="C15" s="2350"/>
      <c r="D15" s="2350"/>
      <c r="E15" s="2350"/>
      <c r="F15" s="2354"/>
    </row>
    <row r="16" spans="1:60" x14ac:dyDescent="0.2">
      <c r="A16" s="2562" t="s">
        <v>785</v>
      </c>
      <c r="B16" s="2563"/>
      <c r="C16" s="2350"/>
      <c r="D16" s="2350"/>
      <c r="E16" s="2350"/>
      <c r="F16" s="2354"/>
    </row>
    <row r="17" spans="1:60" x14ac:dyDescent="0.2">
      <c r="A17" s="2562" t="s">
        <v>2092</v>
      </c>
      <c r="B17" s="2562"/>
      <c r="C17" s="2350" t="s">
        <v>2209</v>
      </c>
      <c r="D17" s="2350"/>
      <c r="E17" s="2350"/>
      <c r="F17" s="2354"/>
    </row>
    <row r="18" spans="1:60" x14ac:dyDescent="0.2">
      <c r="A18" s="2"/>
      <c r="C18" s="2350"/>
      <c r="D18" s="2350"/>
      <c r="E18" s="2350"/>
      <c r="F18" s="2354"/>
    </row>
    <row r="19" spans="1:60" x14ac:dyDescent="0.2">
      <c r="A19" s="2"/>
      <c r="B19" s="2350" t="s">
        <v>2088</v>
      </c>
      <c r="C19" s="2350" t="s">
        <v>4</v>
      </c>
      <c r="D19" s="2350" t="s">
        <v>2089</v>
      </c>
      <c r="E19" s="2350" t="s">
        <v>2090</v>
      </c>
      <c r="F19" s="3"/>
      <c r="G19" s="2356" t="s">
        <v>2093</v>
      </c>
      <c r="H19" s="2351" t="s">
        <v>238</v>
      </c>
    </row>
    <row r="20" spans="1:60" x14ac:dyDescent="0.2">
      <c r="A20" s="2" t="s">
        <v>2094</v>
      </c>
      <c r="E20" s="2355"/>
      <c r="F20" s="3"/>
      <c r="I20" s="2350">
        <v>2023</v>
      </c>
      <c r="V20" s="2">
        <v>2024</v>
      </c>
      <c r="AI20" s="2">
        <v>2025</v>
      </c>
      <c r="AV20" s="2">
        <v>2026</v>
      </c>
    </row>
    <row r="21" spans="1:60" x14ac:dyDescent="0.2">
      <c r="A21" s="2354" t="s">
        <v>365</v>
      </c>
      <c r="B21" s="2">
        <f>SUM(B22:B31)</f>
        <v>94990300</v>
      </c>
      <c r="C21" s="2">
        <f t="shared" ref="C21:D21" si="0">SUM(C22:C31)</f>
        <v>75500000</v>
      </c>
      <c r="D21" s="2">
        <f t="shared" si="0"/>
        <v>19490300</v>
      </c>
      <c r="E21" s="2355"/>
      <c r="F21" s="3"/>
      <c r="J21" s="3" t="s">
        <v>612</v>
      </c>
      <c r="K21" s="3" t="s">
        <v>613</v>
      </c>
      <c r="L21" s="3" t="s">
        <v>614</v>
      </c>
      <c r="M21" s="3" t="s">
        <v>615</v>
      </c>
      <c r="N21" s="3" t="s">
        <v>616</v>
      </c>
      <c r="O21" s="3" t="s">
        <v>190</v>
      </c>
      <c r="P21" s="3" t="s">
        <v>191</v>
      </c>
      <c r="Q21" s="3" t="s">
        <v>617</v>
      </c>
      <c r="R21" s="3" t="s">
        <v>618</v>
      </c>
      <c r="S21" s="3" t="s">
        <v>619</v>
      </c>
      <c r="T21" s="3" t="s">
        <v>620</v>
      </c>
      <c r="U21" s="3" t="s">
        <v>621</v>
      </c>
      <c r="W21" s="3" t="s">
        <v>612</v>
      </c>
      <c r="X21" s="3" t="s">
        <v>613</v>
      </c>
      <c r="Y21" s="3" t="s">
        <v>614</v>
      </c>
      <c r="Z21" s="3" t="s">
        <v>615</v>
      </c>
      <c r="AA21" s="3" t="s">
        <v>616</v>
      </c>
      <c r="AB21" s="3" t="s">
        <v>190</v>
      </c>
      <c r="AC21" s="3" t="s">
        <v>191</v>
      </c>
      <c r="AD21" s="3" t="s">
        <v>617</v>
      </c>
      <c r="AE21" s="3" t="s">
        <v>618</v>
      </c>
      <c r="AF21" s="3" t="s">
        <v>619</v>
      </c>
      <c r="AG21" s="3" t="s">
        <v>620</v>
      </c>
      <c r="AH21" s="3" t="s">
        <v>621</v>
      </c>
      <c r="AJ21" s="3" t="s">
        <v>612</v>
      </c>
      <c r="AK21" s="3" t="s">
        <v>613</v>
      </c>
      <c r="AL21" s="3" t="s">
        <v>614</v>
      </c>
      <c r="AM21" s="3" t="s">
        <v>615</v>
      </c>
      <c r="AN21" s="3" t="s">
        <v>616</v>
      </c>
      <c r="AO21" s="3" t="s">
        <v>190</v>
      </c>
      <c r="AP21" s="3" t="s">
        <v>191</v>
      </c>
      <c r="AQ21" s="3" t="s">
        <v>617</v>
      </c>
      <c r="AR21" s="3" t="s">
        <v>618</v>
      </c>
      <c r="AS21" s="3" t="s">
        <v>619</v>
      </c>
      <c r="AT21" s="3" t="s">
        <v>620</v>
      </c>
      <c r="AU21" s="3" t="s">
        <v>621</v>
      </c>
      <c r="AW21" s="3" t="s">
        <v>612</v>
      </c>
      <c r="AX21" s="3" t="s">
        <v>613</v>
      </c>
      <c r="AY21" s="3" t="s">
        <v>614</v>
      </c>
      <c r="AZ21" s="3" t="s">
        <v>615</v>
      </c>
      <c r="BA21" s="3" t="s">
        <v>616</v>
      </c>
      <c r="BB21" s="3" t="s">
        <v>190</v>
      </c>
      <c r="BC21" s="3" t="s">
        <v>191</v>
      </c>
      <c r="BD21" s="3" t="s">
        <v>617</v>
      </c>
      <c r="BE21" s="3" t="s">
        <v>618</v>
      </c>
      <c r="BF21" s="3" t="s">
        <v>619</v>
      </c>
      <c r="BG21" s="3" t="s">
        <v>620</v>
      </c>
      <c r="BH21" s="3" t="s">
        <v>621</v>
      </c>
    </row>
    <row r="22" spans="1:60" x14ac:dyDescent="0.2">
      <c r="A22" s="2355" t="s">
        <v>2054</v>
      </c>
      <c r="B22" s="3">
        <f>'zásobník projektů 2020-2024'!D6</f>
        <v>0</v>
      </c>
      <c r="C22" s="3">
        <f>'zásobník projektů 2020-2024'!E6</f>
        <v>0</v>
      </c>
      <c r="D22" s="3">
        <f>+B22-C22</f>
        <v>0</v>
      </c>
      <c r="E22" s="2355"/>
      <c r="F22" s="3"/>
      <c r="G22" s="2353"/>
      <c r="H22" s="2357"/>
    </row>
    <row r="23" spans="1:60" x14ac:dyDescent="0.2">
      <c r="A23" s="2355" t="s">
        <v>404</v>
      </c>
      <c r="B23" s="3">
        <f>'zásobník projektů 2020-2024'!D7</f>
        <v>964600</v>
      </c>
      <c r="C23" s="3">
        <f>'zásobník projektů 2020-2024'!E7</f>
        <v>0</v>
      </c>
      <c r="D23" s="3">
        <f t="shared" ref="D23:D31" si="1">+B23-C23</f>
        <v>964600</v>
      </c>
      <c r="E23" s="2355">
        <f>'zásobník projektů 2020-2024'!R7</f>
        <v>2024</v>
      </c>
      <c r="F23" s="3"/>
      <c r="G23" s="2353">
        <f t="shared" ref="G23:G31" si="2">+C23/B23</f>
        <v>0</v>
      </c>
      <c r="H23" s="2357" t="s">
        <v>2173</v>
      </c>
      <c r="V23" s="2">
        <f>+B23</f>
        <v>964600</v>
      </c>
    </row>
    <row r="24" spans="1:60" x14ac:dyDescent="0.2">
      <c r="A24" s="2355" t="s">
        <v>395</v>
      </c>
      <c r="B24" s="3">
        <f>'zásobník projektů 2020-2024'!D8</f>
        <v>3459600</v>
      </c>
      <c r="C24" s="3">
        <f>'zásobník projektů 2020-2024'!E8</f>
        <v>0</v>
      </c>
      <c r="D24" s="3">
        <f t="shared" si="1"/>
        <v>3459600</v>
      </c>
      <c r="E24" s="2355">
        <f>'zásobník projektů 2020-2024'!R8</f>
        <v>2024</v>
      </c>
      <c r="F24" s="3"/>
      <c r="G24" s="2353">
        <f t="shared" si="2"/>
        <v>0</v>
      </c>
      <c r="H24" s="2357" t="s">
        <v>2173</v>
      </c>
      <c r="V24" s="2">
        <f>+B24</f>
        <v>3459600</v>
      </c>
    </row>
    <row r="25" spans="1:60" x14ac:dyDescent="0.2">
      <c r="A25" s="2355" t="s">
        <v>399</v>
      </c>
      <c r="B25" s="3">
        <f>'zásobník projektů 2020-2024'!D9</f>
        <v>795000</v>
      </c>
      <c r="C25" s="3">
        <f>'zásobník projektů 2020-2024'!E9</f>
        <v>0</v>
      </c>
      <c r="D25" s="3">
        <f t="shared" si="1"/>
        <v>795000</v>
      </c>
      <c r="E25" s="2355">
        <f>'zásobník projektů 2020-2024'!R9</f>
        <v>2024</v>
      </c>
      <c r="F25" s="3"/>
      <c r="G25" s="2353">
        <f t="shared" si="2"/>
        <v>0</v>
      </c>
      <c r="H25" s="2357" t="s">
        <v>2173</v>
      </c>
      <c r="V25" s="2">
        <f>+B25</f>
        <v>795000</v>
      </c>
    </row>
    <row r="26" spans="1:60" x14ac:dyDescent="0.2">
      <c r="A26" s="2355" t="s">
        <v>526</v>
      </c>
      <c r="B26" s="3">
        <f>'zásobník projektů 2020-2024'!D10</f>
        <v>503500</v>
      </c>
      <c r="C26" s="3">
        <f>'zásobník projektů 2020-2024'!E10</f>
        <v>0</v>
      </c>
      <c r="D26" s="3">
        <f t="shared" si="1"/>
        <v>503500</v>
      </c>
      <c r="E26" s="2355">
        <f>'zásobník projektů 2020-2024'!R10</f>
        <v>2024</v>
      </c>
      <c r="F26" s="3"/>
      <c r="G26" s="2353">
        <f t="shared" si="2"/>
        <v>0</v>
      </c>
      <c r="H26" s="2357" t="s">
        <v>2173</v>
      </c>
      <c r="V26" s="2">
        <f>+B26</f>
        <v>503500</v>
      </c>
    </row>
    <row r="27" spans="1:60" x14ac:dyDescent="0.2">
      <c r="A27" s="2355" t="s">
        <v>2055</v>
      </c>
      <c r="B27" s="3">
        <f>'zásobník projektů 2020-2024'!D11</f>
        <v>911600</v>
      </c>
      <c r="C27" s="3">
        <f>'zásobník projektů 2020-2024'!E11</f>
        <v>0</v>
      </c>
      <c r="D27" s="3">
        <f t="shared" si="1"/>
        <v>911600</v>
      </c>
      <c r="E27" s="2355">
        <f>'zásobník projektů 2020-2024'!R11</f>
        <v>2024</v>
      </c>
      <c r="F27" s="3"/>
      <c r="G27" s="2353">
        <f t="shared" si="2"/>
        <v>0</v>
      </c>
      <c r="H27" s="2357" t="s">
        <v>2173</v>
      </c>
      <c r="V27" s="2">
        <f>+B27</f>
        <v>911600</v>
      </c>
    </row>
    <row r="28" spans="1:60" x14ac:dyDescent="0.2">
      <c r="A28" s="2355" t="s">
        <v>2056</v>
      </c>
      <c r="B28" s="3">
        <f>'zásobník projektů 2020-2024'!D12</f>
        <v>2800000</v>
      </c>
      <c r="C28" s="3">
        <f>'zásobník projektů 2020-2024'!E12</f>
        <v>0</v>
      </c>
      <c r="D28" s="3">
        <f t="shared" si="1"/>
        <v>2800000</v>
      </c>
      <c r="E28" s="2355">
        <f>'zásobník projektů 2020-2024'!R12</f>
        <v>2023</v>
      </c>
      <c r="F28" s="3"/>
      <c r="G28" s="2353">
        <f t="shared" si="2"/>
        <v>0</v>
      </c>
      <c r="H28" s="2357" t="s">
        <v>2173</v>
      </c>
      <c r="I28" s="2">
        <f>+B28</f>
        <v>2800000</v>
      </c>
    </row>
    <row r="29" spans="1:60" x14ac:dyDescent="0.2">
      <c r="A29" s="2355" t="s">
        <v>412</v>
      </c>
      <c r="B29" s="3">
        <f>'zásobník projektů 2020-2024'!D13</f>
        <v>2800000</v>
      </c>
      <c r="C29" s="3">
        <f>'zásobník projektů 2020-2024'!E13</f>
        <v>0</v>
      </c>
      <c r="D29" s="3">
        <f t="shared" si="1"/>
        <v>2800000</v>
      </c>
      <c r="E29" s="2355">
        <f>'zásobník projektů 2020-2024'!R13</f>
        <v>2023</v>
      </c>
      <c r="F29" s="3"/>
      <c r="G29" s="2353">
        <f t="shared" si="2"/>
        <v>0</v>
      </c>
      <c r="H29" s="2357" t="s">
        <v>2173</v>
      </c>
      <c r="I29" s="2">
        <f>+B29</f>
        <v>2800000</v>
      </c>
    </row>
    <row r="30" spans="1:60" x14ac:dyDescent="0.2">
      <c r="A30" s="2355" t="s">
        <v>2057</v>
      </c>
      <c r="B30" s="3">
        <f>'zásobník projektů 2020-2024'!D14</f>
        <v>2756000</v>
      </c>
      <c r="C30" s="3">
        <f>'zásobník projektů 2020-2024'!E14</f>
        <v>0</v>
      </c>
      <c r="D30" s="3">
        <f t="shared" si="1"/>
        <v>2756000</v>
      </c>
      <c r="E30" s="2355">
        <f>'zásobník projektů 2020-2024'!R14</f>
        <v>2023</v>
      </c>
      <c r="F30" s="3"/>
      <c r="G30" s="2353">
        <f t="shared" si="2"/>
        <v>0</v>
      </c>
      <c r="H30" s="2357" t="s">
        <v>2173</v>
      </c>
      <c r="I30" s="2">
        <f>+B30</f>
        <v>2756000</v>
      </c>
    </row>
    <row r="31" spans="1:60" x14ac:dyDescent="0.2">
      <c r="A31" s="2355" t="s">
        <v>415</v>
      </c>
      <c r="B31" s="3">
        <f>'zásobník projektů 2020-2024'!D15</f>
        <v>80000000</v>
      </c>
      <c r="C31" s="3">
        <f>'zásobník projektů 2020-2024'!E15</f>
        <v>75500000</v>
      </c>
      <c r="D31" s="3">
        <f t="shared" si="1"/>
        <v>4500000</v>
      </c>
      <c r="E31" s="2355">
        <f>'zásobník projektů 2020-2024'!R15</f>
        <v>2024</v>
      </c>
      <c r="F31" s="3"/>
      <c r="G31" s="2353">
        <f t="shared" si="2"/>
        <v>0.94374999999999998</v>
      </c>
      <c r="H31" s="2357" t="s">
        <v>2173</v>
      </c>
      <c r="V31" s="2">
        <f>+B31</f>
        <v>80000000</v>
      </c>
    </row>
    <row r="32" spans="1:60" x14ac:dyDescent="0.2">
      <c r="A32" s="2355"/>
      <c r="E32" s="2355"/>
      <c r="F32" s="3"/>
    </row>
    <row r="33" spans="1:22" x14ac:dyDescent="0.2">
      <c r="A33" s="2354" t="s">
        <v>2087</v>
      </c>
      <c r="B33" s="2">
        <f>SUM(B34:B39)</f>
        <v>11600000</v>
      </c>
      <c r="C33" s="2">
        <f t="shared" ref="C33:D33" si="3">SUM(C34:C39)</f>
        <v>4530000</v>
      </c>
      <c r="D33" s="2">
        <f t="shared" si="3"/>
        <v>7070000</v>
      </c>
      <c r="E33" s="2355"/>
      <c r="F33" s="3"/>
    </row>
    <row r="34" spans="1:22" x14ac:dyDescent="0.2">
      <c r="A34" s="2355" t="s">
        <v>420</v>
      </c>
      <c r="B34" s="3">
        <f>'zásobník projektů 2020-2024'!D22</f>
        <v>650000</v>
      </c>
      <c r="C34" s="3">
        <f>'zásobník projektů 2020-2024'!E22</f>
        <v>500000</v>
      </c>
      <c r="D34" s="3">
        <f t="shared" ref="D34:D39" si="4">+B34-C34</f>
        <v>150000</v>
      </c>
      <c r="E34" s="2355">
        <f>'zásobník projektů 2020-2024'!M22</f>
        <v>2023</v>
      </c>
      <c r="F34" s="3"/>
      <c r="G34" s="2353">
        <f t="shared" ref="G34:G39" si="5">+C34/B34</f>
        <v>0.76923076923076927</v>
      </c>
      <c r="H34" s="2357" t="s">
        <v>2173</v>
      </c>
      <c r="I34" s="2">
        <f>+B34</f>
        <v>650000</v>
      </c>
    </row>
    <row r="35" spans="1:22" x14ac:dyDescent="0.2">
      <c r="A35" s="2355" t="s">
        <v>529</v>
      </c>
      <c r="B35" s="3">
        <f>'zásobník projektů 2020-2024'!D23</f>
        <v>750000</v>
      </c>
      <c r="C35" s="3">
        <f>'zásobník projektů 2020-2024'!E23</f>
        <v>630000</v>
      </c>
      <c r="D35" s="3">
        <f t="shared" si="4"/>
        <v>120000</v>
      </c>
      <c r="E35" s="2355">
        <f>'zásobník projektů 2020-2024'!M23</f>
        <v>2024</v>
      </c>
      <c r="F35" s="3"/>
      <c r="G35" s="2353">
        <f t="shared" si="5"/>
        <v>0.84</v>
      </c>
      <c r="H35" s="2357" t="s">
        <v>2173</v>
      </c>
      <c r="V35" s="2">
        <f>+B35</f>
        <v>750000</v>
      </c>
    </row>
    <row r="36" spans="1:22" x14ac:dyDescent="0.2">
      <c r="A36" s="2355" t="s">
        <v>2059</v>
      </c>
      <c r="B36" s="3">
        <f>'zásobník projektů 2020-2024'!D24</f>
        <v>3700000</v>
      </c>
      <c r="C36" s="3">
        <f>'zásobník projektů 2020-2024'!E24</f>
        <v>0</v>
      </c>
      <c r="D36" s="3">
        <f t="shared" si="4"/>
        <v>3700000</v>
      </c>
      <c r="E36" s="2355">
        <f>'zásobník projektů 2020-2024'!M24</f>
        <v>2024</v>
      </c>
      <c r="F36" s="3"/>
      <c r="G36" s="2353">
        <f t="shared" si="5"/>
        <v>0</v>
      </c>
      <c r="H36" s="2357" t="s">
        <v>2173</v>
      </c>
      <c r="V36" s="2">
        <f>+B36</f>
        <v>3700000</v>
      </c>
    </row>
    <row r="37" spans="1:22" x14ac:dyDescent="0.2">
      <c r="A37" s="2355" t="s">
        <v>2061</v>
      </c>
      <c r="B37" s="3">
        <f>'zásobník projektů 2020-2024'!D25</f>
        <v>3900000</v>
      </c>
      <c r="C37" s="3">
        <f>'zásobník projektů 2020-2024'!E25</f>
        <v>3400000</v>
      </c>
      <c r="D37" s="3">
        <f t="shared" si="4"/>
        <v>500000</v>
      </c>
      <c r="E37" s="2355">
        <f>'zásobník projektů 2020-2024'!M25</f>
        <v>2023</v>
      </c>
      <c r="F37" s="3"/>
      <c r="G37" s="2353">
        <f t="shared" si="5"/>
        <v>0.87179487179487181</v>
      </c>
      <c r="H37" s="2357" t="s">
        <v>2173</v>
      </c>
      <c r="I37" s="2">
        <f>+B37</f>
        <v>3900000</v>
      </c>
    </row>
    <row r="38" spans="1:22" x14ac:dyDescent="0.2">
      <c r="A38" s="2355" t="s">
        <v>2062</v>
      </c>
      <c r="B38" s="3">
        <f>'zásobník projektů 2020-2024'!D26</f>
        <v>1000000</v>
      </c>
      <c r="C38" s="3">
        <f>'zásobník projektů 2020-2024'!E26</f>
        <v>0</v>
      </c>
      <c r="D38" s="3">
        <f t="shared" si="4"/>
        <v>1000000</v>
      </c>
      <c r="E38" s="2355">
        <f>'zásobník projektů 2020-2024'!M26</f>
        <v>2024</v>
      </c>
      <c r="F38" s="3"/>
      <c r="G38" s="2353">
        <f t="shared" si="5"/>
        <v>0</v>
      </c>
      <c r="H38" s="2357" t="s">
        <v>2173</v>
      </c>
      <c r="V38" s="2">
        <f>+B38</f>
        <v>1000000</v>
      </c>
    </row>
    <row r="39" spans="1:22" x14ac:dyDescent="0.2">
      <c r="A39" s="2355" t="s">
        <v>2063</v>
      </c>
      <c r="B39" s="3">
        <f>'zásobník projektů 2020-2024'!D27</f>
        <v>1600000</v>
      </c>
      <c r="C39" s="3">
        <f>'zásobník projektů 2020-2024'!E27</f>
        <v>0</v>
      </c>
      <c r="D39" s="3">
        <f t="shared" si="4"/>
        <v>1600000</v>
      </c>
      <c r="E39" s="2355">
        <f>'zásobník projektů 2020-2024'!M27</f>
        <v>2024</v>
      </c>
      <c r="F39" s="3"/>
      <c r="G39" s="2353">
        <f t="shared" si="5"/>
        <v>0</v>
      </c>
      <c r="H39" s="2357" t="s">
        <v>2173</v>
      </c>
      <c r="V39" s="2">
        <f>+B39</f>
        <v>1600000</v>
      </c>
    </row>
    <row r="40" spans="1:22" x14ac:dyDescent="0.2">
      <c r="A40" s="2355"/>
      <c r="E40" s="2355"/>
      <c r="F40" s="3"/>
    </row>
    <row r="41" spans="1:22" x14ac:dyDescent="0.2">
      <c r="A41" s="2354" t="s">
        <v>437</v>
      </c>
      <c r="B41" s="2">
        <f>SUM(B42:B49)</f>
        <v>241000000</v>
      </c>
      <c r="C41" s="2">
        <f t="shared" ref="C41:D41" si="6">SUM(C42:C49)</f>
        <v>111250000</v>
      </c>
      <c r="D41" s="2">
        <f t="shared" si="6"/>
        <v>129750000</v>
      </c>
      <c r="E41" s="2355"/>
      <c r="F41" s="3"/>
    </row>
    <row r="42" spans="1:22" x14ac:dyDescent="0.2">
      <c r="A42" s="2355" t="s">
        <v>2064</v>
      </c>
      <c r="B42" s="3">
        <f>'zásobník projektů 2020-2024'!D42</f>
        <v>2500000</v>
      </c>
      <c r="C42" s="3">
        <f>'zásobník projektů 2020-2024'!E42</f>
        <v>0</v>
      </c>
      <c r="D42" s="3">
        <f t="shared" ref="D42:D49" si="7">+B42-C42</f>
        <v>2500000</v>
      </c>
      <c r="E42" s="2355">
        <f>'zásobník projektů 2020-2024'!M42</f>
        <v>2023</v>
      </c>
      <c r="F42" s="3"/>
      <c r="G42" s="2353">
        <f t="shared" ref="G42:G49" si="8">+C42/B42</f>
        <v>0</v>
      </c>
      <c r="H42" s="2357" t="s">
        <v>2173</v>
      </c>
      <c r="I42" s="2">
        <f t="shared" ref="I42:I47" si="9">+B42</f>
        <v>2500000</v>
      </c>
    </row>
    <row r="43" spans="1:22" x14ac:dyDescent="0.2">
      <c r="A43" s="2355" t="s">
        <v>1916</v>
      </c>
      <c r="B43" s="3">
        <f>'zásobník projektů 2020-2024'!D43</f>
        <v>110000000</v>
      </c>
      <c r="C43" s="3">
        <f>'zásobník projektů 2020-2024'!E43</f>
        <v>71500000</v>
      </c>
      <c r="D43" s="3">
        <f t="shared" si="7"/>
        <v>38500000</v>
      </c>
      <c r="E43" s="2355">
        <f>'zásobník projektů 2020-2024'!M43</f>
        <v>2023</v>
      </c>
      <c r="F43" s="3"/>
      <c r="G43" s="2353">
        <f t="shared" si="8"/>
        <v>0.65</v>
      </c>
      <c r="H43" s="2558" t="s">
        <v>2172</v>
      </c>
      <c r="I43" s="2">
        <f t="shared" si="9"/>
        <v>110000000</v>
      </c>
    </row>
    <row r="44" spans="1:22" x14ac:dyDescent="0.2">
      <c r="A44" s="2355" t="s">
        <v>439</v>
      </c>
      <c r="B44" s="3">
        <f>'zásobník projektů 2020-2024'!D44</f>
        <v>2000000</v>
      </c>
      <c r="C44" s="3">
        <f>'zásobník projektů 2020-2024'!E44</f>
        <v>1000000</v>
      </c>
      <c r="D44" s="3">
        <f t="shared" si="7"/>
        <v>1000000</v>
      </c>
      <c r="E44" s="2355" t="str">
        <f>'zásobník projektů 2020-2024'!M44</f>
        <v>průběžně</v>
      </c>
      <c r="F44" s="3"/>
      <c r="G44" s="2353">
        <f t="shared" si="8"/>
        <v>0.5</v>
      </c>
      <c r="H44" s="2357" t="s">
        <v>2173</v>
      </c>
      <c r="I44" s="2">
        <f t="shared" si="9"/>
        <v>2000000</v>
      </c>
    </row>
    <row r="45" spans="1:22" x14ac:dyDescent="0.2">
      <c r="A45" s="2355" t="s">
        <v>1922</v>
      </c>
      <c r="B45" s="3">
        <f>'zásobník projektů 2020-2024'!D45</f>
        <v>5000000</v>
      </c>
      <c r="C45" s="3">
        <f>'zásobník projektů 2020-2024'!E45</f>
        <v>0</v>
      </c>
      <c r="D45" s="3">
        <f t="shared" si="7"/>
        <v>5000000</v>
      </c>
      <c r="E45" s="2355" t="str">
        <f>'zásobník projektů 2020-2024'!M45</f>
        <v>průběžně</v>
      </c>
      <c r="F45" s="3"/>
      <c r="G45" s="2353">
        <f t="shared" si="8"/>
        <v>0</v>
      </c>
      <c r="H45" s="2357" t="s">
        <v>2173</v>
      </c>
      <c r="I45" s="2">
        <f t="shared" si="9"/>
        <v>5000000</v>
      </c>
    </row>
    <row r="46" spans="1:22" x14ac:dyDescent="0.2">
      <c r="A46" s="2355" t="s">
        <v>1924</v>
      </c>
      <c r="B46" s="3">
        <f>'zásobník projektů 2020-2024'!D46</f>
        <v>3000000</v>
      </c>
      <c r="C46" s="3">
        <f>'zásobník projektů 2020-2024'!E46</f>
        <v>1500000</v>
      </c>
      <c r="D46" s="3">
        <f t="shared" si="7"/>
        <v>1500000</v>
      </c>
      <c r="E46" s="2355" t="str">
        <f>'zásobník projektů 2020-2024'!M46</f>
        <v>průběžně</v>
      </c>
      <c r="F46" s="3"/>
      <c r="G46" s="2353">
        <f t="shared" si="8"/>
        <v>0.5</v>
      </c>
      <c r="H46" s="2357" t="s">
        <v>2173</v>
      </c>
      <c r="I46" s="2">
        <f t="shared" si="9"/>
        <v>3000000</v>
      </c>
    </row>
    <row r="47" spans="1:22" x14ac:dyDescent="0.2">
      <c r="A47" s="2355" t="s">
        <v>2066</v>
      </c>
      <c r="B47" s="3">
        <f>'zásobník projektů 2020-2024'!D47</f>
        <v>1500000</v>
      </c>
      <c r="C47" s="3">
        <f>'zásobník projektů 2020-2024'!E47</f>
        <v>750000</v>
      </c>
      <c r="D47" s="3">
        <f t="shared" si="7"/>
        <v>750000</v>
      </c>
      <c r="E47" s="2355" t="str">
        <f>'zásobník projektů 2020-2024'!M47</f>
        <v>průběžně</v>
      </c>
      <c r="F47" s="3"/>
      <c r="G47" s="2353">
        <f t="shared" si="8"/>
        <v>0.5</v>
      </c>
      <c r="H47" s="2357" t="s">
        <v>2173</v>
      </c>
      <c r="I47" s="2">
        <f t="shared" si="9"/>
        <v>1500000</v>
      </c>
    </row>
    <row r="48" spans="1:22" x14ac:dyDescent="0.2">
      <c r="A48" s="2355" t="s">
        <v>1713</v>
      </c>
      <c r="B48" s="3">
        <v>110000000</v>
      </c>
      <c r="C48" s="3">
        <f>+B48*0.3</f>
        <v>33000000</v>
      </c>
      <c r="D48" s="3">
        <f t="shared" si="7"/>
        <v>77000000</v>
      </c>
      <c r="E48" s="2355">
        <f>'zásobník projektů 2020-2024'!M48</f>
        <v>2024</v>
      </c>
      <c r="F48" s="3"/>
      <c r="G48" s="2353">
        <f t="shared" si="8"/>
        <v>0.3</v>
      </c>
      <c r="H48" s="2558" t="s">
        <v>2171</v>
      </c>
      <c r="V48" s="2">
        <f>+B48</f>
        <v>110000000</v>
      </c>
    </row>
    <row r="49" spans="1:22" x14ac:dyDescent="0.2">
      <c r="A49" s="2355" t="s">
        <v>441</v>
      </c>
      <c r="B49" s="3">
        <f>'zásobník projektů 2020-2024'!D49</f>
        <v>7000000</v>
      </c>
      <c r="C49" s="3">
        <f>'zásobník projektů 2020-2024'!E49</f>
        <v>3500000</v>
      </c>
      <c r="D49" s="3">
        <f t="shared" si="7"/>
        <v>3500000</v>
      </c>
      <c r="E49" s="2355" t="str">
        <f>'zásobník projektů 2020-2024'!M49</f>
        <v>průběžně</v>
      </c>
      <c r="F49" s="3"/>
      <c r="G49" s="2353">
        <f t="shared" si="8"/>
        <v>0.5</v>
      </c>
      <c r="H49" s="2357" t="s">
        <v>2173</v>
      </c>
      <c r="I49" s="2">
        <f>+B49</f>
        <v>7000000</v>
      </c>
    </row>
    <row r="50" spans="1:22" x14ac:dyDescent="0.2">
      <c r="A50" s="2355"/>
      <c r="E50" s="2355"/>
      <c r="F50" s="3"/>
    </row>
    <row r="51" spans="1:22" x14ac:dyDescent="0.2">
      <c r="A51" s="2354" t="s">
        <v>442</v>
      </c>
      <c r="B51" s="2">
        <f>SUM(B52:B58)</f>
        <v>196900000</v>
      </c>
      <c r="C51" s="2">
        <f t="shared" ref="C51:D51" si="10">SUM(C52:C58)</f>
        <v>54255276</v>
      </c>
      <c r="D51" s="2">
        <f t="shared" si="10"/>
        <v>142644724</v>
      </c>
      <c r="E51" s="2355"/>
      <c r="F51" s="3"/>
    </row>
    <row r="52" spans="1:22" x14ac:dyDescent="0.2">
      <c r="A52" s="2355" t="s">
        <v>1925</v>
      </c>
      <c r="B52" s="3">
        <f>'zásobník projektů 2020-2024'!D56</f>
        <v>35000000</v>
      </c>
      <c r="C52" s="3">
        <f>'zásobník projektů 2020-2024'!E56</f>
        <v>12000000</v>
      </c>
      <c r="D52" s="3">
        <f t="shared" ref="D52:D58" si="11">+B52-C52</f>
        <v>23000000</v>
      </c>
      <c r="E52" s="2355">
        <f>'zásobník projektů 2020-2024'!M56</f>
        <v>2023</v>
      </c>
      <c r="F52" s="3"/>
      <c r="G52" s="2353">
        <f t="shared" ref="G52:G57" si="12">+C52/B52</f>
        <v>0.34285714285714286</v>
      </c>
      <c r="H52" s="2357" t="s">
        <v>2173</v>
      </c>
    </row>
    <row r="53" spans="1:22" x14ac:dyDescent="0.2">
      <c r="A53" s="2355" t="s">
        <v>1928</v>
      </c>
      <c r="B53" s="3">
        <f>'zásobník projektů 2020-2024'!D57</f>
        <v>32000000</v>
      </c>
      <c r="C53" s="3">
        <f>'zásobník projektů 2020-2024'!E57</f>
        <v>15505276</v>
      </c>
      <c r="D53" s="3">
        <f t="shared" si="11"/>
        <v>16494724</v>
      </c>
      <c r="E53" s="2355">
        <f>'zásobník projektů 2020-2024'!M57</f>
        <v>2023</v>
      </c>
      <c r="F53" s="3"/>
      <c r="G53" s="2353">
        <f t="shared" si="12"/>
        <v>0.48453987500000001</v>
      </c>
      <c r="H53" s="2357" t="s">
        <v>2173</v>
      </c>
    </row>
    <row r="54" spans="1:22" x14ac:dyDescent="0.2">
      <c r="A54" s="2355" t="s">
        <v>446</v>
      </c>
      <c r="B54" s="3">
        <f>'zásobník projektů 2020-2024'!D58</f>
        <v>20400000</v>
      </c>
      <c r="C54" s="3">
        <f>'zásobník projektů 2020-2024'!E58</f>
        <v>7500000</v>
      </c>
      <c r="D54" s="3">
        <f t="shared" si="11"/>
        <v>12900000</v>
      </c>
      <c r="E54" s="2355">
        <f>'zásobník projektů 2020-2024'!M58</f>
        <v>2023</v>
      </c>
      <c r="F54" s="3"/>
      <c r="G54" s="2353">
        <f t="shared" si="12"/>
        <v>0.36764705882352944</v>
      </c>
      <c r="H54" s="2357" t="s">
        <v>2173</v>
      </c>
    </row>
    <row r="55" spans="1:22" x14ac:dyDescent="0.2">
      <c r="A55" s="2355" t="s">
        <v>2068</v>
      </c>
      <c r="B55" s="3">
        <f>'zásobník projektů 2020-2024'!D59</f>
        <v>35000000</v>
      </c>
      <c r="C55" s="3">
        <f>'zásobník projektů 2020-2024'!E59</f>
        <v>19250000</v>
      </c>
      <c r="D55" s="3">
        <f t="shared" si="11"/>
        <v>15750000</v>
      </c>
      <c r="E55" s="2355">
        <f>'zásobník projektů 2020-2024'!M59</f>
        <v>2024</v>
      </c>
      <c r="F55" s="3"/>
      <c r="G55" s="2353">
        <f t="shared" si="12"/>
        <v>0.55000000000000004</v>
      </c>
      <c r="H55" s="2357" t="s">
        <v>2173</v>
      </c>
      <c r="V55" s="2">
        <f>+B55</f>
        <v>35000000</v>
      </c>
    </row>
    <row r="56" spans="1:22" x14ac:dyDescent="0.2">
      <c r="A56" s="2355" t="s">
        <v>2070</v>
      </c>
      <c r="B56" s="3">
        <f>'zásobník projektů 2020-2024'!D60</f>
        <v>2000000</v>
      </c>
      <c r="C56" s="3">
        <f>'zásobník projektů 2020-2024'!E60</f>
        <v>0</v>
      </c>
      <c r="D56" s="3">
        <f t="shared" si="11"/>
        <v>2000000</v>
      </c>
      <c r="E56" s="2355">
        <f>'zásobník projektů 2020-2024'!M60</f>
        <v>2024</v>
      </c>
      <c r="F56" s="3"/>
      <c r="G56" s="2353">
        <f t="shared" si="12"/>
        <v>0</v>
      </c>
      <c r="H56" s="2357" t="s">
        <v>2173</v>
      </c>
      <c r="V56" s="2">
        <f>+B56</f>
        <v>2000000</v>
      </c>
    </row>
    <row r="57" spans="1:22" x14ac:dyDescent="0.2">
      <c r="A57" s="2355" t="s">
        <v>2071</v>
      </c>
      <c r="B57" s="3">
        <f>'zásobník projektů 2020-2024'!D61</f>
        <v>2500000</v>
      </c>
      <c r="C57" s="3">
        <f>'zásobník projektů 2020-2024'!E61</f>
        <v>0</v>
      </c>
      <c r="D57" s="3">
        <f t="shared" si="11"/>
        <v>2500000</v>
      </c>
      <c r="E57" s="2355">
        <f>'zásobník projektů 2020-2024'!M61</f>
        <v>2023</v>
      </c>
      <c r="F57" s="3"/>
      <c r="G57" s="2353">
        <f t="shared" si="12"/>
        <v>0</v>
      </c>
      <c r="H57" s="2357" t="s">
        <v>2173</v>
      </c>
    </row>
    <row r="58" spans="1:22" x14ac:dyDescent="0.2">
      <c r="A58" s="2355" t="s">
        <v>1261</v>
      </c>
      <c r="B58" s="3">
        <v>70000000</v>
      </c>
      <c r="C58" s="3">
        <v>0</v>
      </c>
      <c r="D58" s="3">
        <f t="shared" si="11"/>
        <v>70000000</v>
      </c>
      <c r="E58" s="2355"/>
      <c r="F58" s="3"/>
    </row>
    <row r="59" spans="1:22" x14ac:dyDescent="0.2">
      <c r="E59" s="2355"/>
    </row>
    <row r="60" spans="1:22" x14ac:dyDescent="0.2">
      <c r="E60" s="2355"/>
    </row>
    <row r="61" spans="1:22" s="2" customFormat="1" x14ac:dyDescent="0.2">
      <c r="A61" s="2" t="s">
        <v>2</v>
      </c>
      <c r="B61" s="2">
        <f>+B51+B41+B33+B21</f>
        <v>544490300</v>
      </c>
      <c r="C61" s="2">
        <f t="shared" ref="C61:D61" si="13">+C51+C41+C33+C21</f>
        <v>245535276</v>
      </c>
      <c r="D61" s="2">
        <f t="shared" si="13"/>
        <v>298955024</v>
      </c>
      <c r="E61" s="2354"/>
      <c r="G61" s="2561"/>
      <c r="H61" s="2351"/>
    </row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2030" customWidth="1"/>
    <col min="2" max="2" width="23.140625" style="2030" customWidth="1"/>
    <col min="3" max="3" width="17.5703125" style="2030" customWidth="1"/>
    <col min="4" max="4" width="29.85546875" style="2030" customWidth="1"/>
    <col min="5" max="5" width="29" style="2030" customWidth="1"/>
    <col min="6" max="6" width="27.7109375" style="2030" customWidth="1"/>
    <col min="7" max="7" width="22.28515625" style="2030" customWidth="1"/>
    <col min="8" max="8" width="28.5703125" style="2030" customWidth="1"/>
    <col min="9" max="9" width="23.42578125" style="2030" customWidth="1"/>
    <col min="10" max="10" width="25.140625" style="2030" customWidth="1"/>
    <col min="11" max="11" width="16.7109375" style="2030" customWidth="1"/>
    <col min="12" max="12" width="13.42578125" style="2030" customWidth="1"/>
    <col min="13" max="13" width="9.85546875" style="2030" customWidth="1"/>
    <col min="14" max="14" width="11.140625" style="2030" customWidth="1"/>
    <col min="15" max="16" width="9.7109375" style="2030" customWidth="1"/>
    <col min="17" max="17" width="10.140625" style="2030" customWidth="1"/>
    <col min="18" max="19" width="17.140625" style="2030" customWidth="1"/>
    <col min="20" max="256" width="8.85546875" style="2030"/>
    <col min="257" max="257" width="58.7109375" style="2030" customWidth="1"/>
    <col min="258" max="258" width="23.140625" style="2030" customWidth="1"/>
    <col min="259" max="259" width="17.5703125" style="2030" customWidth="1"/>
    <col min="260" max="260" width="29.85546875" style="2030" customWidth="1"/>
    <col min="261" max="261" width="29" style="2030" customWidth="1"/>
    <col min="262" max="262" width="27.7109375" style="2030" customWidth="1"/>
    <col min="263" max="263" width="22.28515625" style="2030" customWidth="1"/>
    <col min="264" max="264" width="28.5703125" style="2030" customWidth="1"/>
    <col min="265" max="265" width="23.42578125" style="2030" customWidth="1"/>
    <col min="266" max="266" width="25.140625" style="2030" customWidth="1"/>
    <col min="267" max="267" width="16.7109375" style="2030" customWidth="1"/>
    <col min="268" max="268" width="13.42578125" style="2030" customWidth="1"/>
    <col min="269" max="269" width="9.85546875" style="2030" customWidth="1"/>
    <col min="270" max="270" width="11.140625" style="2030" customWidth="1"/>
    <col min="271" max="272" width="9.7109375" style="2030" customWidth="1"/>
    <col min="273" max="273" width="10.140625" style="2030" customWidth="1"/>
    <col min="274" max="275" width="17.140625" style="2030" customWidth="1"/>
    <col min="276" max="512" width="8.85546875" style="2030"/>
    <col min="513" max="513" width="58.7109375" style="2030" customWidth="1"/>
    <col min="514" max="514" width="23.140625" style="2030" customWidth="1"/>
    <col min="515" max="515" width="17.5703125" style="2030" customWidth="1"/>
    <col min="516" max="516" width="29.85546875" style="2030" customWidth="1"/>
    <col min="517" max="517" width="29" style="2030" customWidth="1"/>
    <col min="518" max="518" width="27.7109375" style="2030" customWidth="1"/>
    <col min="519" max="519" width="22.28515625" style="2030" customWidth="1"/>
    <col min="520" max="520" width="28.5703125" style="2030" customWidth="1"/>
    <col min="521" max="521" width="23.42578125" style="2030" customWidth="1"/>
    <col min="522" max="522" width="25.140625" style="2030" customWidth="1"/>
    <col min="523" max="523" width="16.7109375" style="2030" customWidth="1"/>
    <col min="524" max="524" width="13.42578125" style="2030" customWidth="1"/>
    <col min="525" max="525" width="9.85546875" style="2030" customWidth="1"/>
    <col min="526" max="526" width="11.140625" style="2030" customWidth="1"/>
    <col min="527" max="528" width="9.7109375" style="2030" customWidth="1"/>
    <col min="529" max="529" width="10.140625" style="2030" customWidth="1"/>
    <col min="530" max="531" width="17.140625" style="2030" customWidth="1"/>
    <col min="532" max="768" width="8.85546875" style="2030"/>
    <col min="769" max="769" width="58.7109375" style="2030" customWidth="1"/>
    <col min="770" max="770" width="23.140625" style="2030" customWidth="1"/>
    <col min="771" max="771" width="17.5703125" style="2030" customWidth="1"/>
    <col min="772" max="772" width="29.85546875" style="2030" customWidth="1"/>
    <col min="773" max="773" width="29" style="2030" customWidth="1"/>
    <col min="774" max="774" width="27.7109375" style="2030" customWidth="1"/>
    <col min="775" max="775" width="22.28515625" style="2030" customWidth="1"/>
    <col min="776" max="776" width="28.5703125" style="2030" customWidth="1"/>
    <col min="777" max="777" width="23.42578125" style="2030" customWidth="1"/>
    <col min="778" max="778" width="25.140625" style="2030" customWidth="1"/>
    <col min="779" max="779" width="16.7109375" style="2030" customWidth="1"/>
    <col min="780" max="780" width="13.42578125" style="2030" customWidth="1"/>
    <col min="781" max="781" width="9.85546875" style="2030" customWidth="1"/>
    <col min="782" max="782" width="11.140625" style="2030" customWidth="1"/>
    <col min="783" max="784" width="9.7109375" style="2030" customWidth="1"/>
    <col min="785" max="785" width="10.140625" style="2030" customWidth="1"/>
    <col min="786" max="787" width="17.140625" style="2030" customWidth="1"/>
    <col min="788" max="1024" width="8.85546875" style="2030"/>
    <col min="1025" max="1025" width="58.7109375" style="2030" customWidth="1"/>
    <col min="1026" max="1026" width="23.140625" style="2030" customWidth="1"/>
    <col min="1027" max="1027" width="17.5703125" style="2030" customWidth="1"/>
    <col min="1028" max="1028" width="29.85546875" style="2030" customWidth="1"/>
    <col min="1029" max="1029" width="29" style="2030" customWidth="1"/>
    <col min="1030" max="1030" width="27.7109375" style="2030" customWidth="1"/>
    <col min="1031" max="1031" width="22.28515625" style="2030" customWidth="1"/>
    <col min="1032" max="1032" width="28.5703125" style="2030" customWidth="1"/>
    <col min="1033" max="1033" width="23.42578125" style="2030" customWidth="1"/>
    <col min="1034" max="1034" width="25.140625" style="2030" customWidth="1"/>
    <col min="1035" max="1035" width="16.7109375" style="2030" customWidth="1"/>
    <col min="1036" max="1036" width="13.42578125" style="2030" customWidth="1"/>
    <col min="1037" max="1037" width="9.85546875" style="2030" customWidth="1"/>
    <col min="1038" max="1038" width="11.140625" style="2030" customWidth="1"/>
    <col min="1039" max="1040" width="9.7109375" style="2030" customWidth="1"/>
    <col min="1041" max="1041" width="10.140625" style="2030" customWidth="1"/>
    <col min="1042" max="1043" width="17.140625" style="2030" customWidth="1"/>
    <col min="1044" max="1280" width="8.85546875" style="2030"/>
    <col min="1281" max="1281" width="58.7109375" style="2030" customWidth="1"/>
    <col min="1282" max="1282" width="23.140625" style="2030" customWidth="1"/>
    <col min="1283" max="1283" width="17.5703125" style="2030" customWidth="1"/>
    <col min="1284" max="1284" width="29.85546875" style="2030" customWidth="1"/>
    <col min="1285" max="1285" width="29" style="2030" customWidth="1"/>
    <col min="1286" max="1286" width="27.7109375" style="2030" customWidth="1"/>
    <col min="1287" max="1287" width="22.28515625" style="2030" customWidth="1"/>
    <col min="1288" max="1288" width="28.5703125" style="2030" customWidth="1"/>
    <col min="1289" max="1289" width="23.42578125" style="2030" customWidth="1"/>
    <col min="1290" max="1290" width="25.140625" style="2030" customWidth="1"/>
    <col min="1291" max="1291" width="16.7109375" style="2030" customWidth="1"/>
    <col min="1292" max="1292" width="13.42578125" style="2030" customWidth="1"/>
    <col min="1293" max="1293" width="9.85546875" style="2030" customWidth="1"/>
    <col min="1294" max="1294" width="11.140625" style="2030" customWidth="1"/>
    <col min="1295" max="1296" width="9.7109375" style="2030" customWidth="1"/>
    <col min="1297" max="1297" width="10.140625" style="2030" customWidth="1"/>
    <col min="1298" max="1299" width="17.140625" style="2030" customWidth="1"/>
    <col min="1300" max="1536" width="8.85546875" style="2030"/>
    <col min="1537" max="1537" width="58.7109375" style="2030" customWidth="1"/>
    <col min="1538" max="1538" width="23.140625" style="2030" customWidth="1"/>
    <col min="1539" max="1539" width="17.5703125" style="2030" customWidth="1"/>
    <col min="1540" max="1540" width="29.85546875" style="2030" customWidth="1"/>
    <col min="1541" max="1541" width="29" style="2030" customWidth="1"/>
    <col min="1542" max="1542" width="27.7109375" style="2030" customWidth="1"/>
    <col min="1543" max="1543" width="22.28515625" style="2030" customWidth="1"/>
    <col min="1544" max="1544" width="28.5703125" style="2030" customWidth="1"/>
    <col min="1545" max="1545" width="23.42578125" style="2030" customWidth="1"/>
    <col min="1546" max="1546" width="25.140625" style="2030" customWidth="1"/>
    <col min="1547" max="1547" width="16.7109375" style="2030" customWidth="1"/>
    <col min="1548" max="1548" width="13.42578125" style="2030" customWidth="1"/>
    <col min="1549" max="1549" width="9.85546875" style="2030" customWidth="1"/>
    <col min="1550" max="1550" width="11.140625" style="2030" customWidth="1"/>
    <col min="1551" max="1552" width="9.7109375" style="2030" customWidth="1"/>
    <col min="1553" max="1553" width="10.140625" style="2030" customWidth="1"/>
    <col min="1554" max="1555" width="17.140625" style="2030" customWidth="1"/>
    <col min="1556" max="1792" width="8.85546875" style="2030"/>
    <col min="1793" max="1793" width="58.7109375" style="2030" customWidth="1"/>
    <col min="1794" max="1794" width="23.140625" style="2030" customWidth="1"/>
    <col min="1795" max="1795" width="17.5703125" style="2030" customWidth="1"/>
    <col min="1796" max="1796" width="29.85546875" style="2030" customWidth="1"/>
    <col min="1797" max="1797" width="29" style="2030" customWidth="1"/>
    <col min="1798" max="1798" width="27.7109375" style="2030" customWidth="1"/>
    <col min="1799" max="1799" width="22.28515625" style="2030" customWidth="1"/>
    <col min="1800" max="1800" width="28.5703125" style="2030" customWidth="1"/>
    <col min="1801" max="1801" width="23.42578125" style="2030" customWidth="1"/>
    <col min="1802" max="1802" width="25.140625" style="2030" customWidth="1"/>
    <col min="1803" max="1803" width="16.7109375" style="2030" customWidth="1"/>
    <col min="1804" max="1804" width="13.42578125" style="2030" customWidth="1"/>
    <col min="1805" max="1805" width="9.85546875" style="2030" customWidth="1"/>
    <col min="1806" max="1806" width="11.140625" style="2030" customWidth="1"/>
    <col min="1807" max="1808" width="9.7109375" style="2030" customWidth="1"/>
    <col min="1809" max="1809" width="10.140625" style="2030" customWidth="1"/>
    <col min="1810" max="1811" width="17.140625" style="2030" customWidth="1"/>
    <col min="1812" max="2048" width="8.85546875" style="2030"/>
    <col min="2049" max="2049" width="58.7109375" style="2030" customWidth="1"/>
    <col min="2050" max="2050" width="23.140625" style="2030" customWidth="1"/>
    <col min="2051" max="2051" width="17.5703125" style="2030" customWidth="1"/>
    <col min="2052" max="2052" width="29.85546875" style="2030" customWidth="1"/>
    <col min="2053" max="2053" width="29" style="2030" customWidth="1"/>
    <col min="2054" max="2054" width="27.7109375" style="2030" customWidth="1"/>
    <col min="2055" max="2055" width="22.28515625" style="2030" customWidth="1"/>
    <col min="2056" max="2056" width="28.5703125" style="2030" customWidth="1"/>
    <col min="2057" max="2057" width="23.42578125" style="2030" customWidth="1"/>
    <col min="2058" max="2058" width="25.140625" style="2030" customWidth="1"/>
    <col min="2059" max="2059" width="16.7109375" style="2030" customWidth="1"/>
    <col min="2060" max="2060" width="13.42578125" style="2030" customWidth="1"/>
    <col min="2061" max="2061" width="9.85546875" style="2030" customWidth="1"/>
    <col min="2062" max="2062" width="11.140625" style="2030" customWidth="1"/>
    <col min="2063" max="2064" width="9.7109375" style="2030" customWidth="1"/>
    <col min="2065" max="2065" width="10.140625" style="2030" customWidth="1"/>
    <col min="2066" max="2067" width="17.140625" style="2030" customWidth="1"/>
    <col min="2068" max="2304" width="8.85546875" style="2030"/>
    <col min="2305" max="2305" width="58.7109375" style="2030" customWidth="1"/>
    <col min="2306" max="2306" width="23.140625" style="2030" customWidth="1"/>
    <col min="2307" max="2307" width="17.5703125" style="2030" customWidth="1"/>
    <col min="2308" max="2308" width="29.85546875" style="2030" customWidth="1"/>
    <col min="2309" max="2309" width="29" style="2030" customWidth="1"/>
    <col min="2310" max="2310" width="27.7109375" style="2030" customWidth="1"/>
    <col min="2311" max="2311" width="22.28515625" style="2030" customWidth="1"/>
    <col min="2312" max="2312" width="28.5703125" style="2030" customWidth="1"/>
    <col min="2313" max="2313" width="23.42578125" style="2030" customWidth="1"/>
    <col min="2314" max="2314" width="25.140625" style="2030" customWidth="1"/>
    <col min="2315" max="2315" width="16.7109375" style="2030" customWidth="1"/>
    <col min="2316" max="2316" width="13.42578125" style="2030" customWidth="1"/>
    <col min="2317" max="2317" width="9.85546875" style="2030" customWidth="1"/>
    <col min="2318" max="2318" width="11.140625" style="2030" customWidth="1"/>
    <col min="2319" max="2320" width="9.7109375" style="2030" customWidth="1"/>
    <col min="2321" max="2321" width="10.140625" style="2030" customWidth="1"/>
    <col min="2322" max="2323" width="17.140625" style="2030" customWidth="1"/>
    <col min="2324" max="2560" width="8.85546875" style="2030"/>
    <col min="2561" max="2561" width="58.7109375" style="2030" customWidth="1"/>
    <col min="2562" max="2562" width="23.140625" style="2030" customWidth="1"/>
    <col min="2563" max="2563" width="17.5703125" style="2030" customWidth="1"/>
    <col min="2564" max="2564" width="29.85546875" style="2030" customWidth="1"/>
    <col min="2565" max="2565" width="29" style="2030" customWidth="1"/>
    <col min="2566" max="2566" width="27.7109375" style="2030" customWidth="1"/>
    <col min="2567" max="2567" width="22.28515625" style="2030" customWidth="1"/>
    <col min="2568" max="2568" width="28.5703125" style="2030" customWidth="1"/>
    <col min="2569" max="2569" width="23.42578125" style="2030" customWidth="1"/>
    <col min="2570" max="2570" width="25.140625" style="2030" customWidth="1"/>
    <col min="2571" max="2571" width="16.7109375" style="2030" customWidth="1"/>
    <col min="2572" max="2572" width="13.42578125" style="2030" customWidth="1"/>
    <col min="2573" max="2573" width="9.85546875" style="2030" customWidth="1"/>
    <col min="2574" max="2574" width="11.140625" style="2030" customWidth="1"/>
    <col min="2575" max="2576" width="9.7109375" style="2030" customWidth="1"/>
    <col min="2577" max="2577" width="10.140625" style="2030" customWidth="1"/>
    <col min="2578" max="2579" width="17.140625" style="2030" customWidth="1"/>
    <col min="2580" max="2816" width="8.85546875" style="2030"/>
    <col min="2817" max="2817" width="58.7109375" style="2030" customWidth="1"/>
    <col min="2818" max="2818" width="23.140625" style="2030" customWidth="1"/>
    <col min="2819" max="2819" width="17.5703125" style="2030" customWidth="1"/>
    <col min="2820" max="2820" width="29.85546875" style="2030" customWidth="1"/>
    <col min="2821" max="2821" width="29" style="2030" customWidth="1"/>
    <col min="2822" max="2822" width="27.7109375" style="2030" customWidth="1"/>
    <col min="2823" max="2823" width="22.28515625" style="2030" customWidth="1"/>
    <col min="2824" max="2824" width="28.5703125" style="2030" customWidth="1"/>
    <col min="2825" max="2825" width="23.42578125" style="2030" customWidth="1"/>
    <col min="2826" max="2826" width="25.140625" style="2030" customWidth="1"/>
    <col min="2827" max="2827" width="16.7109375" style="2030" customWidth="1"/>
    <col min="2828" max="2828" width="13.42578125" style="2030" customWidth="1"/>
    <col min="2829" max="2829" width="9.85546875" style="2030" customWidth="1"/>
    <col min="2830" max="2830" width="11.140625" style="2030" customWidth="1"/>
    <col min="2831" max="2832" width="9.7109375" style="2030" customWidth="1"/>
    <col min="2833" max="2833" width="10.140625" style="2030" customWidth="1"/>
    <col min="2834" max="2835" width="17.140625" style="2030" customWidth="1"/>
    <col min="2836" max="3072" width="8.85546875" style="2030"/>
    <col min="3073" max="3073" width="58.7109375" style="2030" customWidth="1"/>
    <col min="3074" max="3074" width="23.140625" style="2030" customWidth="1"/>
    <col min="3075" max="3075" width="17.5703125" style="2030" customWidth="1"/>
    <col min="3076" max="3076" width="29.85546875" style="2030" customWidth="1"/>
    <col min="3077" max="3077" width="29" style="2030" customWidth="1"/>
    <col min="3078" max="3078" width="27.7109375" style="2030" customWidth="1"/>
    <col min="3079" max="3079" width="22.28515625" style="2030" customWidth="1"/>
    <col min="3080" max="3080" width="28.5703125" style="2030" customWidth="1"/>
    <col min="3081" max="3081" width="23.42578125" style="2030" customWidth="1"/>
    <col min="3082" max="3082" width="25.140625" style="2030" customWidth="1"/>
    <col min="3083" max="3083" width="16.7109375" style="2030" customWidth="1"/>
    <col min="3084" max="3084" width="13.42578125" style="2030" customWidth="1"/>
    <col min="3085" max="3085" width="9.85546875" style="2030" customWidth="1"/>
    <col min="3086" max="3086" width="11.140625" style="2030" customWidth="1"/>
    <col min="3087" max="3088" width="9.7109375" style="2030" customWidth="1"/>
    <col min="3089" max="3089" width="10.140625" style="2030" customWidth="1"/>
    <col min="3090" max="3091" width="17.140625" style="2030" customWidth="1"/>
    <col min="3092" max="3328" width="8.85546875" style="2030"/>
    <col min="3329" max="3329" width="58.7109375" style="2030" customWidth="1"/>
    <col min="3330" max="3330" width="23.140625" style="2030" customWidth="1"/>
    <col min="3331" max="3331" width="17.5703125" style="2030" customWidth="1"/>
    <col min="3332" max="3332" width="29.85546875" style="2030" customWidth="1"/>
    <col min="3333" max="3333" width="29" style="2030" customWidth="1"/>
    <col min="3334" max="3334" width="27.7109375" style="2030" customWidth="1"/>
    <col min="3335" max="3335" width="22.28515625" style="2030" customWidth="1"/>
    <col min="3336" max="3336" width="28.5703125" style="2030" customWidth="1"/>
    <col min="3337" max="3337" width="23.42578125" style="2030" customWidth="1"/>
    <col min="3338" max="3338" width="25.140625" style="2030" customWidth="1"/>
    <col min="3339" max="3339" width="16.7109375" style="2030" customWidth="1"/>
    <col min="3340" max="3340" width="13.42578125" style="2030" customWidth="1"/>
    <col min="3341" max="3341" width="9.85546875" style="2030" customWidth="1"/>
    <col min="3342" max="3342" width="11.140625" style="2030" customWidth="1"/>
    <col min="3343" max="3344" width="9.7109375" style="2030" customWidth="1"/>
    <col min="3345" max="3345" width="10.140625" style="2030" customWidth="1"/>
    <col min="3346" max="3347" width="17.140625" style="2030" customWidth="1"/>
    <col min="3348" max="3584" width="8.85546875" style="2030"/>
    <col min="3585" max="3585" width="58.7109375" style="2030" customWidth="1"/>
    <col min="3586" max="3586" width="23.140625" style="2030" customWidth="1"/>
    <col min="3587" max="3587" width="17.5703125" style="2030" customWidth="1"/>
    <col min="3588" max="3588" width="29.85546875" style="2030" customWidth="1"/>
    <col min="3589" max="3589" width="29" style="2030" customWidth="1"/>
    <col min="3590" max="3590" width="27.7109375" style="2030" customWidth="1"/>
    <col min="3591" max="3591" width="22.28515625" style="2030" customWidth="1"/>
    <col min="3592" max="3592" width="28.5703125" style="2030" customWidth="1"/>
    <col min="3593" max="3593" width="23.42578125" style="2030" customWidth="1"/>
    <col min="3594" max="3594" width="25.140625" style="2030" customWidth="1"/>
    <col min="3595" max="3595" width="16.7109375" style="2030" customWidth="1"/>
    <col min="3596" max="3596" width="13.42578125" style="2030" customWidth="1"/>
    <col min="3597" max="3597" width="9.85546875" style="2030" customWidth="1"/>
    <col min="3598" max="3598" width="11.140625" style="2030" customWidth="1"/>
    <col min="3599" max="3600" width="9.7109375" style="2030" customWidth="1"/>
    <col min="3601" max="3601" width="10.140625" style="2030" customWidth="1"/>
    <col min="3602" max="3603" width="17.140625" style="2030" customWidth="1"/>
    <col min="3604" max="3840" width="8.85546875" style="2030"/>
    <col min="3841" max="3841" width="58.7109375" style="2030" customWidth="1"/>
    <col min="3842" max="3842" width="23.140625" style="2030" customWidth="1"/>
    <col min="3843" max="3843" width="17.5703125" style="2030" customWidth="1"/>
    <col min="3844" max="3844" width="29.85546875" style="2030" customWidth="1"/>
    <col min="3845" max="3845" width="29" style="2030" customWidth="1"/>
    <col min="3846" max="3846" width="27.7109375" style="2030" customWidth="1"/>
    <col min="3847" max="3847" width="22.28515625" style="2030" customWidth="1"/>
    <col min="3848" max="3848" width="28.5703125" style="2030" customWidth="1"/>
    <col min="3849" max="3849" width="23.42578125" style="2030" customWidth="1"/>
    <col min="3850" max="3850" width="25.140625" style="2030" customWidth="1"/>
    <col min="3851" max="3851" width="16.7109375" style="2030" customWidth="1"/>
    <col min="3852" max="3852" width="13.42578125" style="2030" customWidth="1"/>
    <col min="3853" max="3853" width="9.85546875" style="2030" customWidth="1"/>
    <col min="3854" max="3854" width="11.140625" style="2030" customWidth="1"/>
    <col min="3855" max="3856" width="9.7109375" style="2030" customWidth="1"/>
    <col min="3857" max="3857" width="10.140625" style="2030" customWidth="1"/>
    <col min="3858" max="3859" width="17.140625" style="2030" customWidth="1"/>
    <col min="3860" max="4096" width="8.85546875" style="2030"/>
    <col min="4097" max="4097" width="58.7109375" style="2030" customWidth="1"/>
    <col min="4098" max="4098" width="23.140625" style="2030" customWidth="1"/>
    <col min="4099" max="4099" width="17.5703125" style="2030" customWidth="1"/>
    <col min="4100" max="4100" width="29.85546875" style="2030" customWidth="1"/>
    <col min="4101" max="4101" width="29" style="2030" customWidth="1"/>
    <col min="4102" max="4102" width="27.7109375" style="2030" customWidth="1"/>
    <col min="4103" max="4103" width="22.28515625" style="2030" customWidth="1"/>
    <col min="4104" max="4104" width="28.5703125" style="2030" customWidth="1"/>
    <col min="4105" max="4105" width="23.42578125" style="2030" customWidth="1"/>
    <col min="4106" max="4106" width="25.140625" style="2030" customWidth="1"/>
    <col min="4107" max="4107" width="16.7109375" style="2030" customWidth="1"/>
    <col min="4108" max="4108" width="13.42578125" style="2030" customWidth="1"/>
    <col min="4109" max="4109" width="9.85546875" style="2030" customWidth="1"/>
    <col min="4110" max="4110" width="11.140625" style="2030" customWidth="1"/>
    <col min="4111" max="4112" width="9.7109375" style="2030" customWidth="1"/>
    <col min="4113" max="4113" width="10.140625" style="2030" customWidth="1"/>
    <col min="4114" max="4115" width="17.140625" style="2030" customWidth="1"/>
    <col min="4116" max="4352" width="8.85546875" style="2030"/>
    <col min="4353" max="4353" width="58.7109375" style="2030" customWidth="1"/>
    <col min="4354" max="4354" width="23.140625" style="2030" customWidth="1"/>
    <col min="4355" max="4355" width="17.5703125" style="2030" customWidth="1"/>
    <col min="4356" max="4356" width="29.85546875" style="2030" customWidth="1"/>
    <col min="4357" max="4357" width="29" style="2030" customWidth="1"/>
    <col min="4358" max="4358" width="27.7109375" style="2030" customWidth="1"/>
    <col min="4359" max="4359" width="22.28515625" style="2030" customWidth="1"/>
    <col min="4360" max="4360" width="28.5703125" style="2030" customWidth="1"/>
    <col min="4361" max="4361" width="23.42578125" style="2030" customWidth="1"/>
    <col min="4362" max="4362" width="25.140625" style="2030" customWidth="1"/>
    <col min="4363" max="4363" width="16.7109375" style="2030" customWidth="1"/>
    <col min="4364" max="4364" width="13.42578125" style="2030" customWidth="1"/>
    <col min="4365" max="4365" width="9.85546875" style="2030" customWidth="1"/>
    <col min="4366" max="4366" width="11.140625" style="2030" customWidth="1"/>
    <col min="4367" max="4368" width="9.7109375" style="2030" customWidth="1"/>
    <col min="4369" max="4369" width="10.140625" style="2030" customWidth="1"/>
    <col min="4370" max="4371" width="17.140625" style="2030" customWidth="1"/>
    <col min="4372" max="4608" width="8.85546875" style="2030"/>
    <col min="4609" max="4609" width="58.7109375" style="2030" customWidth="1"/>
    <col min="4610" max="4610" width="23.140625" style="2030" customWidth="1"/>
    <col min="4611" max="4611" width="17.5703125" style="2030" customWidth="1"/>
    <col min="4612" max="4612" width="29.85546875" style="2030" customWidth="1"/>
    <col min="4613" max="4613" width="29" style="2030" customWidth="1"/>
    <col min="4614" max="4614" width="27.7109375" style="2030" customWidth="1"/>
    <col min="4615" max="4615" width="22.28515625" style="2030" customWidth="1"/>
    <col min="4616" max="4616" width="28.5703125" style="2030" customWidth="1"/>
    <col min="4617" max="4617" width="23.42578125" style="2030" customWidth="1"/>
    <col min="4618" max="4618" width="25.140625" style="2030" customWidth="1"/>
    <col min="4619" max="4619" width="16.7109375" style="2030" customWidth="1"/>
    <col min="4620" max="4620" width="13.42578125" style="2030" customWidth="1"/>
    <col min="4621" max="4621" width="9.85546875" style="2030" customWidth="1"/>
    <col min="4622" max="4622" width="11.140625" style="2030" customWidth="1"/>
    <col min="4623" max="4624" width="9.7109375" style="2030" customWidth="1"/>
    <col min="4625" max="4625" width="10.140625" style="2030" customWidth="1"/>
    <col min="4626" max="4627" width="17.140625" style="2030" customWidth="1"/>
    <col min="4628" max="4864" width="8.85546875" style="2030"/>
    <col min="4865" max="4865" width="58.7109375" style="2030" customWidth="1"/>
    <col min="4866" max="4866" width="23.140625" style="2030" customWidth="1"/>
    <col min="4867" max="4867" width="17.5703125" style="2030" customWidth="1"/>
    <col min="4868" max="4868" width="29.85546875" style="2030" customWidth="1"/>
    <col min="4869" max="4869" width="29" style="2030" customWidth="1"/>
    <col min="4870" max="4870" width="27.7109375" style="2030" customWidth="1"/>
    <col min="4871" max="4871" width="22.28515625" style="2030" customWidth="1"/>
    <col min="4872" max="4872" width="28.5703125" style="2030" customWidth="1"/>
    <col min="4873" max="4873" width="23.42578125" style="2030" customWidth="1"/>
    <col min="4874" max="4874" width="25.140625" style="2030" customWidth="1"/>
    <col min="4875" max="4875" width="16.7109375" style="2030" customWidth="1"/>
    <col min="4876" max="4876" width="13.42578125" style="2030" customWidth="1"/>
    <col min="4877" max="4877" width="9.85546875" style="2030" customWidth="1"/>
    <col min="4878" max="4878" width="11.140625" style="2030" customWidth="1"/>
    <col min="4879" max="4880" width="9.7109375" style="2030" customWidth="1"/>
    <col min="4881" max="4881" width="10.140625" style="2030" customWidth="1"/>
    <col min="4882" max="4883" width="17.140625" style="2030" customWidth="1"/>
    <col min="4884" max="5120" width="8.85546875" style="2030"/>
    <col min="5121" max="5121" width="58.7109375" style="2030" customWidth="1"/>
    <col min="5122" max="5122" width="23.140625" style="2030" customWidth="1"/>
    <col min="5123" max="5123" width="17.5703125" style="2030" customWidth="1"/>
    <col min="5124" max="5124" width="29.85546875" style="2030" customWidth="1"/>
    <col min="5125" max="5125" width="29" style="2030" customWidth="1"/>
    <col min="5126" max="5126" width="27.7109375" style="2030" customWidth="1"/>
    <col min="5127" max="5127" width="22.28515625" style="2030" customWidth="1"/>
    <col min="5128" max="5128" width="28.5703125" style="2030" customWidth="1"/>
    <col min="5129" max="5129" width="23.42578125" style="2030" customWidth="1"/>
    <col min="5130" max="5130" width="25.140625" style="2030" customWidth="1"/>
    <col min="5131" max="5131" width="16.7109375" style="2030" customWidth="1"/>
    <col min="5132" max="5132" width="13.42578125" style="2030" customWidth="1"/>
    <col min="5133" max="5133" width="9.85546875" style="2030" customWidth="1"/>
    <col min="5134" max="5134" width="11.140625" style="2030" customWidth="1"/>
    <col min="5135" max="5136" width="9.7109375" style="2030" customWidth="1"/>
    <col min="5137" max="5137" width="10.140625" style="2030" customWidth="1"/>
    <col min="5138" max="5139" width="17.140625" style="2030" customWidth="1"/>
    <col min="5140" max="5376" width="8.85546875" style="2030"/>
    <col min="5377" max="5377" width="58.7109375" style="2030" customWidth="1"/>
    <col min="5378" max="5378" width="23.140625" style="2030" customWidth="1"/>
    <col min="5379" max="5379" width="17.5703125" style="2030" customWidth="1"/>
    <col min="5380" max="5380" width="29.85546875" style="2030" customWidth="1"/>
    <col min="5381" max="5381" width="29" style="2030" customWidth="1"/>
    <col min="5382" max="5382" width="27.7109375" style="2030" customWidth="1"/>
    <col min="5383" max="5383" width="22.28515625" style="2030" customWidth="1"/>
    <col min="5384" max="5384" width="28.5703125" style="2030" customWidth="1"/>
    <col min="5385" max="5385" width="23.42578125" style="2030" customWidth="1"/>
    <col min="5386" max="5386" width="25.140625" style="2030" customWidth="1"/>
    <col min="5387" max="5387" width="16.7109375" style="2030" customWidth="1"/>
    <col min="5388" max="5388" width="13.42578125" style="2030" customWidth="1"/>
    <col min="5389" max="5389" width="9.85546875" style="2030" customWidth="1"/>
    <col min="5390" max="5390" width="11.140625" style="2030" customWidth="1"/>
    <col min="5391" max="5392" width="9.7109375" style="2030" customWidth="1"/>
    <col min="5393" max="5393" width="10.140625" style="2030" customWidth="1"/>
    <col min="5394" max="5395" width="17.140625" style="2030" customWidth="1"/>
    <col min="5396" max="5632" width="8.85546875" style="2030"/>
    <col min="5633" max="5633" width="58.7109375" style="2030" customWidth="1"/>
    <col min="5634" max="5634" width="23.140625" style="2030" customWidth="1"/>
    <col min="5635" max="5635" width="17.5703125" style="2030" customWidth="1"/>
    <col min="5636" max="5636" width="29.85546875" style="2030" customWidth="1"/>
    <col min="5637" max="5637" width="29" style="2030" customWidth="1"/>
    <col min="5638" max="5638" width="27.7109375" style="2030" customWidth="1"/>
    <col min="5639" max="5639" width="22.28515625" style="2030" customWidth="1"/>
    <col min="5640" max="5640" width="28.5703125" style="2030" customWidth="1"/>
    <col min="5641" max="5641" width="23.42578125" style="2030" customWidth="1"/>
    <col min="5642" max="5642" width="25.140625" style="2030" customWidth="1"/>
    <col min="5643" max="5643" width="16.7109375" style="2030" customWidth="1"/>
    <col min="5644" max="5644" width="13.42578125" style="2030" customWidth="1"/>
    <col min="5645" max="5645" width="9.85546875" style="2030" customWidth="1"/>
    <col min="5646" max="5646" width="11.140625" style="2030" customWidth="1"/>
    <col min="5647" max="5648" width="9.7109375" style="2030" customWidth="1"/>
    <col min="5649" max="5649" width="10.140625" style="2030" customWidth="1"/>
    <col min="5650" max="5651" width="17.140625" style="2030" customWidth="1"/>
    <col min="5652" max="5888" width="8.85546875" style="2030"/>
    <col min="5889" max="5889" width="58.7109375" style="2030" customWidth="1"/>
    <col min="5890" max="5890" width="23.140625" style="2030" customWidth="1"/>
    <col min="5891" max="5891" width="17.5703125" style="2030" customWidth="1"/>
    <col min="5892" max="5892" width="29.85546875" style="2030" customWidth="1"/>
    <col min="5893" max="5893" width="29" style="2030" customWidth="1"/>
    <col min="5894" max="5894" width="27.7109375" style="2030" customWidth="1"/>
    <col min="5895" max="5895" width="22.28515625" style="2030" customWidth="1"/>
    <col min="5896" max="5896" width="28.5703125" style="2030" customWidth="1"/>
    <col min="5897" max="5897" width="23.42578125" style="2030" customWidth="1"/>
    <col min="5898" max="5898" width="25.140625" style="2030" customWidth="1"/>
    <col min="5899" max="5899" width="16.7109375" style="2030" customWidth="1"/>
    <col min="5900" max="5900" width="13.42578125" style="2030" customWidth="1"/>
    <col min="5901" max="5901" width="9.85546875" style="2030" customWidth="1"/>
    <col min="5902" max="5902" width="11.140625" style="2030" customWidth="1"/>
    <col min="5903" max="5904" width="9.7109375" style="2030" customWidth="1"/>
    <col min="5905" max="5905" width="10.140625" style="2030" customWidth="1"/>
    <col min="5906" max="5907" width="17.140625" style="2030" customWidth="1"/>
    <col min="5908" max="6144" width="8.85546875" style="2030"/>
    <col min="6145" max="6145" width="58.7109375" style="2030" customWidth="1"/>
    <col min="6146" max="6146" width="23.140625" style="2030" customWidth="1"/>
    <col min="6147" max="6147" width="17.5703125" style="2030" customWidth="1"/>
    <col min="6148" max="6148" width="29.85546875" style="2030" customWidth="1"/>
    <col min="6149" max="6149" width="29" style="2030" customWidth="1"/>
    <col min="6150" max="6150" width="27.7109375" style="2030" customWidth="1"/>
    <col min="6151" max="6151" width="22.28515625" style="2030" customWidth="1"/>
    <col min="6152" max="6152" width="28.5703125" style="2030" customWidth="1"/>
    <col min="6153" max="6153" width="23.42578125" style="2030" customWidth="1"/>
    <col min="6154" max="6154" width="25.140625" style="2030" customWidth="1"/>
    <col min="6155" max="6155" width="16.7109375" style="2030" customWidth="1"/>
    <col min="6156" max="6156" width="13.42578125" style="2030" customWidth="1"/>
    <col min="6157" max="6157" width="9.85546875" style="2030" customWidth="1"/>
    <col min="6158" max="6158" width="11.140625" style="2030" customWidth="1"/>
    <col min="6159" max="6160" width="9.7109375" style="2030" customWidth="1"/>
    <col min="6161" max="6161" width="10.140625" style="2030" customWidth="1"/>
    <col min="6162" max="6163" width="17.140625" style="2030" customWidth="1"/>
    <col min="6164" max="6400" width="8.85546875" style="2030"/>
    <col min="6401" max="6401" width="58.7109375" style="2030" customWidth="1"/>
    <col min="6402" max="6402" width="23.140625" style="2030" customWidth="1"/>
    <col min="6403" max="6403" width="17.5703125" style="2030" customWidth="1"/>
    <col min="6404" max="6404" width="29.85546875" style="2030" customWidth="1"/>
    <col min="6405" max="6405" width="29" style="2030" customWidth="1"/>
    <col min="6406" max="6406" width="27.7109375" style="2030" customWidth="1"/>
    <col min="6407" max="6407" width="22.28515625" style="2030" customWidth="1"/>
    <col min="6408" max="6408" width="28.5703125" style="2030" customWidth="1"/>
    <col min="6409" max="6409" width="23.42578125" style="2030" customWidth="1"/>
    <col min="6410" max="6410" width="25.140625" style="2030" customWidth="1"/>
    <col min="6411" max="6411" width="16.7109375" style="2030" customWidth="1"/>
    <col min="6412" max="6412" width="13.42578125" style="2030" customWidth="1"/>
    <col min="6413" max="6413" width="9.85546875" style="2030" customWidth="1"/>
    <col min="6414" max="6414" width="11.140625" style="2030" customWidth="1"/>
    <col min="6415" max="6416" width="9.7109375" style="2030" customWidth="1"/>
    <col min="6417" max="6417" width="10.140625" style="2030" customWidth="1"/>
    <col min="6418" max="6419" width="17.140625" style="2030" customWidth="1"/>
    <col min="6420" max="6656" width="8.85546875" style="2030"/>
    <col min="6657" max="6657" width="58.7109375" style="2030" customWidth="1"/>
    <col min="6658" max="6658" width="23.140625" style="2030" customWidth="1"/>
    <col min="6659" max="6659" width="17.5703125" style="2030" customWidth="1"/>
    <col min="6660" max="6660" width="29.85546875" style="2030" customWidth="1"/>
    <col min="6661" max="6661" width="29" style="2030" customWidth="1"/>
    <col min="6662" max="6662" width="27.7109375" style="2030" customWidth="1"/>
    <col min="6663" max="6663" width="22.28515625" style="2030" customWidth="1"/>
    <col min="6664" max="6664" width="28.5703125" style="2030" customWidth="1"/>
    <col min="6665" max="6665" width="23.42578125" style="2030" customWidth="1"/>
    <col min="6666" max="6666" width="25.140625" style="2030" customWidth="1"/>
    <col min="6667" max="6667" width="16.7109375" style="2030" customWidth="1"/>
    <col min="6668" max="6668" width="13.42578125" style="2030" customWidth="1"/>
    <col min="6669" max="6669" width="9.85546875" style="2030" customWidth="1"/>
    <col min="6670" max="6670" width="11.140625" style="2030" customWidth="1"/>
    <col min="6671" max="6672" width="9.7109375" style="2030" customWidth="1"/>
    <col min="6673" max="6673" width="10.140625" style="2030" customWidth="1"/>
    <col min="6674" max="6675" width="17.140625" style="2030" customWidth="1"/>
    <col min="6676" max="6912" width="8.85546875" style="2030"/>
    <col min="6913" max="6913" width="58.7109375" style="2030" customWidth="1"/>
    <col min="6914" max="6914" width="23.140625" style="2030" customWidth="1"/>
    <col min="6915" max="6915" width="17.5703125" style="2030" customWidth="1"/>
    <col min="6916" max="6916" width="29.85546875" style="2030" customWidth="1"/>
    <col min="6917" max="6917" width="29" style="2030" customWidth="1"/>
    <col min="6918" max="6918" width="27.7109375" style="2030" customWidth="1"/>
    <col min="6919" max="6919" width="22.28515625" style="2030" customWidth="1"/>
    <col min="6920" max="6920" width="28.5703125" style="2030" customWidth="1"/>
    <col min="6921" max="6921" width="23.42578125" style="2030" customWidth="1"/>
    <col min="6922" max="6922" width="25.140625" style="2030" customWidth="1"/>
    <col min="6923" max="6923" width="16.7109375" style="2030" customWidth="1"/>
    <col min="6924" max="6924" width="13.42578125" style="2030" customWidth="1"/>
    <col min="6925" max="6925" width="9.85546875" style="2030" customWidth="1"/>
    <col min="6926" max="6926" width="11.140625" style="2030" customWidth="1"/>
    <col min="6927" max="6928" width="9.7109375" style="2030" customWidth="1"/>
    <col min="6929" max="6929" width="10.140625" style="2030" customWidth="1"/>
    <col min="6930" max="6931" width="17.140625" style="2030" customWidth="1"/>
    <col min="6932" max="7168" width="8.85546875" style="2030"/>
    <col min="7169" max="7169" width="58.7109375" style="2030" customWidth="1"/>
    <col min="7170" max="7170" width="23.140625" style="2030" customWidth="1"/>
    <col min="7171" max="7171" width="17.5703125" style="2030" customWidth="1"/>
    <col min="7172" max="7172" width="29.85546875" style="2030" customWidth="1"/>
    <col min="7173" max="7173" width="29" style="2030" customWidth="1"/>
    <col min="7174" max="7174" width="27.7109375" style="2030" customWidth="1"/>
    <col min="7175" max="7175" width="22.28515625" style="2030" customWidth="1"/>
    <col min="7176" max="7176" width="28.5703125" style="2030" customWidth="1"/>
    <col min="7177" max="7177" width="23.42578125" style="2030" customWidth="1"/>
    <col min="7178" max="7178" width="25.140625" style="2030" customWidth="1"/>
    <col min="7179" max="7179" width="16.7109375" style="2030" customWidth="1"/>
    <col min="7180" max="7180" width="13.42578125" style="2030" customWidth="1"/>
    <col min="7181" max="7181" width="9.85546875" style="2030" customWidth="1"/>
    <col min="7182" max="7182" width="11.140625" style="2030" customWidth="1"/>
    <col min="7183" max="7184" width="9.7109375" style="2030" customWidth="1"/>
    <col min="7185" max="7185" width="10.140625" style="2030" customWidth="1"/>
    <col min="7186" max="7187" width="17.140625" style="2030" customWidth="1"/>
    <col min="7188" max="7424" width="8.85546875" style="2030"/>
    <col min="7425" max="7425" width="58.7109375" style="2030" customWidth="1"/>
    <col min="7426" max="7426" width="23.140625" style="2030" customWidth="1"/>
    <col min="7427" max="7427" width="17.5703125" style="2030" customWidth="1"/>
    <col min="7428" max="7428" width="29.85546875" style="2030" customWidth="1"/>
    <col min="7429" max="7429" width="29" style="2030" customWidth="1"/>
    <col min="7430" max="7430" width="27.7109375" style="2030" customWidth="1"/>
    <col min="7431" max="7431" width="22.28515625" style="2030" customWidth="1"/>
    <col min="7432" max="7432" width="28.5703125" style="2030" customWidth="1"/>
    <col min="7433" max="7433" width="23.42578125" style="2030" customWidth="1"/>
    <col min="7434" max="7434" width="25.140625" style="2030" customWidth="1"/>
    <col min="7435" max="7435" width="16.7109375" style="2030" customWidth="1"/>
    <col min="7436" max="7436" width="13.42578125" style="2030" customWidth="1"/>
    <col min="7437" max="7437" width="9.85546875" style="2030" customWidth="1"/>
    <col min="7438" max="7438" width="11.140625" style="2030" customWidth="1"/>
    <col min="7439" max="7440" width="9.7109375" style="2030" customWidth="1"/>
    <col min="7441" max="7441" width="10.140625" style="2030" customWidth="1"/>
    <col min="7442" max="7443" width="17.140625" style="2030" customWidth="1"/>
    <col min="7444" max="7680" width="8.85546875" style="2030"/>
    <col min="7681" max="7681" width="58.7109375" style="2030" customWidth="1"/>
    <col min="7682" max="7682" width="23.140625" style="2030" customWidth="1"/>
    <col min="7683" max="7683" width="17.5703125" style="2030" customWidth="1"/>
    <col min="7684" max="7684" width="29.85546875" style="2030" customWidth="1"/>
    <col min="7685" max="7685" width="29" style="2030" customWidth="1"/>
    <col min="7686" max="7686" width="27.7109375" style="2030" customWidth="1"/>
    <col min="7687" max="7687" width="22.28515625" style="2030" customWidth="1"/>
    <col min="7688" max="7688" width="28.5703125" style="2030" customWidth="1"/>
    <col min="7689" max="7689" width="23.42578125" style="2030" customWidth="1"/>
    <col min="7690" max="7690" width="25.140625" style="2030" customWidth="1"/>
    <col min="7691" max="7691" width="16.7109375" style="2030" customWidth="1"/>
    <col min="7692" max="7692" width="13.42578125" style="2030" customWidth="1"/>
    <col min="7693" max="7693" width="9.85546875" style="2030" customWidth="1"/>
    <col min="7694" max="7694" width="11.140625" style="2030" customWidth="1"/>
    <col min="7695" max="7696" width="9.7109375" style="2030" customWidth="1"/>
    <col min="7697" max="7697" width="10.140625" style="2030" customWidth="1"/>
    <col min="7698" max="7699" width="17.140625" style="2030" customWidth="1"/>
    <col min="7700" max="7936" width="8.85546875" style="2030"/>
    <col min="7937" max="7937" width="58.7109375" style="2030" customWidth="1"/>
    <col min="7938" max="7938" width="23.140625" style="2030" customWidth="1"/>
    <col min="7939" max="7939" width="17.5703125" style="2030" customWidth="1"/>
    <col min="7940" max="7940" width="29.85546875" style="2030" customWidth="1"/>
    <col min="7941" max="7941" width="29" style="2030" customWidth="1"/>
    <col min="7942" max="7942" width="27.7109375" style="2030" customWidth="1"/>
    <col min="7943" max="7943" width="22.28515625" style="2030" customWidth="1"/>
    <col min="7944" max="7944" width="28.5703125" style="2030" customWidth="1"/>
    <col min="7945" max="7945" width="23.42578125" style="2030" customWidth="1"/>
    <col min="7946" max="7946" width="25.140625" style="2030" customWidth="1"/>
    <col min="7947" max="7947" width="16.7109375" style="2030" customWidth="1"/>
    <col min="7948" max="7948" width="13.42578125" style="2030" customWidth="1"/>
    <col min="7949" max="7949" width="9.85546875" style="2030" customWidth="1"/>
    <col min="7950" max="7950" width="11.140625" style="2030" customWidth="1"/>
    <col min="7951" max="7952" width="9.7109375" style="2030" customWidth="1"/>
    <col min="7953" max="7953" width="10.140625" style="2030" customWidth="1"/>
    <col min="7954" max="7955" width="17.140625" style="2030" customWidth="1"/>
    <col min="7956" max="8192" width="8.85546875" style="2030"/>
    <col min="8193" max="8193" width="58.7109375" style="2030" customWidth="1"/>
    <col min="8194" max="8194" width="23.140625" style="2030" customWidth="1"/>
    <col min="8195" max="8195" width="17.5703125" style="2030" customWidth="1"/>
    <col min="8196" max="8196" width="29.85546875" style="2030" customWidth="1"/>
    <col min="8197" max="8197" width="29" style="2030" customWidth="1"/>
    <col min="8198" max="8198" width="27.7109375" style="2030" customWidth="1"/>
    <col min="8199" max="8199" width="22.28515625" style="2030" customWidth="1"/>
    <col min="8200" max="8200" width="28.5703125" style="2030" customWidth="1"/>
    <col min="8201" max="8201" width="23.42578125" style="2030" customWidth="1"/>
    <col min="8202" max="8202" width="25.140625" style="2030" customWidth="1"/>
    <col min="8203" max="8203" width="16.7109375" style="2030" customWidth="1"/>
    <col min="8204" max="8204" width="13.42578125" style="2030" customWidth="1"/>
    <col min="8205" max="8205" width="9.85546875" style="2030" customWidth="1"/>
    <col min="8206" max="8206" width="11.140625" style="2030" customWidth="1"/>
    <col min="8207" max="8208" width="9.7109375" style="2030" customWidth="1"/>
    <col min="8209" max="8209" width="10.140625" style="2030" customWidth="1"/>
    <col min="8210" max="8211" width="17.140625" style="2030" customWidth="1"/>
    <col min="8212" max="8448" width="8.85546875" style="2030"/>
    <col min="8449" max="8449" width="58.7109375" style="2030" customWidth="1"/>
    <col min="8450" max="8450" width="23.140625" style="2030" customWidth="1"/>
    <col min="8451" max="8451" width="17.5703125" style="2030" customWidth="1"/>
    <col min="8452" max="8452" width="29.85546875" style="2030" customWidth="1"/>
    <col min="8453" max="8453" width="29" style="2030" customWidth="1"/>
    <col min="8454" max="8454" width="27.7109375" style="2030" customWidth="1"/>
    <col min="8455" max="8455" width="22.28515625" style="2030" customWidth="1"/>
    <col min="8456" max="8456" width="28.5703125" style="2030" customWidth="1"/>
    <col min="8457" max="8457" width="23.42578125" style="2030" customWidth="1"/>
    <col min="8458" max="8458" width="25.140625" style="2030" customWidth="1"/>
    <col min="8459" max="8459" width="16.7109375" style="2030" customWidth="1"/>
    <col min="8460" max="8460" width="13.42578125" style="2030" customWidth="1"/>
    <col min="8461" max="8461" width="9.85546875" style="2030" customWidth="1"/>
    <col min="8462" max="8462" width="11.140625" style="2030" customWidth="1"/>
    <col min="8463" max="8464" width="9.7109375" style="2030" customWidth="1"/>
    <col min="8465" max="8465" width="10.140625" style="2030" customWidth="1"/>
    <col min="8466" max="8467" width="17.140625" style="2030" customWidth="1"/>
    <col min="8468" max="8704" width="8.85546875" style="2030"/>
    <col min="8705" max="8705" width="58.7109375" style="2030" customWidth="1"/>
    <col min="8706" max="8706" width="23.140625" style="2030" customWidth="1"/>
    <col min="8707" max="8707" width="17.5703125" style="2030" customWidth="1"/>
    <col min="8708" max="8708" width="29.85546875" style="2030" customWidth="1"/>
    <col min="8709" max="8709" width="29" style="2030" customWidth="1"/>
    <col min="8710" max="8710" width="27.7109375" style="2030" customWidth="1"/>
    <col min="8711" max="8711" width="22.28515625" style="2030" customWidth="1"/>
    <col min="8712" max="8712" width="28.5703125" style="2030" customWidth="1"/>
    <col min="8713" max="8713" width="23.42578125" style="2030" customWidth="1"/>
    <col min="8714" max="8714" width="25.140625" style="2030" customWidth="1"/>
    <col min="8715" max="8715" width="16.7109375" style="2030" customWidth="1"/>
    <col min="8716" max="8716" width="13.42578125" style="2030" customWidth="1"/>
    <col min="8717" max="8717" width="9.85546875" style="2030" customWidth="1"/>
    <col min="8718" max="8718" width="11.140625" style="2030" customWidth="1"/>
    <col min="8719" max="8720" width="9.7109375" style="2030" customWidth="1"/>
    <col min="8721" max="8721" width="10.140625" style="2030" customWidth="1"/>
    <col min="8722" max="8723" width="17.140625" style="2030" customWidth="1"/>
    <col min="8724" max="8960" width="8.85546875" style="2030"/>
    <col min="8961" max="8961" width="58.7109375" style="2030" customWidth="1"/>
    <col min="8962" max="8962" width="23.140625" style="2030" customWidth="1"/>
    <col min="8963" max="8963" width="17.5703125" style="2030" customWidth="1"/>
    <col min="8964" max="8964" width="29.85546875" style="2030" customWidth="1"/>
    <col min="8965" max="8965" width="29" style="2030" customWidth="1"/>
    <col min="8966" max="8966" width="27.7109375" style="2030" customWidth="1"/>
    <col min="8967" max="8967" width="22.28515625" style="2030" customWidth="1"/>
    <col min="8968" max="8968" width="28.5703125" style="2030" customWidth="1"/>
    <col min="8969" max="8969" width="23.42578125" style="2030" customWidth="1"/>
    <col min="8970" max="8970" width="25.140625" style="2030" customWidth="1"/>
    <col min="8971" max="8971" width="16.7109375" style="2030" customWidth="1"/>
    <col min="8972" max="8972" width="13.42578125" style="2030" customWidth="1"/>
    <col min="8973" max="8973" width="9.85546875" style="2030" customWidth="1"/>
    <col min="8974" max="8974" width="11.140625" style="2030" customWidth="1"/>
    <col min="8975" max="8976" width="9.7109375" style="2030" customWidth="1"/>
    <col min="8977" max="8977" width="10.140625" style="2030" customWidth="1"/>
    <col min="8978" max="8979" width="17.140625" style="2030" customWidth="1"/>
    <col min="8980" max="9216" width="8.85546875" style="2030"/>
    <col min="9217" max="9217" width="58.7109375" style="2030" customWidth="1"/>
    <col min="9218" max="9218" width="23.140625" style="2030" customWidth="1"/>
    <col min="9219" max="9219" width="17.5703125" style="2030" customWidth="1"/>
    <col min="9220" max="9220" width="29.85546875" style="2030" customWidth="1"/>
    <col min="9221" max="9221" width="29" style="2030" customWidth="1"/>
    <col min="9222" max="9222" width="27.7109375" style="2030" customWidth="1"/>
    <col min="9223" max="9223" width="22.28515625" style="2030" customWidth="1"/>
    <col min="9224" max="9224" width="28.5703125" style="2030" customWidth="1"/>
    <col min="9225" max="9225" width="23.42578125" style="2030" customWidth="1"/>
    <col min="9226" max="9226" width="25.140625" style="2030" customWidth="1"/>
    <col min="9227" max="9227" width="16.7109375" style="2030" customWidth="1"/>
    <col min="9228" max="9228" width="13.42578125" style="2030" customWidth="1"/>
    <col min="9229" max="9229" width="9.85546875" style="2030" customWidth="1"/>
    <col min="9230" max="9230" width="11.140625" style="2030" customWidth="1"/>
    <col min="9231" max="9232" width="9.7109375" style="2030" customWidth="1"/>
    <col min="9233" max="9233" width="10.140625" style="2030" customWidth="1"/>
    <col min="9234" max="9235" width="17.140625" style="2030" customWidth="1"/>
    <col min="9236" max="9472" width="8.85546875" style="2030"/>
    <col min="9473" max="9473" width="58.7109375" style="2030" customWidth="1"/>
    <col min="9474" max="9474" width="23.140625" style="2030" customWidth="1"/>
    <col min="9475" max="9475" width="17.5703125" style="2030" customWidth="1"/>
    <col min="9476" max="9476" width="29.85546875" style="2030" customWidth="1"/>
    <col min="9477" max="9477" width="29" style="2030" customWidth="1"/>
    <col min="9478" max="9478" width="27.7109375" style="2030" customWidth="1"/>
    <col min="9479" max="9479" width="22.28515625" style="2030" customWidth="1"/>
    <col min="9480" max="9480" width="28.5703125" style="2030" customWidth="1"/>
    <col min="9481" max="9481" width="23.42578125" style="2030" customWidth="1"/>
    <col min="9482" max="9482" width="25.140625" style="2030" customWidth="1"/>
    <col min="9483" max="9483" width="16.7109375" style="2030" customWidth="1"/>
    <col min="9484" max="9484" width="13.42578125" style="2030" customWidth="1"/>
    <col min="9485" max="9485" width="9.85546875" style="2030" customWidth="1"/>
    <col min="9486" max="9486" width="11.140625" style="2030" customWidth="1"/>
    <col min="9487" max="9488" width="9.7109375" style="2030" customWidth="1"/>
    <col min="9489" max="9489" width="10.140625" style="2030" customWidth="1"/>
    <col min="9490" max="9491" width="17.140625" style="2030" customWidth="1"/>
    <col min="9492" max="9728" width="8.85546875" style="2030"/>
    <col min="9729" max="9729" width="58.7109375" style="2030" customWidth="1"/>
    <col min="9730" max="9730" width="23.140625" style="2030" customWidth="1"/>
    <col min="9731" max="9731" width="17.5703125" style="2030" customWidth="1"/>
    <col min="9732" max="9732" width="29.85546875" style="2030" customWidth="1"/>
    <col min="9733" max="9733" width="29" style="2030" customWidth="1"/>
    <col min="9734" max="9734" width="27.7109375" style="2030" customWidth="1"/>
    <col min="9735" max="9735" width="22.28515625" style="2030" customWidth="1"/>
    <col min="9736" max="9736" width="28.5703125" style="2030" customWidth="1"/>
    <col min="9737" max="9737" width="23.42578125" style="2030" customWidth="1"/>
    <col min="9738" max="9738" width="25.140625" style="2030" customWidth="1"/>
    <col min="9739" max="9739" width="16.7109375" style="2030" customWidth="1"/>
    <col min="9740" max="9740" width="13.42578125" style="2030" customWidth="1"/>
    <col min="9741" max="9741" width="9.85546875" style="2030" customWidth="1"/>
    <col min="9742" max="9742" width="11.140625" style="2030" customWidth="1"/>
    <col min="9743" max="9744" width="9.7109375" style="2030" customWidth="1"/>
    <col min="9745" max="9745" width="10.140625" style="2030" customWidth="1"/>
    <col min="9746" max="9747" width="17.140625" style="2030" customWidth="1"/>
    <col min="9748" max="9984" width="8.85546875" style="2030"/>
    <col min="9985" max="9985" width="58.7109375" style="2030" customWidth="1"/>
    <col min="9986" max="9986" width="23.140625" style="2030" customWidth="1"/>
    <col min="9987" max="9987" width="17.5703125" style="2030" customWidth="1"/>
    <col min="9988" max="9988" width="29.85546875" style="2030" customWidth="1"/>
    <col min="9989" max="9989" width="29" style="2030" customWidth="1"/>
    <col min="9990" max="9990" width="27.7109375" style="2030" customWidth="1"/>
    <col min="9991" max="9991" width="22.28515625" style="2030" customWidth="1"/>
    <col min="9992" max="9992" width="28.5703125" style="2030" customWidth="1"/>
    <col min="9993" max="9993" width="23.42578125" style="2030" customWidth="1"/>
    <col min="9994" max="9994" width="25.140625" style="2030" customWidth="1"/>
    <col min="9995" max="9995" width="16.7109375" style="2030" customWidth="1"/>
    <col min="9996" max="9996" width="13.42578125" style="2030" customWidth="1"/>
    <col min="9997" max="9997" width="9.85546875" style="2030" customWidth="1"/>
    <col min="9998" max="9998" width="11.140625" style="2030" customWidth="1"/>
    <col min="9999" max="10000" width="9.7109375" style="2030" customWidth="1"/>
    <col min="10001" max="10001" width="10.140625" style="2030" customWidth="1"/>
    <col min="10002" max="10003" width="17.140625" style="2030" customWidth="1"/>
    <col min="10004" max="10240" width="8.85546875" style="2030"/>
    <col min="10241" max="10241" width="58.7109375" style="2030" customWidth="1"/>
    <col min="10242" max="10242" width="23.140625" style="2030" customWidth="1"/>
    <col min="10243" max="10243" width="17.5703125" style="2030" customWidth="1"/>
    <col min="10244" max="10244" width="29.85546875" style="2030" customWidth="1"/>
    <col min="10245" max="10245" width="29" style="2030" customWidth="1"/>
    <col min="10246" max="10246" width="27.7109375" style="2030" customWidth="1"/>
    <col min="10247" max="10247" width="22.28515625" style="2030" customWidth="1"/>
    <col min="10248" max="10248" width="28.5703125" style="2030" customWidth="1"/>
    <col min="10249" max="10249" width="23.42578125" style="2030" customWidth="1"/>
    <col min="10250" max="10250" width="25.140625" style="2030" customWidth="1"/>
    <col min="10251" max="10251" width="16.7109375" style="2030" customWidth="1"/>
    <col min="10252" max="10252" width="13.42578125" style="2030" customWidth="1"/>
    <col min="10253" max="10253" width="9.85546875" style="2030" customWidth="1"/>
    <col min="10254" max="10254" width="11.140625" style="2030" customWidth="1"/>
    <col min="10255" max="10256" width="9.7109375" style="2030" customWidth="1"/>
    <col min="10257" max="10257" width="10.140625" style="2030" customWidth="1"/>
    <col min="10258" max="10259" width="17.140625" style="2030" customWidth="1"/>
    <col min="10260" max="10496" width="8.85546875" style="2030"/>
    <col min="10497" max="10497" width="58.7109375" style="2030" customWidth="1"/>
    <col min="10498" max="10498" width="23.140625" style="2030" customWidth="1"/>
    <col min="10499" max="10499" width="17.5703125" style="2030" customWidth="1"/>
    <col min="10500" max="10500" width="29.85546875" style="2030" customWidth="1"/>
    <col min="10501" max="10501" width="29" style="2030" customWidth="1"/>
    <col min="10502" max="10502" width="27.7109375" style="2030" customWidth="1"/>
    <col min="10503" max="10503" width="22.28515625" style="2030" customWidth="1"/>
    <col min="10504" max="10504" width="28.5703125" style="2030" customWidth="1"/>
    <col min="10505" max="10505" width="23.42578125" style="2030" customWidth="1"/>
    <col min="10506" max="10506" width="25.140625" style="2030" customWidth="1"/>
    <col min="10507" max="10507" width="16.7109375" style="2030" customWidth="1"/>
    <col min="10508" max="10508" width="13.42578125" style="2030" customWidth="1"/>
    <col min="10509" max="10509" width="9.85546875" style="2030" customWidth="1"/>
    <col min="10510" max="10510" width="11.140625" style="2030" customWidth="1"/>
    <col min="10511" max="10512" width="9.7109375" style="2030" customWidth="1"/>
    <col min="10513" max="10513" width="10.140625" style="2030" customWidth="1"/>
    <col min="10514" max="10515" width="17.140625" style="2030" customWidth="1"/>
    <col min="10516" max="10752" width="8.85546875" style="2030"/>
    <col min="10753" max="10753" width="58.7109375" style="2030" customWidth="1"/>
    <col min="10754" max="10754" width="23.140625" style="2030" customWidth="1"/>
    <col min="10755" max="10755" width="17.5703125" style="2030" customWidth="1"/>
    <col min="10756" max="10756" width="29.85546875" style="2030" customWidth="1"/>
    <col min="10757" max="10757" width="29" style="2030" customWidth="1"/>
    <col min="10758" max="10758" width="27.7109375" style="2030" customWidth="1"/>
    <col min="10759" max="10759" width="22.28515625" style="2030" customWidth="1"/>
    <col min="10760" max="10760" width="28.5703125" style="2030" customWidth="1"/>
    <col min="10761" max="10761" width="23.42578125" style="2030" customWidth="1"/>
    <col min="10762" max="10762" width="25.140625" style="2030" customWidth="1"/>
    <col min="10763" max="10763" width="16.7109375" style="2030" customWidth="1"/>
    <col min="10764" max="10764" width="13.42578125" style="2030" customWidth="1"/>
    <col min="10765" max="10765" width="9.85546875" style="2030" customWidth="1"/>
    <col min="10766" max="10766" width="11.140625" style="2030" customWidth="1"/>
    <col min="10767" max="10768" width="9.7109375" style="2030" customWidth="1"/>
    <col min="10769" max="10769" width="10.140625" style="2030" customWidth="1"/>
    <col min="10770" max="10771" width="17.140625" style="2030" customWidth="1"/>
    <col min="10772" max="11008" width="8.85546875" style="2030"/>
    <col min="11009" max="11009" width="58.7109375" style="2030" customWidth="1"/>
    <col min="11010" max="11010" width="23.140625" style="2030" customWidth="1"/>
    <col min="11011" max="11011" width="17.5703125" style="2030" customWidth="1"/>
    <col min="11012" max="11012" width="29.85546875" style="2030" customWidth="1"/>
    <col min="11013" max="11013" width="29" style="2030" customWidth="1"/>
    <col min="11014" max="11014" width="27.7109375" style="2030" customWidth="1"/>
    <col min="11015" max="11015" width="22.28515625" style="2030" customWidth="1"/>
    <col min="11016" max="11016" width="28.5703125" style="2030" customWidth="1"/>
    <col min="11017" max="11017" width="23.42578125" style="2030" customWidth="1"/>
    <col min="11018" max="11018" width="25.140625" style="2030" customWidth="1"/>
    <col min="11019" max="11019" width="16.7109375" style="2030" customWidth="1"/>
    <col min="11020" max="11020" width="13.42578125" style="2030" customWidth="1"/>
    <col min="11021" max="11021" width="9.85546875" style="2030" customWidth="1"/>
    <col min="11022" max="11022" width="11.140625" style="2030" customWidth="1"/>
    <col min="11023" max="11024" width="9.7109375" style="2030" customWidth="1"/>
    <col min="11025" max="11025" width="10.140625" style="2030" customWidth="1"/>
    <col min="11026" max="11027" width="17.140625" style="2030" customWidth="1"/>
    <col min="11028" max="11264" width="8.85546875" style="2030"/>
    <col min="11265" max="11265" width="58.7109375" style="2030" customWidth="1"/>
    <col min="11266" max="11266" width="23.140625" style="2030" customWidth="1"/>
    <col min="11267" max="11267" width="17.5703125" style="2030" customWidth="1"/>
    <col min="11268" max="11268" width="29.85546875" style="2030" customWidth="1"/>
    <col min="11269" max="11269" width="29" style="2030" customWidth="1"/>
    <col min="11270" max="11270" width="27.7109375" style="2030" customWidth="1"/>
    <col min="11271" max="11271" width="22.28515625" style="2030" customWidth="1"/>
    <col min="11272" max="11272" width="28.5703125" style="2030" customWidth="1"/>
    <col min="11273" max="11273" width="23.42578125" style="2030" customWidth="1"/>
    <col min="11274" max="11274" width="25.140625" style="2030" customWidth="1"/>
    <col min="11275" max="11275" width="16.7109375" style="2030" customWidth="1"/>
    <col min="11276" max="11276" width="13.42578125" style="2030" customWidth="1"/>
    <col min="11277" max="11277" width="9.85546875" style="2030" customWidth="1"/>
    <col min="11278" max="11278" width="11.140625" style="2030" customWidth="1"/>
    <col min="11279" max="11280" width="9.7109375" style="2030" customWidth="1"/>
    <col min="11281" max="11281" width="10.140625" style="2030" customWidth="1"/>
    <col min="11282" max="11283" width="17.140625" style="2030" customWidth="1"/>
    <col min="11284" max="11520" width="8.85546875" style="2030"/>
    <col min="11521" max="11521" width="58.7109375" style="2030" customWidth="1"/>
    <col min="11522" max="11522" width="23.140625" style="2030" customWidth="1"/>
    <col min="11523" max="11523" width="17.5703125" style="2030" customWidth="1"/>
    <col min="11524" max="11524" width="29.85546875" style="2030" customWidth="1"/>
    <col min="11525" max="11525" width="29" style="2030" customWidth="1"/>
    <col min="11526" max="11526" width="27.7109375" style="2030" customWidth="1"/>
    <col min="11527" max="11527" width="22.28515625" style="2030" customWidth="1"/>
    <col min="11528" max="11528" width="28.5703125" style="2030" customWidth="1"/>
    <col min="11529" max="11529" width="23.42578125" style="2030" customWidth="1"/>
    <col min="11530" max="11530" width="25.140625" style="2030" customWidth="1"/>
    <col min="11531" max="11531" width="16.7109375" style="2030" customWidth="1"/>
    <col min="11532" max="11532" width="13.42578125" style="2030" customWidth="1"/>
    <col min="11533" max="11533" width="9.85546875" style="2030" customWidth="1"/>
    <col min="11534" max="11534" width="11.140625" style="2030" customWidth="1"/>
    <col min="11535" max="11536" width="9.7109375" style="2030" customWidth="1"/>
    <col min="11537" max="11537" width="10.140625" style="2030" customWidth="1"/>
    <col min="11538" max="11539" width="17.140625" style="2030" customWidth="1"/>
    <col min="11540" max="11776" width="8.85546875" style="2030"/>
    <col min="11777" max="11777" width="58.7109375" style="2030" customWidth="1"/>
    <col min="11778" max="11778" width="23.140625" style="2030" customWidth="1"/>
    <col min="11779" max="11779" width="17.5703125" style="2030" customWidth="1"/>
    <col min="11780" max="11780" width="29.85546875" style="2030" customWidth="1"/>
    <col min="11781" max="11781" width="29" style="2030" customWidth="1"/>
    <col min="11782" max="11782" width="27.7109375" style="2030" customWidth="1"/>
    <col min="11783" max="11783" width="22.28515625" style="2030" customWidth="1"/>
    <col min="11784" max="11784" width="28.5703125" style="2030" customWidth="1"/>
    <col min="11785" max="11785" width="23.42578125" style="2030" customWidth="1"/>
    <col min="11786" max="11786" width="25.140625" style="2030" customWidth="1"/>
    <col min="11787" max="11787" width="16.7109375" style="2030" customWidth="1"/>
    <col min="11788" max="11788" width="13.42578125" style="2030" customWidth="1"/>
    <col min="11789" max="11789" width="9.85546875" style="2030" customWidth="1"/>
    <col min="11790" max="11790" width="11.140625" style="2030" customWidth="1"/>
    <col min="11791" max="11792" width="9.7109375" style="2030" customWidth="1"/>
    <col min="11793" max="11793" width="10.140625" style="2030" customWidth="1"/>
    <col min="11794" max="11795" width="17.140625" style="2030" customWidth="1"/>
    <col min="11796" max="12032" width="8.85546875" style="2030"/>
    <col min="12033" max="12033" width="58.7109375" style="2030" customWidth="1"/>
    <col min="12034" max="12034" width="23.140625" style="2030" customWidth="1"/>
    <col min="12035" max="12035" width="17.5703125" style="2030" customWidth="1"/>
    <col min="12036" max="12036" width="29.85546875" style="2030" customWidth="1"/>
    <col min="12037" max="12037" width="29" style="2030" customWidth="1"/>
    <col min="12038" max="12038" width="27.7109375" style="2030" customWidth="1"/>
    <col min="12039" max="12039" width="22.28515625" style="2030" customWidth="1"/>
    <col min="12040" max="12040" width="28.5703125" style="2030" customWidth="1"/>
    <col min="12041" max="12041" width="23.42578125" style="2030" customWidth="1"/>
    <col min="12042" max="12042" width="25.140625" style="2030" customWidth="1"/>
    <col min="12043" max="12043" width="16.7109375" style="2030" customWidth="1"/>
    <col min="12044" max="12044" width="13.42578125" style="2030" customWidth="1"/>
    <col min="12045" max="12045" width="9.85546875" style="2030" customWidth="1"/>
    <col min="12046" max="12046" width="11.140625" style="2030" customWidth="1"/>
    <col min="12047" max="12048" width="9.7109375" style="2030" customWidth="1"/>
    <col min="12049" max="12049" width="10.140625" style="2030" customWidth="1"/>
    <col min="12050" max="12051" width="17.140625" style="2030" customWidth="1"/>
    <col min="12052" max="12288" width="8.85546875" style="2030"/>
    <col min="12289" max="12289" width="58.7109375" style="2030" customWidth="1"/>
    <col min="12290" max="12290" width="23.140625" style="2030" customWidth="1"/>
    <col min="12291" max="12291" width="17.5703125" style="2030" customWidth="1"/>
    <col min="12292" max="12292" width="29.85546875" style="2030" customWidth="1"/>
    <col min="12293" max="12293" width="29" style="2030" customWidth="1"/>
    <col min="12294" max="12294" width="27.7109375" style="2030" customWidth="1"/>
    <col min="12295" max="12295" width="22.28515625" style="2030" customWidth="1"/>
    <col min="12296" max="12296" width="28.5703125" style="2030" customWidth="1"/>
    <col min="12297" max="12297" width="23.42578125" style="2030" customWidth="1"/>
    <col min="12298" max="12298" width="25.140625" style="2030" customWidth="1"/>
    <col min="12299" max="12299" width="16.7109375" style="2030" customWidth="1"/>
    <col min="12300" max="12300" width="13.42578125" style="2030" customWidth="1"/>
    <col min="12301" max="12301" width="9.85546875" style="2030" customWidth="1"/>
    <col min="12302" max="12302" width="11.140625" style="2030" customWidth="1"/>
    <col min="12303" max="12304" width="9.7109375" style="2030" customWidth="1"/>
    <col min="12305" max="12305" width="10.140625" style="2030" customWidth="1"/>
    <col min="12306" max="12307" width="17.140625" style="2030" customWidth="1"/>
    <col min="12308" max="12544" width="8.85546875" style="2030"/>
    <col min="12545" max="12545" width="58.7109375" style="2030" customWidth="1"/>
    <col min="12546" max="12546" width="23.140625" style="2030" customWidth="1"/>
    <col min="12547" max="12547" width="17.5703125" style="2030" customWidth="1"/>
    <col min="12548" max="12548" width="29.85546875" style="2030" customWidth="1"/>
    <col min="12549" max="12549" width="29" style="2030" customWidth="1"/>
    <col min="12550" max="12550" width="27.7109375" style="2030" customWidth="1"/>
    <col min="12551" max="12551" width="22.28515625" style="2030" customWidth="1"/>
    <col min="12552" max="12552" width="28.5703125" style="2030" customWidth="1"/>
    <col min="12553" max="12553" width="23.42578125" style="2030" customWidth="1"/>
    <col min="12554" max="12554" width="25.140625" style="2030" customWidth="1"/>
    <col min="12555" max="12555" width="16.7109375" style="2030" customWidth="1"/>
    <col min="12556" max="12556" width="13.42578125" style="2030" customWidth="1"/>
    <col min="12557" max="12557" width="9.85546875" style="2030" customWidth="1"/>
    <col min="12558" max="12558" width="11.140625" style="2030" customWidth="1"/>
    <col min="12559" max="12560" width="9.7109375" style="2030" customWidth="1"/>
    <col min="12561" max="12561" width="10.140625" style="2030" customWidth="1"/>
    <col min="12562" max="12563" width="17.140625" style="2030" customWidth="1"/>
    <col min="12564" max="12800" width="8.85546875" style="2030"/>
    <col min="12801" max="12801" width="58.7109375" style="2030" customWidth="1"/>
    <col min="12802" max="12802" width="23.140625" style="2030" customWidth="1"/>
    <col min="12803" max="12803" width="17.5703125" style="2030" customWidth="1"/>
    <col min="12804" max="12804" width="29.85546875" style="2030" customWidth="1"/>
    <col min="12805" max="12805" width="29" style="2030" customWidth="1"/>
    <col min="12806" max="12806" width="27.7109375" style="2030" customWidth="1"/>
    <col min="12807" max="12807" width="22.28515625" style="2030" customWidth="1"/>
    <col min="12808" max="12808" width="28.5703125" style="2030" customWidth="1"/>
    <col min="12809" max="12809" width="23.42578125" style="2030" customWidth="1"/>
    <col min="12810" max="12810" width="25.140625" style="2030" customWidth="1"/>
    <col min="12811" max="12811" width="16.7109375" style="2030" customWidth="1"/>
    <col min="12812" max="12812" width="13.42578125" style="2030" customWidth="1"/>
    <col min="12813" max="12813" width="9.85546875" style="2030" customWidth="1"/>
    <col min="12814" max="12814" width="11.140625" style="2030" customWidth="1"/>
    <col min="12815" max="12816" width="9.7109375" style="2030" customWidth="1"/>
    <col min="12817" max="12817" width="10.140625" style="2030" customWidth="1"/>
    <col min="12818" max="12819" width="17.140625" style="2030" customWidth="1"/>
    <col min="12820" max="13056" width="8.85546875" style="2030"/>
    <col min="13057" max="13057" width="58.7109375" style="2030" customWidth="1"/>
    <col min="13058" max="13058" width="23.140625" style="2030" customWidth="1"/>
    <col min="13059" max="13059" width="17.5703125" style="2030" customWidth="1"/>
    <col min="13060" max="13060" width="29.85546875" style="2030" customWidth="1"/>
    <col min="13061" max="13061" width="29" style="2030" customWidth="1"/>
    <col min="13062" max="13062" width="27.7109375" style="2030" customWidth="1"/>
    <col min="13063" max="13063" width="22.28515625" style="2030" customWidth="1"/>
    <col min="13064" max="13064" width="28.5703125" style="2030" customWidth="1"/>
    <col min="13065" max="13065" width="23.42578125" style="2030" customWidth="1"/>
    <col min="13066" max="13066" width="25.140625" style="2030" customWidth="1"/>
    <col min="13067" max="13067" width="16.7109375" style="2030" customWidth="1"/>
    <col min="13068" max="13068" width="13.42578125" style="2030" customWidth="1"/>
    <col min="13069" max="13069" width="9.85546875" style="2030" customWidth="1"/>
    <col min="13070" max="13070" width="11.140625" style="2030" customWidth="1"/>
    <col min="13071" max="13072" width="9.7109375" style="2030" customWidth="1"/>
    <col min="13073" max="13073" width="10.140625" style="2030" customWidth="1"/>
    <col min="13074" max="13075" width="17.140625" style="2030" customWidth="1"/>
    <col min="13076" max="13312" width="8.85546875" style="2030"/>
    <col min="13313" max="13313" width="58.7109375" style="2030" customWidth="1"/>
    <col min="13314" max="13314" width="23.140625" style="2030" customWidth="1"/>
    <col min="13315" max="13315" width="17.5703125" style="2030" customWidth="1"/>
    <col min="13316" max="13316" width="29.85546875" style="2030" customWidth="1"/>
    <col min="13317" max="13317" width="29" style="2030" customWidth="1"/>
    <col min="13318" max="13318" width="27.7109375" style="2030" customWidth="1"/>
    <col min="13319" max="13319" width="22.28515625" style="2030" customWidth="1"/>
    <col min="13320" max="13320" width="28.5703125" style="2030" customWidth="1"/>
    <col min="13321" max="13321" width="23.42578125" style="2030" customWidth="1"/>
    <col min="13322" max="13322" width="25.140625" style="2030" customWidth="1"/>
    <col min="13323" max="13323" width="16.7109375" style="2030" customWidth="1"/>
    <col min="13324" max="13324" width="13.42578125" style="2030" customWidth="1"/>
    <col min="13325" max="13325" width="9.85546875" style="2030" customWidth="1"/>
    <col min="13326" max="13326" width="11.140625" style="2030" customWidth="1"/>
    <col min="13327" max="13328" width="9.7109375" style="2030" customWidth="1"/>
    <col min="13329" max="13329" width="10.140625" style="2030" customWidth="1"/>
    <col min="13330" max="13331" width="17.140625" style="2030" customWidth="1"/>
    <col min="13332" max="13568" width="8.85546875" style="2030"/>
    <col min="13569" max="13569" width="58.7109375" style="2030" customWidth="1"/>
    <col min="13570" max="13570" width="23.140625" style="2030" customWidth="1"/>
    <col min="13571" max="13571" width="17.5703125" style="2030" customWidth="1"/>
    <col min="13572" max="13572" width="29.85546875" style="2030" customWidth="1"/>
    <col min="13573" max="13573" width="29" style="2030" customWidth="1"/>
    <col min="13574" max="13574" width="27.7109375" style="2030" customWidth="1"/>
    <col min="13575" max="13575" width="22.28515625" style="2030" customWidth="1"/>
    <col min="13576" max="13576" width="28.5703125" style="2030" customWidth="1"/>
    <col min="13577" max="13577" width="23.42578125" style="2030" customWidth="1"/>
    <col min="13578" max="13578" width="25.140625" style="2030" customWidth="1"/>
    <col min="13579" max="13579" width="16.7109375" style="2030" customWidth="1"/>
    <col min="13580" max="13580" width="13.42578125" style="2030" customWidth="1"/>
    <col min="13581" max="13581" width="9.85546875" style="2030" customWidth="1"/>
    <col min="13582" max="13582" width="11.140625" style="2030" customWidth="1"/>
    <col min="13583" max="13584" width="9.7109375" style="2030" customWidth="1"/>
    <col min="13585" max="13585" width="10.140625" style="2030" customWidth="1"/>
    <col min="13586" max="13587" width="17.140625" style="2030" customWidth="1"/>
    <col min="13588" max="13824" width="8.85546875" style="2030"/>
    <col min="13825" max="13825" width="58.7109375" style="2030" customWidth="1"/>
    <col min="13826" max="13826" width="23.140625" style="2030" customWidth="1"/>
    <col min="13827" max="13827" width="17.5703125" style="2030" customWidth="1"/>
    <col min="13828" max="13828" width="29.85546875" style="2030" customWidth="1"/>
    <col min="13829" max="13829" width="29" style="2030" customWidth="1"/>
    <col min="13830" max="13830" width="27.7109375" style="2030" customWidth="1"/>
    <col min="13831" max="13831" width="22.28515625" style="2030" customWidth="1"/>
    <col min="13832" max="13832" width="28.5703125" style="2030" customWidth="1"/>
    <col min="13833" max="13833" width="23.42578125" style="2030" customWidth="1"/>
    <col min="13834" max="13834" width="25.140625" style="2030" customWidth="1"/>
    <col min="13835" max="13835" width="16.7109375" style="2030" customWidth="1"/>
    <col min="13836" max="13836" width="13.42578125" style="2030" customWidth="1"/>
    <col min="13837" max="13837" width="9.85546875" style="2030" customWidth="1"/>
    <col min="13838" max="13838" width="11.140625" style="2030" customWidth="1"/>
    <col min="13839" max="13840" width="9.7109375" style="2030" customWidth="1"/>
    <col min="13841" max="13841" width="10.140625" style="2030" customWidth="1"/>
    <col min="13842" max="13843" width="17.140625" style="2030" customWidth="1"/>
    <col min="13844" max="14080" width="8.85546875" style="2030"/>
    <col min="14081" max="14081" width="58.7109375" style="2030" customWidth="1"/>
    <col min="14082" max="14082" width="23.140625" style="2030" customWidth="1"/>
    <col min="14083" max="14083" width="17.5703125" style="2030" customWidth="1"/>
    <col min="14084" max="14084" width="29.85546875" style="2030" customWidth="1"/>
    <col min="14085" max="14085" width="29" style="2030" customWidth="1"/>
    <col min="14086" max="14086" width="27.7109375" style="2030" customWidth="1"/>
    <col min="14087" max="14087" width="22.28515625" style="2030" customWidth="1"/>
    <col min="14088" max="14088" width="28.5703125" style="2030" customWidth="1"/>
    <col min="14089" max="14089" width="23.42578125" style="2030" customWidth="1"/>
    <col min="14090" max="14090" width="25.140625" style="2030" customWidth="1"/>
    <col min="14091" max="14091" width="16.7109375" style="2030" customWidth="1"/>
    <col min="14092" max="14092" width="13.42578125" style="2030" customWidth="1"/>
    <col min="14093" max="14093" width="9.85546875" style="2030" customWidth="1"/>
    <col min="14094" max="14094" width="11.140625" style="2030" customWidth="1"/>
    <col min="14095" max="14096" width="9.7109375" style="2030" customWidth="1"/>
    <col min="14097" max="14097" width="10.140625" style="2030" customWidth="1"/>
    <col min="14098" max="14099" width="17.140625" style="2030" customWidth="1"/>
    <col min="14100" max="14336" width="8.85546875" style="2030"/>
    <col min="14337" max="14337" width="58.7109375" style="2030" customWidth="1"/>
    <col min="14338" max="14338" width="23.140625" style="2030" customWidth="1"/>
    <col min="14339" max="14339" width="17.5703125" style="2030" customWidth="1"/>
    <col min="14340" max="14340" width="29.85546875" style="2030" customWidth="1"/>
    <col min="14341" max="14341" width="29" style="2030" customWidth="1"/>
    <col min="14342" max="14342" width="27.7109375" style="2030" customWidth="1"/>
    <col min="14343" max="14343" width="22.28515625" style="2030" customWidth="1"/>
    <col min="14344" max="14344" width="28.5703125" style="2030" customWidth="1"/>
    <col min="14345" max="14345" width="23.42578125" style="2030" customWidth="1"/>
    <col min="14346" max="14346" width="25.140625" style="2030" customWidth="1"/>
    <col min="14347" max="14347" width="16.7109375" style="2030" customWidth="1"/>
    <col min="14348" max="14348" width="13.42578125" style="2030" customWidth="1"/>
    <col min="14349" max="14349" width="9.85546875" style="2030" customWidth="1"/>
    <col min="14350" max="14350" width="11.140625" style="2030" customWidth="1"/>
    <col min="14351" max="14352" width="9.7109375" style="2030" customWidth="1"/>
    <col min="14353" max="14353" width="10.140625" style="2030" customWidth="1"/>
    <col min="14354" max="14355" width="17.140625" style="2030" customWidth="1"/>
    <col min="14356" max="14592" width="8.85546875" style="2030"/>
    <col min="14593" max="14593" width="58.7109375" style="2030" customWidth="1"/>
    <col min="14594" max="14594" width="23.140625" style="2030" customWidth="1"/>
    <col min="14595" max="14595" width="17.5703125" style="2030" customWidth="1"/>
    <col min="14596" max="14596" width="29.85546875" style="2030" customWidth="1"/>
    <col min="14597" max="14597" width="29" style="2030" customWidth="1"/>
    <col min="14598" max="14598" width="27.7109375" style="2030" customWidth="1"/>
    <col min="14599" max="14599" width="22.28515625" style="2030" customWidth="1"/>
    <col min="14600" max="14600" width="28.5703125" style="2030" customWidth="1"/>
    <col min="14601" max="14601" width="23.42578125" style="2030" customWidth="1"/>
    <col min="14602" max="14602" width="25.140625" style="2030" customWidth="1"/>
    <col min="14603" max="14603" width="16.7109375" style="2030" customWidth="1"/>
    <col min="14604" max="14604" width="13.42578125" style="2030" customWidth="1"/>
    <col min="14605" max="14605" width="9.85546875" style="2030" customWidth="1"/>
    <col min="14606" max="14606" width="11.140625" style="2030" customWidth="1"/>
    <col min="14607" max="14608" width="9.7109375" style="2030" customWidth="1"/>
    <col min="14609" max="14609" width="10.140625" style="2030" customWidth="1"/>
    <col min="14610" max="14611" width="17.140625" style="2030" customWidth="1"/>
    <col min="14612" max="14848" width="8.85546875" style="2030"/>
    <col min="14849" max="14849" width="58.7109375" style="2030" customWidth="1"/>
    <col min="14850" max="14850" width="23.140625" style="2030" customWidth="1"/>
    <col min="14851" max="14851" width="17.5703125" style="2030" customWidth="1"/>
    <col min="14852" max="14852" width="29.85546875" style="2030" customWidth="1"/>
    <col min="14853" max="14853" width="29" style="2030" customWidth="1"/>
    <col min="14854" max="14854" width="27.7109375" style="2030" customWidth="1"/>
    <col min="14855" max="14855" width="22.28515625" style="2030" customWidth="1"/>
    <col min="14856" max="14856" width="28.5703125" style="2030" customWidth="1"/>
    <col min="14857" max="14857" width="23.42578125" style="2030" customWidth="1"/>
    <col min="14858" max="14858" width="25.140625" style="2030" customWidth="1"/>
    <col min="14859" max="14859" width="16.7109375" style="2030" customWidth="1"/>
    <col min="14860" max="14860" width="13.42578125" style="2030" customWidth="1"/>
    <col min="14861" max="14861" width="9.85546875" style="2030" customWidth="1"/>
    <col min="14862" max="14862" width="11.140625" style="2030" customWidth="1"/>
    <col min="14863" max="14864" width="9.7109375" style="2030" customWidth="1"/>
    <col min="14865" max="14865" width="10.140625" style="2030" customWidth="1"/>
    <col min="14866" max="14867" width="17.140625" style="2030" customWidth="1"/>
    <col min="14868" max="15104" width="8.85546875" style="2030"/>
    <col min="15105" max="15105" width="58.7109375" style="2030" customWidth="1"/>
    <col min="15106" max="15106" width="23.140625" style="2030" customWidth="1"/>
    <col min="15107" max="15107" width="17.5703125" style="2030" customWidth="1"/>
    <col min="15108" max="15108" width="29.85546875" style="2030" customWidth="1"/>
    <col min="15109" max="15109" width="29" style="2030" customWidth="1"/>
    <col min="15110" max="15110" width="27.7109375" style="2030" customWidth="1"/>
    <col min="15111" max="15111" width="22.28515625" style="2030" customWidth="1"/>
    <col min="15112" max="15112" width="28.5703125" style="2030" customWidth="1"/>
    <col min="15113" max="15113" width="23.42578125" style="2030" customWidth="1"/>
    <col min="15114" max="15114" width="25.140625" style="2030" customWidth="1"/>
    <col min="15115" max="15115" width="16.7109375" style="2030" customWidth="1"/>
    <col min="15116" max="15116" width="13.42578125" style="2030" customWidth="1"/>
    <col min="15117" max="15117" width="9.85546875" style="2030" customWidth="1"/>
    <col min="15118" max="15118" width="11.140625" style="2030" customWidth="1"/>
    <col min="15119" max="15120" width="9.7109375" style="2030" customWidth="1"/>
    <col min="15121" max="15121" width="10.140625" style="2030" customWidth="1"/>
    <col min="15122" max="15123" width="17.140625" style="2030" customWidth="1"/>
    <col min="15124" max="15360" width="8.85546875" style="2030"/>
    <col min="15361" max="15361" width="58.7109375" style="2030" customWidth="1"/>
    <col min="15362" max="15362" width="23.140625" style="2030" customWidth="1"/>
    <col min="15363" max="15363" width="17.5703125" style="2030" customWidth="1"/>
    <col min="15364" max="15364" width="29.85546875" style="2030" customWidth="1"/>
    <col min="15365" max="15365" width="29" style="2030" customWidth="1"/>
    <col min="15366" max="15366" width="27.7109375" style="2030" customWidth="1"/>
    <col min="15367" max="15367" width="22.28515625" style="2030" customWidth="1"/>
    <col min="15368" max="15368" width="28.5703125" style="2030" customWidth="1"/>
    <col min="15369" max="15369" width="23.42578125" style="2030" customWidth="1"/>
    <col min="15370" max="15370" width="25.140625" style="2030" customWidth="1"/>
    <col min="15371" max="15371" width="16.7109375" style="2030" customWidth="1"/>
    <col min="15372" max="15372" width="13.42578125" style="2030" customWidth="1"/>
    <col min="15373" max="15373" width="9.85546875" style="2030" customWidth="1"/>
    <col min="15374" max="15374" width="11.140625" style="2030" customWidth="1"/>
    <col min="15375" max="15376" width="9.7109375" style="2030" customWidth="1"/>
    <col min="15377" max="15377" width="10.140625" style="2030" customWidth="1"/>
    <col min="15378" max="15379" width="17.140625" style="2030" customWidth="1"/>
    <col min="15380" max="15616" width="8.85546875" style="2030"/>
    <col min="15617" max="15617" width="58.7109375" style="2030" customWidth="1"/>
    <col min="15618" max="15618" width="23.140625" style="2030" customWidth="1"/>
    <col min="15619" max="15619" width="17.5703125" style="2030" customWidth="1"/>
    <col min="15620" max="15620" width="29.85546875" style="2030" customWidth="1"/>
    <col min="15621" max="15621" width="29" style="2030" customWidth="1"/>
    <col min="15622" max="15622" width="27.7109375" style="2030" customWidth="1"/>
    <col min="15623" max="15623" width="22.28515625" style="2030" customWidth="1"/>
    <col min="15624" max="15624" width="28.5703125" style="2030" customWidth="1"/>
    <col min="15625" max="15625" width="23.42578125" style="2030" customWidth="1"/>
    <col min="15626" max="15626" width="25.140625" style="2030" customWidth="1"/>
    <col min="15627" max="15627" width="16.7109375" style="2030" customWidth="1"/>
    <col min="15628" max="15628" width="13.42578125" style="2030" customWidth="1"/>
    <col min="15629" max="15629" width="9.85546875" style="2030" customWidth="1"/>
    <col min="15630" max="15630" width="11.140625" style="2030" customWidth="1"/>
    <col min="15631" max="15632" width="9.7109375" style="2030" customWidth="1"/>
    <col min="15633" max="15633" width="10.140625" style="2030" customWidth="1"/>
    <col min="15634" max="15635" width="17.140625" style="2030" customWidth="1"/>
    <col min="15636" max="15872" width="8.85546875" style="2030"/>
    <col min="15873" max="15873" width="58.7109375" style="2030" customWidth="1"/>
    <col min="15874" max="15874" width="23.140625" style="2030" customWidth="1"/>
    <col min="15875" max="15875" width="17.5703125" style="2030" customWidth="1"/>
    <col min="15876" max="15876" width="29.85546875" style="2030" customWidth="1"/>
    <col min="15877" max="15877" width="29" style="2030" customWidth="1"/>
    <col min="15878" max="15878" width="27.7109375" style="2030" customWidth="1"/>
    <col min="15879" max="15879" width="22.28515625" style="2030" customWidth="1"/>
    <col min="15880" max="15880" width="28.5703125" style="2030" customWidth="1"/>
    <col min="15881" max="15881" width="23.42578125" style="2030" customWidth="1"/>
    <col min="15882" max="15882" width="25.140625" style="2030" customWidth="1"/>
    <col min="15883" max="15883" width="16.7109375" style="2030" customWidth="1"/>
    <col min="15884" max="15884" width="13.42578125" style="2030" customWidth="1"/>
    <col min="15885" max="15885" width="9.85546875" style="2030" customWidth="1"/>
    <col min="15886" max="15886" width="11.140625" style="2030" customWidth="1"/>
    <col min="15887" max="15888" width="9.7109375" style="2030" customWidth="1"/>
    <col min="15889" max="15889" width="10.140625" style="2030" customWidth="1"/>
    <col min="15890" max="15891" width="17.140625" style="2030" customWidth="1"/>
    <col min="15892" max="16128" width="8.85546875" style="2030"/>
    <col min="16129" max="16129" width="58.7109375" style="2030" customWidth="1"/>
    <col min="16130" max="16130" width="23.140625" style="2030" customWidth="1"/>
    <col min="16131" max="16131" width="17.5703125" style="2030" customWidth="1"/>
    <col min="16132" max="16132" width="29.85546875" style="2030" customWidth="1"/>
    <col min="16133" max="16133" width="29" style="2030" customWidth="1"/>
    <col min="16134" max="16134" width="27.7109375" style="2030" customWidth="1"/>
    <col min="16135" max="16135" width="22.28515625" style="2030" customWidth="1"/>
    <col min="16136" max="16136" width="28.5703125" style="2030" customWidth="1"/>
    <col min="16137" max="16137" width="23.42578125" style="2030" customWidth="1"/>
    <col min="16138" max="16138" width="25.140625" style="2030" customWidth="1"/>
    <col min="16139" max="16139" width="16.7109375" style="2030" customWidth="1"/>
    <col min="16140" max="16140" width="13.42578125" style="2030" customWidth="1"/>
    <col min="16141" max="16141" width="9.85546875" style="2030" customWidth="1"/>
    <col min="16142" max="16142" width="11.140625" style="2030" customWidth="1"/>
    <col min="16143" max="16144" width="9.7109375" style="2030" customWidth="1"/>
    <col min="16145" max="16145" width="10.140625" style="2030" customWidth="1"/>
    <col min="16146" max="16147" width="17.140625" style="2030" customWidth="1"/>
    <col min="16148" max="16384" width="8.85546875" style="2030"/>
  </cols>
  <sheetData>
    <row r="1" spans="1:34" ht="36" x14ac:dyDescent="0.55000000000000004">
      <c r="A1" s="2029" t="s">
        <v>1954</v>
      </c>
    </row>
    <row r="2" spans="1:34" x14ac:dyDescent="0.2">
      <c r="A2" s="2031" t="s">
        <v>1955</v>
      </c>
    </row>
    <row r="4" spans="1:34" ht="15.75" x14ac:dyDescent="0.2">
      <c r="A4" s="2043" t="s">
        <v>365</v>
      </c>
    </row>
    <row r="5" spans="1:34" s="2033" customFormat="1" ht="15.75" thickBot="1" x14ac:dyDescent="0.3">
      <c r="J5" s="2047"/>
      <c r="K5" s="2047"/>
      <c r="L5" s="2047"/>
      <c r="M5" s="2047"/>
      <c r="N5" s="2047"/>
      <c r="O5" s="2030"/>
      <c r="P5" s="2030"/>
      <c r="Q5" s="2030"/>
      <c r="R5" s="2030"/>
      <c r="S5" s="2030"/>
      <c r="T5" s="2030"/>
      <c r="U5" s="2030"/>
      <c r="V5" s="2039"/>
      <c r="W5" s="2030"/>
      <c r="X5" s="2030"/>
      <c r="Y5" s="2030"/>
      <c r="Z5" s="2030"/>
      <c r="AA5" s="2030"/>
      <c r="AB5" s="2030"/>
      <c r="AC5" s="2030"/>
      <c r="AD5" s="2030"/>
      <c r="AE5" s="2030"/>
      <c r="AF5" s="2030"/>
      <c r="AG5" s="2030"/>
      <c r="AH5" s="2030"/>
    </row>
    <row r="6" spans="1:34" ht="15.75" thickBot="1" x14ac:dyDescent="0.3">
      <c r="A6" s="2044" t="s">
        <v>368</v>
      </c>
      <c r="B6" s="2036" t="s">
        <v>369</v>
      </c>
      <c r="C6" s="2036" t="s">
        <v>370</v>
      </c>
      <c r="D6" s="2036" t="s">
        <v>1956</v>
      </c>
      <c r="E6" s="2036" t="s">
        <v>1957</v>
      </c>
      <c r="F6" s="2036" t="s">
        <v>1958</v>
      </c>
      <c r="G6" s="2036" t="s">
        <v>1910</v>
      </c>
      <c r="H6" s="2036" t="s">
        <v>376</v>
      </c>
      <c r="I6" s="2054" t="s">
        <v>1959</v>
      </c>
      <c r="K6" s="2040"/>
    </row>
    <row r="7" spans="1:34" ht="15" x14ac:dyDescent="0.25">
      <c r="A7" s="2055" t="s">
        <v>1960</v>
      </c>
      <c r="B7" s="2056">
        <v>500</v>
      </c>
      <c r="C7" s="2056">
        <v>1</v>
      </c>
      <c r="D7" s="2057">
        <v>54450000</v>
      </c>
      <c r="E7" s="2057">
        <v>56732581.210000001</v>
      </c>
      <c r="F7" s="2057">
        <v>18389980.440000001</v>
      </c>
      <c r="G7" s="2057">
        <f>E7-F7</f>
        <v>38342600.769999996</v>
      </c>
      <c r="H7" s="2058" t="s">
        <v>386</v>
      </c>
      <c r="I7" s="2059" t="s">
        <v>1961</v>
      </c>
      <c r="K7" s="2040"/>
    </row>
    <row r="8" spans="1:34" ht="15" x14ac:dyDescent="0.25">
      <c r="A8" s="2055" t="s">
        <v>1962</v>
      </c>
      <c r="B8" s="2056"/>
      <c r="C8" s="2056"/>
      <c r="D8" s="2057">
        <v>4000000</v>
      </c>
      <c r="E8" s="2057">
        <v>1600000</v>
      </c>
      <c r="F8" s="2057">
        <v>0</v>
      </c>
      <c r="G8" s="2057">
        <f>E8-F8</f>
        <v>1600000</v>
      </c>
      <c r="H8" s="2060" t="s">
        <v>390</v>
      </c>
      <c r="I8" s="2059">
        <v>2018</v>
      </c>
      <c r="K8" s="2040"/>
    </row>
    <row r="9" spans="1:34" ht="15" x14ac:dyDescent="0.25">
      <c r="A9" s="2055" t="s">
        <v>1963</v>
      </c>
      <c r="B9" s="2056"/>
      <c r="C9" s="2056"/>
      <c r="D9" s="2057"/>
      <c r="E9" s="2057">
        <v>200000</v>
      </c>
      <c r="F9" s="2057">
        <v>0</v>
      </c>
      <c r="G9" s="2057">
        <f>E9-F9</f>
        <v>200000</v>
      </c>
      <c r="H9" s="2060" t="s">
        <v>390</v>
      </c>
      <c r="I9" s="2059">
        <v>2020</v>
      </c>
      <c r="K9" s="2040"/>
    </row>
    <row r="10" spans="1:34" ht="15" x14ac:dyDescent="0.25">
      <c r="A10" s="2055" t="s">
        <v>1964</v>
      </c>
      <c r="B10" s="2056">
        <v>465</v>
      </c>
      <c r="C10" s="2056">
        <v>1</v>
      </c>
      <c r="D10" s="2057">
        <v>41596704.82</v>
      </c>
      <c r="E10" s="2057">
        <v>45187907.100000001</v>
      </c>
      <c r="F10" s="2057">
        <v>38185736.149999999</v>
      </c>
      <c r="G10" s="2057">
        <f t="shared" ref="G10:G57" si="0">E10-F10</f>
        <v>7002170.950000003</v>
      </c>
      <c r="H10" s="2060" t="s">
        <v>390</v>
      </c>
      <c r="I10" s="2059" t="s">
        <v>1965</v>
      </c>
      <c r="K10" s="2040"/>
    </row>
    <row r="11" spans="1:34" ht="15" x14ac:dyDescent="0.25">
      <c r="A11" s="2055" t="s">
        <v>521</v>
      </c>
      <c r="B11" s="2056">
        <v>91</v>
      </c>
      <c r="C11" s="2056">
        <v>12</v>
      </c>
      <c r="D11" s="2057">
        <v>520000</v>
      </c>
      <c r="E11" s="2057">
        <v>147886</v>
      </c>
      <c r="F11" s="2057">
        <v>0</v>
      </c>
      <c r="G11" s="2057">
        <f>D11</f>
        <v>520000</v>
      </c>
      <c r="H11" s="2060" t="s">
        <v>390</v>
      </c>
      <c r="I11" s="2059">
        <v>2021</v>
      </c>
      <c r="K11" s="2040"/>
    </row>
    <row r="12" spans="1:34" ht="15" x14ac:dyDescent="0.25">
      <c r="A12" s="2055" t="s">
        <v>1966</v>
      </c>
      <c r="B12" s="2056">
        <v>214</v>
      </c>
      <c r="C12" s="2056">
        <v>12</v>
      </c>
      <c r="D12" s="2057">
        <v>568000</v>
      </c>
      <c r="E12" s="2057">
        <v>186589</v>
      </c>
      <c r="F12" s="2057">
        <v>0</v>
      </c>
      <c r="G12" s="2057">
        <f t="shared" ref="G12:G25" si="1">D12</f>
        <v>568000</v>
      </c>
      <c r="H12" s="2060" t="s">
        <v>390</v>
      </c>
      <c r="I12" s="2059">
        <v>2021</v>
      </c>
      <c r="K12" s="2040"/>
    </row>
    <row r="13" spans="1:34" ht="15" x14ac:dyDescent="0.25">
      <c r="A13" s="2055" t="s">
        <v>1967</v>
      </c>
      <c r="B13" s="2056">
        <v>206</v>
      </c>
      <c r="C13" s="2056">
        <v>12</v>
      </c>
      <c r="D13" s="2057">
        <v>1815000</v>
      </c>
      <c r="E13" s="2057">
        <v>575680</v>
      </c>
      <c r="F13" s="2057">
        <v>0</v>
      </c>
      <c r="G13" s="2057">
        <f t="shared" si="1"/>
        <v>1815000</v>
      </c>
      <c r="H13" s="2060" t="s">
        <v>390</v>
      </c>
      <c r="I13" s="2059">
        <v>2021</v>
      </c>
      <c r="K13" s="2040"/>
    </row>
    <row r="14" spans="1:34" ht="15" x14ac:dyDescent="0.25">
      <c r="A14" s="2055" t="s">
        <v>1968</v>
      </c>
      <c r="B14" s="2056">
        <v>496</v>
      </c>
      <c r="C14" s="2056">
        <v>12</v>
      </c>
      <c r="D14" s="2057">
        <v>2460000</v>
      </c>
      <c r="E14" s="2057">
        <v>629490</v>
      </c>
      <c r="F14" s="2057">
        <v>0</v>
      </c>
      <c r="G14" s="2057">
        <f t="shared" si="1"/>
        <v>2460000</v>
      </c>
      <c r="H14" s="2060" t="s">
        <v>390</v>
      </c>
      <c r="I14" s="2059">
        <v>2021</v>
      </c>
      <c r="K14" s="2040"/>
    </row>
    <row r="15" spans="1:34" ht="15" x14ac:dyDescent="0.25">
      <c r="A15" s="2055" t="s">
        <v>519</v>
      </c>
      <c r="B15" s="2056">
        <v>181</v>
      </c>
      <c r="C15" s="2056">
        <v>10</v>
      </c>
      <c r="D15" s="2057">
        <v>1350000</v>
      </c>
      <c r="E15" s="2057">
        <v>385452</v>
      </c>
      <c r="F15" s="2057">
        <v>0</v>
      </c>
      <c r="G15" s="2057">
        <f t="shared" si="1"/>
        <v>1350000</v>
      </c>
      <c r="H15" s="2060" t="s">
        <v>390</v>
      </c>
      <c r="I15" s="2059">
        <v>2021</v>
      </c>
      <c r="K15" s="2040"/>
    </row>
    <row r="16" spans="1:34" ht="15" x14ac:dyDescent="0.25">
      <c r="A16" s="2055" t="s">
        <v>414</v>
      </c>
      <c r="B16" s="2056">
        <v>323</v>
      </c>
      <c r="C16" s="2056">
        <v>12</v>
      </c>
      <c r="D16" s="2057">
        <v>5041000</v>
      </c>
      <c r="E16" s="2057">
        <v>636571</v>
      </c>
      <c r="F16" s="2057">
        <v>0</v>
      </c>
      <c r="G16" s="2057">
        <f t="shared" si="1"/>
        <v>5041000</v>
      </c>
      <c r="H16" s="2060" t="s">
        <v>390</v>
      </c>
      <c r="I16" s="2059">
        <v>2021</v>
      </c>
      <c r="K16" s="2040"/>
    </row>
    <row r="17" spans="1:11" ht="15" x14ac:dyDescent="0.25">
      <c r="A17" s="2055" t="s">
        <v>515</v>
      </c>
      <c r="B17" s="2056">
        <v>80</v>
      </c>
      <c r="C17" s="2056">
        <v>4</v>
      </c>
      <c r="D17" s="2057">
        <v>780000</v>
      </c>
      <c r="E17" s="2057">
        <v>256457</v>
      </c>
      <c r="F17" s="2057">
        <v>0</v>
      </c>
      <c r="G17" s="2057">
        <f t="shared" si="1"/>
        <v>780000</v>
      </c>
      <c r="H17" s="2060" t="s">
        <v>390</v>
      </c>
      <c r="I17" s="2059">
        <v>2021</v>
      </c>
      <c r="K17" s="2040"/>
    </row>
    <row r="18" spans="1:11" ht="15" x14ac:dyDescent="0.25">
      <c r="A18" s="2055" t="s">
        <v>522</v>
      </c>
      <c r="B18" s="2056">
        <v>176</v>
      </c>
      <c r="C18" s="2056">
        <v>17</v>
      </c>
      <c r="D18" s="2057">
        <f>5300*B18</f>
        <v>932800</v>
      </c>
      <c r="E18" s="2057">
        <v>430381</v>
      </c>
      <c r="F18" s="2057">
        <v>0</v>
      </c>
      <c r="G18" s="2057">
        <f t="shared" si="1"/>
        <v>932800</v>
      </c>
      <c r="H18" s="2060" t="s">
        <v>390</v>
      </c>
      <c r="I18" s="2059">
        <v>2021</v>
      </c>
      <c r="K18" s="2040"/>
    </row>
    <row r="19" spans="1:11" ht="15" x14ac:dyDescent="0.25">
      <c r="A19" s="2055" t="s">
        <v>523</v>
      </c>
      <c r="B19" s="2056">
        <v>100</v>
      </c>
      <c r="C19" s="2056">
        <v>16</v>
      </c>
      <c r="D19" s="2057">
        <f>5300*B19</f>
        <v>530000</v>
      </c>
      <c r="E19" s="2057">
        <v>122000</v>
      </c>
      <c r="F19" s="2057">
        <v>0</v>
      </c>
      <c r="G19" s="2057">
        <f t="shared" si="1"/>
        <v>530000</v>
      </c>
      <c r="H19" s="2060" t="s">
        <v>390</v>
      </c>
      <c r="I19" s="2059">
        <v>2021</v>
      </c>
      <c r="K19" s="2040"/>
    </row>
    <row r="20" spans="1:11" ht="15" x14ac:dyDescent="0.25">
      <c r="A20" s="2055" t="s">
        <v>520</v>
      </c>
      <c r="B20" s="2056">
        <v>363</v>
      </c>
      <c r="C20" s="2056">
        <v>10</v>
      </c>
      <c r="D20" s="2057">
        <v>4963000</v>
      </c>
      <c r="E20" s="2057">
        <v>618895</v>
      </c>
      <c r="F20" s="2057">
        <v>0</v>
      </c>
      <c r="G20" s="2057">
        <f t="shared" si="1"/>
        <v>4963000</v>
      </c>
      <c r="H20" s="2060" t="s">
        <v>390</v>
      </c>
      <c r="I20" s="2059">
        <v>2021</v>
      </c>
      <c r="K20" s="2040"/>
    </row>
    <row r="21" spans="1:11" ht="15" x14ac:dyDescent="0.25">
      <c r="A21" s="2055" t="s">
        <v>405</v>
      </c>
      <c r="B21" s="2056">
        <v>180</v>
      </c>
      <c r="C21" s="2056">
        <v>12</v>
      </c>
      <c r="D21" s="2057">
        <v>5931000</v>
      </c>
      <c r="E21" s="2057">
        <v>4320000</v>
      </c>
      <c r="F21" s="2057">
        <v>0</v>
      </c>
      <c r="G21" s="2057">
        <f t="shared" si="1"/>
        <v>5931000</v>
      </c>
      <c r="H21" s="2060" t="s">
        <v>390</v>
      </c>
      <c r="I21" s="2059">
        <v>2021</v>
      </c>
      <c r="K21" s="2040"/>
    </row>
    <row r="22" spans="1:11" ht="15" x14ac:dyDescent="0.25">
      <c r="A22" s="2055" t="s">
        <v>408</v>
      </c>
      <c r="B22" s="2056">
        <v>825</v>
      </c>
      <c r="C22" s="2056">
        <v>12</v>
      </c>
      <c r="D22" s="2057">
        <f>9600*B22</f>
        <v>7920000</v>
      </c>
      <c r="E22" s="2057">
        <v>3631228</v>
      </c>
      <c r="F22" s="2057">
        <v>0</v>
      </c>
      <c r="G22" s="2057">
        <f t="shared" si="1"/>
        <v>7920000</v>
      </c>
      <c r="H22" s="2060" t="s">
        <v>390</v>
      </c>
      <c r="I22" s="2059">
        <v>2021</v>
      </c>
      <c r="K22" s="2040"/>
    </row>
    <row r="23" spans="1:11" ht="15" x14ac:dyDescent="0.25">
      <c r="A23" s="2055" t="s">
        <v>514</v>
      </c>
      <c r="B23" s="2056">
        <v>356</v>
      </c>
      <c r="C23" s="2056">
        <v>11</v>
      </c>
      <c r="D23" s="2057">
        <v>1850000</v>
      </c>
      <c r="E23" s="2057">
        <v>430381</v>
      </c>
      <c r="F23" s="2057">
        <v>0</v>
      </c>
      <c r="G23" s="2057">
        <f t="shared" si="1"/>
        <v>1850000</v>
      </c>
      <c r="H23" s="2060" t="s">
        <v>390</v>
      </c>
      <c r="I23" s="2059">
        <v>2021</v>
      </c>
      <c r="K23" s="2040"/>
    </row>
    <row r="24" spans="1:11" ht="15" x14ac:dyDescent="0.25">
      <c r="A24" s="2055" t="s">
        <v>516</v>
      </c>
      <c r="B24" s="2056">
        <v>169</v>
      </c>
      <c r="C24" s="2056">
        <v>12</v>
      </c>
      <c r="D24" s="2057">
        <v>1120000</v>
      </c>
      <c r="E24" s="2057">
        <v>234571</v>
      </c>
      <c r="F24" s="2057">
        <v>0</v>
      </c>
      <c r="G24" s="2057">
        <f t="shared" si="1"/>
        <v>1120000</v>
      </c>
      <c r="H24" s="2060" t="s">
        <v>390</v>
      </c>
      <c r="I24" s="2059">
        <v>2021</v>
      </c>
      <c r="K24" s="2040"/>
    </row>
    <row r="25" spans="1:11" ht="15" x14ac:dyDescent="0.25">
      <c r="A25" s="2055" t="s">
        <v>517</v>
      </c>
      <c r="B25" s="2056">
        <v>70</v>
      </c>
      <c r="C25" s="2056">
        <v>10</v>
      </c>
      <c r="D25" s="2057">
        <v>371000</v>
      </c>
      <c r="E25" s="2057">
        <v>181258</v>
      </c>
      <c r="F25" s="2057">
        <v>0</v>
      </c>
      <c r="G25" s="2057">
        <f t="shared" si="1"/>
        <v>371000</v>
      </c>
      <c r="H25" s="2060" t="s">
        <v>390</v>
      </c>
      <c r="I25" s="2059">
        <v>2021</v>
      </c>
      <c r="K25" s="2040"/>
    </row>
    <row r="26" spans="1:11" ht="15" x14ac:dyDescent="0.25">
      <c r="A26" s="2055" t="s">
        <v>1969</v>
      </c>
      <c r="B26" s="2056">
        <v>70</v>
      </c>
      <c r="C26" s="2056">
        <v>17</v>
      </c>
      <c r="D26" s="2057">
        <v>371000</v>
      </c>
      <c r="E26" s="2057">
        <v>350000</v>
      </c>
      <c r="F26" s="2057">
        <v>0</v>
      </c>
      <c r="G26" s="2057">
        <f>E26-F26</f>
        <v>350000</v>
      </c>
      <c r="H26" s="2060" t="s">
        <v>390</v>
      </c>
      <c r="I26" s="2059">
        <v>2020</v>
      </c>
      <c r="K26" s="2040"/>
    </row>
    <row r="27" spans="1:11" ht="15.6" customHeight="1" x14ac:dyDescent="0.25">
      <c r="A27" s="2055" t="s">
        <v>1970</v>
      </c>
      <c r="B27" s="2056">
        <v>570</v>
      </c>
      <c r="C27" s="2056">
        <v>1</v>
      </c>
      <c r="D27" s="2057">
        <v>61934298.060000002</v>
      </c>
      <c r="E27" s="2057">
        <v>57801700</v>
      </c>
      <c r="F27" s="2057">
        <v>46632900.840000004</v>
      </c>
      <c r="G27" s="2057">
        <f t="shared" si="0"/>
        <v>11168799.159999996</v>
      </c>
      <c r="H27" s="2060" t="s">
        <v>390</v>
      </c>
      <c r="I27" s="2059" t="s">
        <v>1971</v>
      </c>
      <c r="K27" s="2040"/>
    </row>
    <row r="28" spans="1:11" ht="15" x14ac:dyDescent="0.25">
      <c r="A28" s="2055" t="s">
        <v>1972</v>
      </c>
      <c r="B28" s="2056">
        <v>86</v>
      </c>
      <c r="C28" s="2056">
        <v>16</v>
      </c>
      <c r="D28" s="2057">
        <v>952149</v>
      </c>
      <c r="E28" s="2057">
        <v>240000</v>
      </c>
      <c r="F28" s="2057">
        <v>0</v>
      </c>
      <c r="G28" s="2057">
        <f t="shared" si="0"/>
        <v>240000</v>
      </c>
      <c r="H28" s="2060" t="s">
        <v>390</v>
      </c>
      <c r="I28" s="2059">
        <v>2016</v>
      </c>
      <c r="K28" s="2040"/>
    </row>
    <row r="29" spans="1:11" ht="15" x14ac:dyDescent="0.25">
      <c r="A29" s="2055" t="s">
        <v>1973</v>
      </c>
      <c r="B29" s="2056">
        <v>153</v>
      </c>
      <c r="C29" s="2056">
        <v>17</v>
      </c>
      <c r="D29" s="2057">
        <v>1960000</v>
      </c>
      <c r="E29" s="2057">
        <v>480000</v>
      </c>
      <c r="F29" s="2057">
        <v>0</v>
      </c>
      <c r="G29" s="2057">
        <f t="shared" si="0"/>
        <v>480000</v>
      </c>
      <c r="H29" s="2060" t="s">
        <v>390</v>
      </c>
      <c r="I29" s="2059">
        <v>2016</v>
      </c>
      <c r="K29" s="2040"/>
    </row>
    <row r="30" spans="1:11" ht="15" x14ac:dyDescent="0.25">
      <c r="A30" s="2055" t="s">
        <v>1974</v>
      </c>
      <c r="B30" s="2056">
        <v>234</v>
      </c>
      <c r="C30" s="2056">
        <v>16</v>
      </c>
      <c r="D30" s="2057">
        <v>2590731</v>
      </c>
      <c r="E30" s="2057">
        <v>410000</v>
      </c>
      <c r="F30" s="2057">
        <v>0</v>
      </c>
      <c r="G30" s="2057">
        <f t="shared" si="0"/>
        <v>410000</v>
      </c>
      <c r="H30" s="2060" t="s">
        <v>390</v>
      </c>
      <c r="I30" s="2059">
        <v>2016</v>
      </c>
      <c r="K30" s="2040"/>
    </row>
    <row r="31" spans="1:11" ht="15" x14ac:dyDescent="0.25">
      <c r="A31" s="2055" t="s">
        <v>1975</v>
      </c>
      <c r="B31" s="2056">
        <v>147</v>
      </c>
      <c r="C31" s="2056">
        <v>17</v>
      </c>
      <c r="D31" s="2057">
        <v>1865856.3</v>
      </c>
      <c r="E31" s="2057">
        <v>620000</v>
      </c>
      <c r="F31" s="2057">
        <v>0</v>
      </c>
      <c r="G31" s="2057">
        <f t="shared" si="0"/>
        <v>620000</v>
      </c>
      <c r="H31" s="2060" t="s">
        <v>390</v>
      </c>
      <c r="I31" s="2059">
        <v>2016</v>
      </c>
      <c r="K31" s="2040"/>
    </row>
    <row r="32" spans="1:11" ht="15" x14ac:dyDescent="0.25">
      <c r="A32" s="2055" t="s">
        <v>1976</v>
      </c>
      <c r="B32" s="2056">
        <v>148</v>
      </c>
      <c r="C32" s="2056">
        <v>17</v>
      </c>
      <c r="D32" s="2057">
        <v>1878549.2</v>
      </c>
      <c r="E32" s="2057">
        <v>530000</v>
      </c>
      <c r="F32" s="2057">
        <v>0</v>
      </c>
      <c r="G32" s="2057">
        <f t="shared" si="0"/>
        <v>530000</v>
      </c>
      <c r="H32" s="2060" t="s">
        <v>390</v>
      </c>
      <c r="I32" s="2059">
        <v>2016</v>
      </c>
      <c r="K32" s="2040"/>
    </row>
    <row r="33" spans="1:11" ht="15" x14ac:dyDescent="0.25">
      <c r="A33" s="2055" t="s">
        <v>1977</v>
      </c>
      <c r="B33" s="2056">
        <v>145</v>
      </c>
      <c r="C33" s="2056">
        <v>9</v>
      </c>
      <c r="D33" s="2057">
        <v>1572207.45</v>
      </c>
      <c r="E33" s="2057">
        <v>470000</v>
      </c>
      <c r="F33" s="2057">
        <v>0</v>
      </c>
      <c r="G33" s="2057">
        <f t="shared" si="0"/>
        <v>470000</v>
      </c>
      <c r="H33" s="2060" t="s">
        <v>390</v>
      </c>
      <c r="I33" s="2059">
        <v>2016</v>
      </c>
      <c r="K33" s="2040"/>
    </row>
    <row r="34" spans="1:11" ht="15" x14ac:dyDescent="0.25">
      <c r="A34" s="2055" t="s">
        <v>1978</v>
      </c>
      <c r="B34" s="2056">
        <v>121</v>
      </c>
      <c r="C34" s="2056">
        <v>11</v>
      </c>
      <c r="D34" s="2057">
        <v>1835981.4</v>
      </c>
      <c r="E34" s="2057">
        <f>0.57*D34</f>
        <v>1046509.3979999998</v>
      </c>
      <c r="F34" s="2057">
        <v>0</v>
      </c>
      <c r="G34" s="2057">
        <f t="shared" si="0"/>
        <v>1046509.3979999998</v>
      </c>
      <c r="H34" s="2060" t="s">
        <v>390</v>
      </c>
      <c r="I34" s="2059">
        <v>2018</v>
      </c>
      <c r="K34" s="2040"/>
    </row>
    <row r="35" spans="1:11" ht="15" x14ac:dyDescent="0.25">
      <c r="A35" s="2055" t="s">
        <v>1979</v>
      </c>
      <c r="B35" s="2056">
        <v>131</v>
      </c>
      <c r="C35" s="2056">
        <v>11</v>
      </c>
      <c r="D35" s="2057">
        <v>1943568</v>
      </c>
      <c r="E35" s="2057">
        <f>0.57*D35</f>
        <v>1107833.76</v>
      </c>
      <c r="F35" s="2057">
        <v>0</v>
      </c>
      <c r="G35" s="2057">
        <f t="shared" si="0"/>
        <v>1107833.76</v>
      </c>
      <c r="H35" s="2060" t="s">
        <v>390</v>
      </c>
      <c r="I35" s="2059">
        <v>2018</v>
      </c>
      <c r="K35" s="2040"/>
    </row>
    <row r="36" spans="1:11" ht="15" x14ac:dyDescent="0.25">
      <c r="A36" s="2055" t="s">
        <v>1980</v>
      </c>
      <c r="B36" s="2056">
        <v>141</v>
      </c>
      <c r="C36" s="2056">
        <v>11</v>
      </c>
      <c r="D36" s="2057">
        <v>1870000</v>
      </c>
      <c r="E36" s="2057">
        <f>0.57*D36</f>
        <v>1065900</v>
      </c>
      <c r="F36" s="2057">
        <v>0</v>
      </c>
      <c r="G36" s="2057">
        <f t="shared" si="0"/>
        <v>1065900</v>
      </c>
      <c r="H36" s="2060" t="s">
        <v>390</v>
      </c>
      <c r="I36" s="2059">
        <v>2018</v>
      </c>
      <c r="K36" s="2040"/>
    </row>
    <row r="37" spans="1:11" ht="15" x14ac:dyDescent="0.25">
      <c r="A37" s="2055" t="s">
        <v>1981</v>
      </c>
      <c r="B37" s="2056">
        <v>270</v>
      </c>
      <c r="C37" s="2056">
        <v>11</v>
      </c>
      <c r="D37" s="2057">
        <v>2139449.4</v>
      </c>
      <c r="E37" s="2057">
        <f>0.57*D37</f>
        <v>1219486.1579999998</v>
      </c>
      <c r="F37" s="2057">
        <v>0</v>
      </c>
      <c r="G37" s="2057">
        <f t="shared" si="0"/>
        <v>1219486.1579999998</v>
      </c>
      <c r="H37" s="2060" t="s">
        <v>390</v>
      </c>
      <c r="I37" s="2059">
        <v>2018</v>
      </c>
      <c r="K37" s="2040"/>
    </row>
    <row r="38" spans="1:11" ht="15" x14ac:dyDescent="0.25">
      <c r="A38" s="2061" t="s">
        <v>518</v>
      </c>
      <c r="B38" s="2056">
        <v>265</v>
      </c>
      <c r="C38" s="2056">
        <v>7</v>
      </c>
      <c r="D38" s="2057">
        <v>1760368.5</v>
      </c>
      <c r="E38" s="2057">
        <v>300000</v>
      </c>
      <c r="F38" s="2057">
        <v>0</v>
      </c>
      <c r="G38" s="2057">
        <f t="shared" si="0"/>
        <v>300000</v>
      </c>
      <c r="H38" s="2060" t="s">
        <v>390</v>
      </c>
      <c r="I38" s="2059">
        <v>2017</v>
      </c>
      <c r="K38" s="2040"/>
    </row>
    <row r="39" spans="1:11" ht="15" x14ac:dyDescent="0.25">
      <c r="A39" s="2061" t="s">
        <v>1982</v>
      </c>
      <c r="B39" s="2056">
        <v>286</v>
      </c>
      <c r="C39" s="2056">
        <v>7</v>
      </c>
      <c r="D39" s="2057">
        <v>1899869.4</v>
      </c>
      <c r="E39" s="2057">
        <v>600000</v>
      </c>
      <c r="F39" s="2057">
        <v>0</v>
      </c>
      <c r="G39" s="2057">
        <f t="shared" si="0"/>
        <v>600000</v>
      </c>
      <c r="H39" s="2060" t="s">
        <v>390</v>
      </c>
      <c r="I39" s="2059">
        <v>2018</v>
      </c>
      <c r="K39" s="2040"/>
    </row>
    <row r="40" spans="1:11" ht="14.1" customHeight="1" x14ac:dyDescent="0.25">
      <c r="A40" s="2055" t="s">
        <v>1983</v>
      </c>
      <c r="B40" s="2056">
        <v>500</v>
      </c>
      <c r="C40" s="2056">
        <v>1</v>
      </c>
      <c r="D40" s="2062">
        <v>6700000</v>
      </c>
      <c r="E40" s="2062">
        <v>8400000</v>
      </c>
      <c r="F40" s="2057">
        <v>6700000</v>
      </c>
      <c r="G40" s="2057">
        <f t="shared" si="0"/>
        <v>1700000</v>
      </c>
      <c r="H40" s="2058" t="s">
        <v>386</v>
      </c>
      <c r="I40" s="2059">
        <v>2019</v>
      </c>
      <c r="K40" s="2040"/>
    </row>
    <row r="41" spans="1:11" ht="15.95" customHeight="1" x14ac:dyDescent="0.25">
      <c r="A41" s="2063" t="s">
        <v>389</v>
      </c>
      <c r="B41" s="2064">
        <v>97</v>
      </c>
      <c r="C41" s="2064">
        <v>7</v>
      </c>
      <c r="D41" s="2062">
        <v>1400000</v>
      </c>
      <c r="E41" s="2062">
        <v>1400000</v>
      </c>
      <c r="F41" s="2057">
        <f t="shared" ref="F41:F56" si="2">0*E41</f>
        <v>0</v>
      </c>
      <c r="G41" s="2057">
        <f t="shared" si="0"/>
        <v>1400000</v>
      </c>
      <c r="H41" s="2060" t="s">
        <v>390</v>
      </c>
      <c r="I41" s="2065">
        <v>2018</v>
      </c>
      <c r="K41" s="2040"/>
    </row>
    <row r="42" spans="1:11" ht="15" x14ac:dyDescent="0.25">
      <c r="A42" s="2063" t="s">
        <v>405</v>
      </c>
      <c r="B42" s="2064">
        <v>380</v>
      </c>
      <c r="C42" s="2064">
        <v>12</v>
      </c>
      <c r="D42" s="2062">
        <v>5900000</v>
      </c>
      <c r="E42" s="2062">
        <v>0</v>
      </c>
      <c r="F42" s="2057">
        <f t="shared" si="2"/>
        <v>0</v>
      </c>
      <c r="G42" s="2057">
        <f t="shared" si="0"/>
        <v>0</v>
      </c>
      <c r="H42" s="2060" t="s">
        <v>406</v>
      </c>
      <c r="I42" s="2065">
        <v>2016</v>
      </c>
      <c r="K42" s="2040"/>
    </row>
    <row r="43" spans="1:11" x14ac:dyDescent="0.2">
      <c r="A43" s="2063" t="s">
        <v>1984</v>
      </c>
      <c r="B43" s="2064">
        <v>132</v>
      </c>
      <c r="C43" s="2064">
        <v>12</v>
      </c>
      <c r="D43" s="2062">
        <v>2000000</v>
      </c>
      <c r="E43" s="2062">
        <v>0</v>
      </c>
      <c r="F43" s="2057">
        <f t="shared" si="2"/>
        <v>0</v>
      </c>
      <c r="G43" s="2057">
        <f t="shared" si="0"/>
        <v>0</v>
      </c>
      <c r="H43" s="2060" t="s">
        <v>390</v>
      </c>
      <c r="I43" s="2065">
        <v>2016</v>
      </c>
    </row>
    <row r="44" spans="1:11" x14ac:dyDescent="0.2">
      <c r="A44" s="2063" t="s">
        <v>1985</v>
      </c>
      <c r="B44" s="2064">
        <v>168</v>
      </c>
      <c r="C44" s="2064">
        <v>9</v>
      </c>
      <c r="D44" s="2062">
        <v>2650000</v>
      </c>
      <c r="E44" s="2062">
        <v>0</v>
      </c>
      <c r="F44" s="2057">
        <f t="shared" si="2"/>
        <v>0</v>
      </c>
      <c r="G44" s="2057">
        <f t="shared" si="0"/>
        <v>0</v>
      </c>
      <c r="H44" s="2060" t="s">
        <v>1986</v>
      </c>
      <c r="I44" s="2065">
        <v>2016</v>
      </c>
    </row>
    <row r="45" spans="1:11" x14ac:dyDescent="0.2">
      <c r="A45" s="2063" t="s">
        <v>1987</v>
      </c>
      <c r="B45" s="2064">
        <v>550</v>
      </c>
      <c r="C45" s="2064">
        <v>1</v>
      </c>
      <c r="D45" s="2756">
        <v>28000000</v>
      </c>
      <c r="E45" s="2756">
        <v>22000000</v>
      </c>
      <c r="F45" s="2756">
        <v>22000000</v>
      </c>
      <c r="G45" s="2057">
        <v>0</v>
      </c>
      <c r="H45" s="2060" t="s">
        <v>390</v>
      </c>
      <c r="I45" s="2065">
        <v>2017</v>
      </c>
    </row>
    <row r="46" spans="1:11" x14ac:dyDescent="0.2">
      <c r="A46" s="2063" t="s">
        <v>1988</v>
      </c>
      <c r="B46" s="2064">
        <v>195</v>
      </c>
      <c r="C46" s="2064">
        <v>12</v>
      </c>
      <c r="D46" s="2757"/>
      <c r="E46" s="2757"/>
      <c r="F46" s="2757"/>
      <c r="G46" s="2057">
        <v>0</v>
      </c>
      <c r="H46" s="2060" t="s">
        <v>390</v>
      </c>
      <c r="I46" s="2065">
        <v>2017</v>
      </c>
    </row>
    <row r="47" spans="1:11" x14ac:dyDescent="0.2">
      <c r="A47" s="2063" t="s">
        <v>1983</v>
      </c>
      <c r="B47" s="2064">
        <v>475</v>
      </c>
      <c r="C47" s="2064">
        <v>1</v>
      </c>
      <c r="D47" s="2757"/>
      <c r="E47" s="2757"/>
      <c r="F47" s="2757"/>
      <c r="G47" s="2057">
        <v>0</v>
      </c>
      <c r="H47" s="2060" t="s">
        <v>390</v>
      </c>
      <c r="I47" s="2065">
        <v>2017</v>
      </c>
    </row>
    <row r="48" spans="1:11" x14ac:dyDescent="0.2">
      <c r="A48" s="2063" t="s">
        <v>1989</v>
      </c>
      <c r="B48" s="2064">
        <v>115</v>
      </c>
      <c r="C48" s="2064">
        <v>1</v>
      </c>
      <c r="D48" s="2757"/>
      <c r="E48" s="2757"/>
      <c r="F48" s="2757"/>
      <c r="G48" s="2057">
        <v>0</v>
      </c>
      <c r="H48" s="2060" t="s">
        <v>390</v>
      </c>
      <c r="I48" s="2065">
        <v>2017</v>
      </c>
    </row>
    <row r="49" spans="1:13" x14ac:dyDescent="0.2">
      <c r="A49" s="2063" t="s">
        <v>1990</v>
      </c>
      <c r="B49" s="2064">
        <v>600</v>
      </c>
      <c r="C49" s="2064">
        <v>4</v>
      </c>
      <c r="D49" s="2758"/>
      <c r="E49" s="2758"/>
      <c r="F49" s="2758"/>
      <c r="G49" s="2057">
        <v>0</v>
      </c>
      <c r="H49" s="2060" t="s">
        <v>390</v>
      </c>
      <c r="I49" s="2065">
        <v>2017</v>
      </c>
    </row>
    <row r="50" spans="1:13" x14ac:dyDescent="0.2">
      <c r="A50" s="2063" t="s">
        <v>1991</v>
      </c>
      <c r="B50" s="2064">
        <v>93</v>
      </c>
      <c r="C50" s="2064">
        <v>12</v>
      </c>
      <c r="D50" s="2062">
        <v>7039297.21</v>
      </c>
      <c r="E50" s="2062">
        <v>3603389.52</v>
      </c>
      <c r="F50" s="2057">
        <f t="shared" si="2"/>
        <v>0</v>
      </c>
      <c r="G50" s="2057">
        <f t="shared" si="0"/>
        <v>3603389.52</v>
      </c>
      <c r="H50" s="2060" t="s">
        <v>390</v>
      </c>
      <c r="I50" s="2065">
        <v>2017</v>
      </c>
    </row>
    <row r="51" spans="1:13" x14ac:dyDescent="0.2">
      <c r="A51" s="2063" t="s">
        <v>1992</v>
      </c>
      <c r="B51" s="2064">
        <v>348</v>
      </c>
      <c r="C51" s="2064">
        <v>13</v>
      </c>
      <c r="D51" s="2062">
        <v>6712015.2000000002</v>
      </c>
      <c r="E51" s="2062">
        <v>340000</v>
      </c>
      <c r="F51" s="2057">
        <f t="shared" si="2"/>
        <v>0</v>
      </c>
      <c r="G51" s="2057">
        <f t="shared" si="0"/>
        <v>340000</v>
      </c>
      <c r="H51" s="2060" t="s">
        <v>525</v>
      </c>
      <c r="I51" s="2065">
        <v>2018</v>
      </c>
    </row>
    <row r="52" spans="1:13" x14ac:dyDescent="0.2">
      <c r="A52" s="2063" t="s">
        <v>1993</v>
      </c>
      <c r="B52" s="2064">
        <v>160</v>
      </c>
      <c r="C52" s="2064">
        <v>17</v>
      </c>
      <c r="D52" s="2062">
        <v>1870000</v>
      </c>
      <c r="E52" s="2062">
        <v>2000000</v>
      </c>
      <c r="F52" s="2057">
        <f t="shared" si="2"/>
        <v>0</v>
      </c>
      <c r="G52" s="2057">
        <f t="shared" si="0"/>
        <v>2000000</v>
      </c>
      <c r="H52" s="2060" t="s">
        <v>1994</v>
      </c>
      <c r="I52" s="2065">
        <v>2017</v>
      </c>
    </row>
    <row r="53" spans="1:13" x14ac:dyDescent="0.2">
      <c r="A53" s="2063" t="s">
        <v>1973</v>
      </c>
      <c r="B53" s="2064">
        <v>174</v>
      </c>
      <c r="C53" s="2064">
        <v>17</v>
      </c>
      <c r="D53" s="2062">
        <v>2200000</v>
      </c>
      <c r="E53" s="2062">
        <v>1800000</v>
      </c>
      <c r="F53" s="2057">
        <f t="shared" si="2"/>
        <v>0</v>
      </c>
      <c r="G53" s="2057">
        <f t="shared" si="0"/>
        <v>1800000</v>
      </c>
      <c r="H53" s="2060" t="s">
        <v>390</v>
      </c>
      <c r="I53" s="2065">
        <v>2017</v>
      </c>
    </row>
    <row r="54" spans="1:13" x14ac:dyDescent="0.2">
      <c r="A54" s="2063" t="s">
        <v>1995</v>
      </c>
      <c r="B54" s="2064">
        <v>409</v>
      </c>
      <c r="C54" s="2064">
        <v>13</v>
      </c>
      <c r="D54" s="2062">
        <v>7700000</v>
      </c>
      <c r="E54" s="2062">
        <v>1220000</v>
      </c>
      <c r="F54" s="2057">
        <f t="shared" si="2"/>
        <v>0</v>
      </c>
      <c r="G54" s="2057">
        <f t="shared" si="0"/>
        <v>1220000</v>
      </c>
      <c r="H54" s="2060" t="s">
        <v>390</v>
      </c>
      <c r="I54" s="2065">
        <v>2017</v>
      </c>
    </row>
    <row r="55" spans="1:13" x14ac:dyDescent="0.2">
      <c r="A55" s="2063" t="s">
        <v>1996</v>
      </c>
      <c r="B55" s="2064">
        <v>120</v>
      </c>
      <c r="C55" s="2064">
        <v>17</v>
      </c>
      <c r="D55" s="2062">
        <v>1500000</v>
      </c>
      <c r="E55" s="2062">
        <v>300000</v>
      </c>
      <c r="F55" s="2057">
        <f t="shared" si="2"/>
        <v>0</v>
      </c>
      <c r="G55" s="2057">
        <f t="shared" si="0"/>
        <v>300000</v>
      </c>
      <c r="H55" s="2060" t="s">
        <v>390</v>
      </c>
      <c r="I55" s="2065">
        <v>2017</v>
      </c>
    </row>
    <row r="56" spans="1:13" x14ac:dyDescent="0.2">
      <c r="A56" s="2063" t="s">
        <v>1997</v>
      </c>
      <c r="B56" s="2064">
        <v>402</v>
      </c>
      <c r="C56" s="2064">
        <v>13</v>
      </c>
      <c r="D56" s="2062">
        <v>7500000</v>
      </c>
      <c r="E56" s="2062">
        <v>1700000</v>
      </c>
      <c r="F56" s="2057">
        <f t="shared" si="2"/>
        <v>0</v>
      </c>
      <c r="G56" s="2057">
        <f t="shared" si="0"/>
        <v>1700000</v>
      </c>
      <c r="H56" s="2060" t="s">
        <v>390</v>
      </c>
      <c r="I56" s="2065">
        <v>2017</v>
      </c>
    </row>
    <row r="57" spans="1:13" ht="13.5" thickBot="1" x14ac:dyDescent="0.25">
      <c r="A57" s="2066" t="s">
        <v>1998</v>
      </c>
      <c r="B57" s="2067">
        <v>98</v>
      </c>
      <c r="C57" s="2067">
        <v>12</v>
      </c>
      <c r="D57" s="2068">
        <v>1500000</v>
      </c>
      <c r="E57" s="2068">
        <v>420000</v>
      </c>
      <c r="F57" s="2068">
        <f>0*E57</f>
        <v>0</v>
      </c>
      <c r="G57" s="2068">
        <f t="shared" si="0"/>
        <v>420000</v>
      </c>
      <c r="H57" s="2069" t="s">
        <v>390</v>
      </c>
      <c r="I57" s="2070">
        <v>2017</v>
      </c>
    </row>
    <row r="59" spans="1:13" ht="15" x14ac:dyDescent="0.25">
      <c r="A59" s="2039" t="s">
        <v>417</v>
      </c>
      <c r="B59" s="2041">
        <f>SUM(B41:B57)</f>
        <v>4516</v>
      </c>
      <c r="D59" s="2042">
        <f>SUM(D7:D57)</f>
        <v>303443844.94</v>
      </c>
      <c r="E59" s="2042">
        <f>SUM(E7:E57)</f>
        <v>225932146.146</v>
      </c>
      <c r="F59" s="2042">
        <f>SUM(F7:F57)</f>
        <v>131908617.43000001</v>
      </c>
      <c r="G59" s="2042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44" t="s">
        <v>527</v>
      </c>
      <c r="B61" s="2038" t="s">
        <v>369</v>
      </c>
      <c r="D61" s="2044" t="s">
        <v>371</v>
      </c>
      <c r="E61" s="2036" t="s">
        <v>1957</v>
      </c>
      <c r="F61" s="2036" t="s">
        <v>1999</v>
      </c>
      <c r="G61" s="2036" t="s">
        <v>1910</v>
      </c>
      <c r="H61" s="2038" t="s">
        <v>376</v>
      </c>
      <c r="I61" s="2038" t="s">
        <v>362</v>
      </c>
    </row>
    <row r="62" spans="1:13" x14ac:dyDescent="0.2">
      <c r="A62" s="2055" t="s">
        <v>528</v>
      </c>
      <c r="B62" s="2071">
        <v>230</v>
      </c>
      <c r="D62" s="2072">
        <v>4270090</v>
      </c>
      <c r="E62" s="2057">
        <v>3825914.97</v>
      </c>
      <c r="F62" s="2057">
        <v>3001800</v>
      </c>
      <c r="G62" s="2057">
        <f>E62-F62</f>
        <v>824114.9700000002</v>
      </c>
      <c r="H62" s="2073" t="s">
        <v>390</v>
      </c>
      <c r="I62" s="2065">
        <v>2017</v>
      </c>
    </row>
    <row r="63" spans="1:13" x14ac:dyDescent="0.2">
      <c r="A63" s="2055" t="s">
        <v>529</v>
      </c>
      <c r="B63" s="2071">
        <v>300</v>
      </c>
      <c r="D63" s="2072">
        <v>1500000</v>
      </c>
      <c r="E63" s="2057">
        <v>150000</v>
      </c>
      <c r="F63" s="2062">
        <v>0</v>
      </c>
      <c r="G63" s="2062">
        <f>E63-F63</f>
        <v>150000</v>
      </c>
      <c r="H63" s="2073" t="s">
        <v>390</v>
      </c>
      <c r="I63" s="2065">
        <v>2018</v>
      </c>
    </row>
    <row r="64" spans="1:13" x14ac:dyDescent="0.2">
      <c r="A64" s="2055" t="s">
        <v>2000</v>
      </c>
      <c r="B64" s="2071">
        <v>12</v>
      </c>
      <c r="D64" s="2072">
        <v>450000</v>
      </c>
      <c r="E64" s="2057">
        <v>550000</v>
      </c>
      <c r="F64" s="2062">
        <v>480000</v>
      </c>
      <c r="G64" s="2062">
        <f>E64-F64</f>
        <v>70000</v>
      </c>
      <c r="H64" s="2073" t="s">
        <v>390</v>
      </c>
      <c r="I64" s="2065">
        <v>2020</v>
      </c>
      <c r="J64" s="2030" t="s">
        <v>388</v>
      </c>
      <c r="K64" s="2030" t="s">
        <v>388</v>
      </c>
      <c r="L64" s="2030" t="s">
        <v>388</v>
      </c>
      <c r="M64" s="2030">
        <v>2020</v>
      </c>
    </row>
    <row r="65" spans="1:10" x14ac:dyDescent="0.2">
      <c r="A65" s="2055" t="s">
        <v>422</v>
      </c>
      <c r="B65" s="2074">
        <v>3000</v>
      </c>
      <c r="D65" s="2072">
        <v>7400000</v>
      </c>
      <c r="E65" s="2057">
        <v>350000</v>
      </c>
      <c r="F65" s="2062">
        <v>0</v>
      </c>
      <c r="G65" s="2062">
        <f>E65-F65</f>
        <v>350000</v>
      </c>
      <c r="H65" s="2073" t="s">
        <v>390</v>
      </c>
      <c r="I65" s="2065">
        <v>2017</v>
      </c>
    </row>
    <row r="66" spans="1:10" ht="13.5" thickBot="1" x14ac:dyDescent="0.25">
      <c r="A66" s="2066" t="s">
        <v>531</v>
      </c>
      <c r="B66" s="2075">
        <v>800</v>
      </c>
      <c r="D66" s="2076">
        <v>2400000</v>
      </c>
      <c r="E66" s="2068">
        <v>120000</v>
      </c>
      <c r="F66" s="2068">
        <v>0</v>
      </c>
      <c r="G66" s="2068">
        <f>E66-F66</f>
        <v>120000</v>
      </c>
      <c r="H66" s="2077" t="s">
        <v>390</v>
      </c>
      <c r="I66" s="2070">
        <v>2019</v>
      </c>
    </row>
    <row r="68" spans="1:10" ht="15" x14ac:dyDescent="0.25">
      <c r="A68" s="2039" t="s">
        <v>417</v>
      </c>
      <c r="B68" s="2041">
        <f>SUM(B62:B66)</f>
        <v>4342</v>
      </c>
      <c r="D68" s="2042">
        <f>SUM(D62:D66)</f>
        <v>16020090</v>
      </c>
      <c r="E68" s="2042">
        <f>SUM(E62:E66)</f>
        <v>4995914.9700000007</v>
      </c>
      <c r="F68" s="2042">
        <f>SUM(F62:F66)</f>
        <v>3481800</v>
      </c>
      <c r="G68" s="2042">
        <f>SUM(G62:G66)</f>
        <v>1514114.9700000002</v>
      </c>
    </row>
    <row r="70" spans="1:10" ht="16.5" thickBot="1" x14ac:dyDescent="0.25">
      <c r="A70" s="2043" t="s">
        <v>437</v>
      </c>
      <c r="E70" s="2042"/>
    </row>
    <row r="71" spans="1:10" ht="15.75" thickBot="1" x14ac:dyDescent="0.3">
      <c r="A71" s="2045"/>
      <c r="D71" s="2044" t="s">
        <v>371</v>
      </c>
      <c r="E71" s="2046" t="s">
        <v>1957</v>
      </c>
      <c r="F71" s="2036" t="s">
        <v>1999</v>
      </c>
      <c r="G71" s="2036" t="s">
        <v>1910</v>
      </c>
      <c r="H71" s="2038" t="s">
        <v>376</v>
      </c>
      <c r="I71" s="2038" t="s">
        <v>362</v>
      </c>
      <c r="J71" s="2054" t="s">
        <v>2001</v>
      </c>
    </row>
    <row r="72" spans="1:10" ht="18" customHeight="1" x14ac:dyDescent="0.2">
      <c r="A72" s="2078" t="s">
        <v>533</v>
      </c>
      <c r="D72" s="2072">
        <v>46000000</v>
      </c>
      <c r="E72" s="2079">
        <v>32000000</v>
      </c>
      <c r="F72" s="2072">
        <v>10600000</v>
      </c>
      <c r="G72" s="2057">
        <f>E72-F72</f>
        <v>21400000</v>
      </c>
      <c r="H72" s="2073" t="s">
        <v>390</v>
      </c>
      <c r="I72" s="2065">
        <v>2018</v>
      </c>
      <c r="J72" s="2080" t="s">
        <v>2002</v>
      </c>
    </row>
    <row r="73" spans="1:10" x14ac:dyDescent="0.2">
      <c r="A73" s="2078" t="s">
        <v>439</v>
      </c>
      <c r="D73" s="2072">
        <v>2000000</v>
      </c>
      <c r="E73" s="2079">
        <v>700000</v>
      </c>
      <c r="F73" s="2072">
        <v>200000</v>
      </c>
      <c r="G73" s="2057">
        <f>E73-F73</f>
        <v>500000</v>
      </c>
      <c r="H73" s="2073" t="s">
        <v>390</v>
      </c>
      <c r="I73" s="2065">
        <v>2018</v>
      </c>
      <c r="J73" s="2065"/>
    </row>
    <row r="74" spans="1:10" x14ac:dyDescent="0.2">
      <c r="A74" s="2078" t="s">
        <v>2003</v>
      </c>
      <c r="D74" s="2072">
        <v>2400000</v>
      </c>
      <c r="E74" s="2079">
        <v>2400000</v>
      </c>
      <c r="F74" s="2072">
        <f>D74-E74</f>
        <v>0</v>
      </c>
      <c r="G74" s="2057">
        <f>E74-F74</f>
        <v>2400000</v>
      </c>
      <c r="H74" s="2073" t="s">
        <v>390</v>
      </c>
      <c r="I74" s="2065">
        <v>2020</v>
      </c>
      <c r="J74" s="2065"/>
    </row>
    <row r="75" spans="1:10" x14ac:dyDescent="0.2">
      <c r="A75" s="2078" t="s">
        <v>486</v>
      </c>
      <c r="D75" s="2072">
        <v>14513708</v>
      </c>
      <c r="E75" s="2079">
        <v>14777675</v>
      </c>
      <c r="F75" s="2072">
        <v>11709896</v>
      </c>
      <c r="G75" s="2057">
        <f>E75-F75</f>
        <v>3067779</v>
      </c>
      <c r="H75" s="2073" t="s">
        <v>390</v>
      </c>
      <c r="I75" s="2065">
        <v>2020</v>
      </c>
      <c r="J75" s="2065"/>
    </row>
    <row r="76" spans="1:10" ht="17.100000000000001" customHeight="1" thickBot="1" x14ac:dyDescent="0.25">
      <c r="A76" s="2081" t="s">
        <v>534</v>
      </c>
      <c r="D76" s="2082">
        <v>30250000</v>
      </c>
      <c r="E76" s="2083">
        <v>31446800</v>
      </c>
      <c r="F76" s="2082">
        <v>0</v>
      </c>
      <c r="G76" s="2084">
        <f>E76-F76</f>
        <v>31446800</v>
      </c>
      <c r="H76" s="2085" t="s">
        <v>390</v>
      </c>
      <c r="I76" s="2070" t="s">
        <v>1971</v>
      </c>
      <c r="J76" s="2086" t="s">
        <v>2004</v>
      </c>
    </row>
    <row r="77" spans="1:10" x14ac:dyDescent="0.2">
      <c r="D77" s="2042"/>
      <c r="E77" s="2042"/>
      <c r="F77" s="2042"/>
      <c r="G77" s="2042"/>
      <c r="H77" s="2042"/>
    </row>
    <row r="78" spans="1:10" ht="15" x14ac:dyDescent="0.25">
      <c r="A78" s="2039" t="s">
        <v>417</v>
      </c>
      <c r="D78" s="2042">
        <f>SUM(D72:D76)</f>
        <v>95163708</v>
      </c>
      <c r="E78" s="2042">
        <f>SUM(E72:E76)</f>
        <v>81324475</v>
      </c>
      <c r="F78" s="2042">
        <f>SUM(F72:F76)</f>
        <v>22509896</v>
      </c>
      <c r="G78" s="2042">
        <f>SUM(G72:G76)</f>
        <v>58814579</v>
      </c>
      <c r="H78" s="2042"/>
      <c r="I78" s="2042"/>
    </row>
    <row r="79" spans="1:10" ht="15" x14ac:dyDescent="0.25">
      <c r="A79" s="2039"/>
      <c r="D79" s="2042"/>
      <c r="E79" s="2042"/>
      <c r="F79" s="2042"/>
      <c r="G79" s="2042"/>
      <c r="H79" s="2042"/>
      <c r="I79" s="2042"/>
    </row>
    <row r="80" spans="1:10" ht="16.5" thickBot="1" x14ac:dyDescent="0.25">
      <c r="A80" s="2043" t="s">
        <v>427</v>
      </c>
      <c r="E80" s="2042"/>
    </row>
    <row r="81" spans="1:12" ht="15.75" thickBot="1" x14ac:dyDescent="0.3">
      <c r="A81" s="2045"/>
      <c r="D81" s="2044" t="s">
        <v>371</v>
      </c>
      <c r="E81" s="2046" t="s">
        <v>1957</v>
      </c>
      <c r="F81" s="2036" t="s">
        <v>376</v>
      </c>
      <c r="G81" s="2036" t="s">
        <v>380</v>
      </c>
      <c r="H81" s="2036" t="s">
        <v>381</v>
      </c>
      <c r="I81" s="2036" t="s">
        <v>382</v>
      </c>
      <c r="J81" s="2036" t="s">
        <v>383</v>
      </c>
      <c r="K81" s="2038" t="s">
        <v>140</v>
      </c>
      <c r="L81" s="2038" t="s">
        <v>1911</v>
      </c>
    </row>
    <row r="82" spans="1:12" x14ac:dyDescent="0.2">
      <c r="A82" s="2078" t="s">
        <v>434</v>
      </c>
      <c r="D82" s="2087">
        <v>4100000</v>
      </c>
      <c r="E82" s="2079"/>
      <c r="F82" s="2058" t="s">
        <v>390</v>
      </c>
      <c r="G82" s="2058" t="s">
        <v>1926</v>
      </c>
      <c r="H82" s="2060" t="s">
        <v>388</v>
      </c>
      <c r="I82" s="2060" t="s">
        <v>388</v>
      </c>
      <c r="J82" s="2060" t="s">
        <v>388</v>
      </c>
      <c r="K82" s="2060" t="s">
        <v>388</v>
      </c>
      <c r="L82" s="2073">
        <v>2021</v>
      </c>
    </row>
    <row r="83" spans="1:12" x14ac:dyDescent="0.2">
      <c r="A83" s="2078" t="s">
        <v>2005</v>
      </c>
      <c r="D83" s="2087">
        <v>25000000</v>
      </c>
      <c r="E83" s="2079"/>
      <c r="F83" s="2058" t="s">
        <v>390</v>
      </c>
      <c r="G83" s="2058" t="s">
        <v>1926</v>
      </c>
      <c r="H83" s="2060" t="s">
        <v>388</v>
      </c>
      <c r="I83" s="2060" t="s">
        <v>388</v>
      </c>
      <c r="J83" s="2060" t="s">
        <v>388</v>
      </c>
      <c r="K83" s="2060" t="s">
        <v>388</v>
      </c>
      <c r="L83" s="2073">
        <v>2021</v>
      </c>
    </row>
    <row r="84" spans="1:12" x14ac:dyDescent="0.2">
      <c r="A84" s="2078" t="s">
        <v>435</v>
      </c>
      <c r="D84" s="2087">
        <v>2900000</v>
      </c>
      <c r="E84" s="2079"/>
      <c r="F84" s="2058" t="s">
        <v>390</v>
      </c>
      <c r="G84" s="2058" t="s">
        <v>1926</v>
      </c>
      <c r="H84" s="2060" t="s">
        <v>388</v>
      </c>
      <c r="I84" s="2060" t="s">
        <v>388</v>
      </c>
      <c r="J84" s="2060" t="s">
        <v>388</v>
      </c>
      <c r="K84" s="2060" t="s">
        <v>388</v>
      </c>
      <c r="L84" s="2073">
        <v>2021</v>
      </c>
    </row>
    <row r="85" spans="1:12" ht="13.5" thickBot="1" x14ac:dyDescent="0.25">
      <c r="A85" s="2088" t="s">
        <v>436</v>
      </c>
      <c r="D85" s="2076">
        <v>2900000</v>
      </c>
      <c r="E85" s="2089"/>
      <c r="F85" s="2069" t="s">
        <v>390</v>
      </c>
      <c r="G85" s="2090" t="s">
        <v>1926</v>
      </c>
      <c r="H85" s="2069" t="s">
        <v>388</v>
      </c>
      <c r="I85" s="2069" t="s">
        <v>388</v>
      </c>
      <c r="J85" s="2069" t="s">
        <v>388</v>
      </c>
      <c r="K85" s="2069" t="s">
        <v>388</v>
      </c>
      <c r="L85" s="2085">
        <v>2021</v>
      </c>
    </row>
    <row r="86" spans="1:12" x14ac:dyDescent="0.2">
      <c r="D86" s="2042"/>
      <c r="E86" s="2042"/>
    </row>
    <row r="87" spans="1:12" ht="15" x14ac:dyDescent="0.25">
      <c r="A87" s="2039" t="s">
        <v>417</v>
      </c>
      <c r="D87" s="2042">
        <f>SUM(D82:D85)</f>
        <v>34900000</v>
      </c>
      <c r="E87" s="2042">
        <v>34550000</v>
      </c>
      <c r="F87" s="2042"/>
      <c r="G87" s="2042"/>
    </row>
    <row r="88" spans="1:12" ht="16.5" thickBot="1" x14ac:dyDescent="0.25">
      <c r="A88" s="2043" t="s">
        <v>442</v>
      </c>
      <c r="E88" s="2042"/>
    </row>
    <row r="89" spans="1:12" ht="15.75" thickBot="1" x14ac:dyDescent="0.3">
      <c r="A89" s="2045"/>
      <c r="D89" s="2044" t="s">
        <v>371</v>
      </c>
      <c r="E89" s="2046" t="s">
        <v>1957</v>
      </c>
      <c r="F89" s="2036" t="s">
        <v>1999</v>
      </c>
      <c r="G89" s="2036" t="s">
        <v>419</v>
      </c>
      <c r="H89" s="2038" t="s">
        <v>376</v>
      </c>
      <c r="I89" s="2038" t="s">
        <v>362</v>
      </c>
      <c r="J89" s="2054" t="s">
        <v>2001</v>
      </c>
    </row>
    <row r="90" spans="1:12" x14ac:dyDescent="0.2">
      <c r="A90" s="2078" t="s">
        <v>2006</v>
      </c>
      <c r="D90" s="2072">
        <v>16819000</v>
      </c>
      <c r="E90" s="2079">
        <v>14423486.039999999</v>
      </c>
      <c r="F90" s="2079">
        <v>0</v>
      </c>
      <c r="G90" s="2057">
        <f t="shared" ref="G90:G96" si="3">E90-F90</f>
        <v>14423486.039999999</v>
      </c>
      <c r="H90" s="2073" t="s">
        <v>390</v>
      </c>
      <c r="I90" s="2065">
        <v>2017</v>
      </c>
      <c r="J90" s="2065"/>
    </row>
    <row r="91" spans="1:12" x14ac:dyDescent="0.2">
      <c r="A91" s="2078" t="s">
        <v>2007</v>
      </c>
      <c r="D91" s="2087">
        <v>1500000</v>
      </c>
      <c r="E91" s="2079">
        <v>800000</v>
      </c>
      <c r="F91" s="2079">
        <v>0</v>
      </c>
      <c r="G91" s="2057">
        <f t="shared" si="3"/>
        <v>800000</v>
      </c>
      <c r="H91" s="2073" t="s">
        <v>390</v>
      </c>
      <c r="I91" s="2065">
        <v>2018</v>
      </c>
      <c r="J91" s="2065"/>
    </row>
    <row r="92" spans="1:12" x14ac:dyDescent="0.2">
      <c r="A92" s="2078" t="s">
        <v>2008</v>
      </c>
      <c r="D92" s="2072">
        <v>19360000</v>
      </c>
      <c r="E92" s="2079">
        <v>16319245.810000001</v>
      </c>
      <c r="F92" s="2079">
        <v>11551000</v>
      </c>
      <c r="G92" s="2057">
        <f t="shared" si="3"/>
        <v>4768245.8100000005</v>
      </c>
      <c r="H92" s="2073" t="s">
        <v>390</v>
      </c>
      <c r="I92" s="2065" t="s">
        <v>1961</v>
      </c>
      <c r="J92" s="2065"/>
    </row>
    <row r="93" spans="1:12" x14ac:dyDescent="0.2">
      <c r="A93" s="2078" t="s">
        <v>444</v>
      </c>
      <c r="D93" s="2072">
        <v>18000000</v>
      </c>
      <c r="E93" s="2079">
        <v>11000000</v>
      </c>
      <c r="F93" s="2079">
        <v>0</v>
      </c>
      <c r="G93" s="2057">
        <f t="shared" si="3"/>
        <v>11000000</v>
      </c>
      <c r="H93" s="2073" t="s">
        <v>390</v>
      </c>
      <c r="I93" s="2065">
        <v>2020</v>
      </c>
      <c r="J93" s="2065"/>
    </row>
    <row r="94" spans="1:12" x14ac:dyDescent="0.2">
      <c r="A94" s="2078" t="s">
        <v>2029</v>
      </c>
      <c r="D94" s="2072">
        <v>20000000</v>
      </c>
      <c r="E94" s="2079"/>
      <c r="F94" s="2079"/>
      <c r="G94" s="2057">
        <v>20000000</v>
      </c>
      <c r="H94" s="2073"/>
      <c r="I94" s="2113">
        <v>2022</v>
      </c>
      <c r="J94" s="2113"/>
    </row>
    <row r="95" spans="1:12" x14ac:dyDescent="0.2">
      <c r="A95" s="2091" t="s">
        <v>2009</v>
      </c>
      <c r="D95" s="2087">
        <v>10609398.58</v>
      </c>
      <c r="E95" s="2062">
        <v>8931639.4299999997</v>
      </c>
      <c r="F95" s="2062">
        <v>0</v>
      </c>
      <c r="G95" s="2062">
        <f t="shared" si="3"/>
        <v>8931639.4299999997</v>
      </c>
      <c r="H95" s="2092" t="s">
        <v>390</v>
      </c>
      <c r="I95" s="2093">
        <v>2018</v>
      </c>
      <c r="J95" s="2093"/>
    </row>
    <row r="96" spans="1:12" ht="26.25" thickBot="1" x14ac:dyDescent="0.25">
      <c r="A96" s="2094" t="s">
        <v>2010</v>
      </c>
      <c r="D96" s="2076">
        <v>7078500</v>
      </c>
      <c r="E96" s="2089">
        <v>6814692</v>
      </c>
      <c r="F96" s="2089">
        <v>6282020</v>
      </c>
      <c r="G96" s="2068">
        <f t="shared" si="3"/>
        <v>532672</v>
      </c>
      <c r="H96" s="2077" t="s">
        <v>390</v>
      </c>
      <c r="I96" s="2070">
        <v>2019</v>
      </c>
      <c r="J96" s="2070"/>
    </row>
    <row r="97" spans="1:7" ht="28.5" customHeight="1" x14ac:dyDescent="0.25">
      <c r="A97" s="2039" t="s">
        <v>417</v>
      </c>
      <c r="D97" s="2042">
        <f>SUM(D90:D96)</f>
        <v>93366898.579999998</v>
      </c>
      <c r="E97" s="2042">
        <f>SUM(E90:E96)</f>
        <v>58289063.280000001</v>
      </c>
      <c r="F97" s="2042">
        <f>SUM(F90:F96)</f>
        <v>17833020</v>
      </c>
      <c r="G97" s="2042">
        <f>SUM(G90:G96)</f>
        <v>60456043.280000001</v>
      </c>
    </row>
    <row r="98" spans="1:7" ht="15" x14ac:dyDescent="0.25">
      <c r="A98" s="2039"/>
      <c r="D98" s="2042"/>
      <c r="E98" s="2042"/>
      <c r="F98" s="2042"/>
      <c r="G98" s="2042"/>
    </row>
    <row r="99" spans="1:7" ht="15" x14ac:dyDescent="0.25">
      <c r="B99" s="2047"/>
      <c r="C99" s="2047"/>
      <c r="D99" s="2047"/>
    </row>
    <row r="100" spans="1:7" ht="15" x14ac:dyDescent="0.25">
      <c r="A100" s="2039" t="s">
        <v>2011</v>
      </c>
      <c r="B100" s="2095">
        <f>SUM(D59,D68,D78,D97)</f>
        <v>507994541.51999998</v>
      </c>
      <c r="C100" s="2047"/>
      <c r="D100" s="2047"/>
    </row>
    <row r="101" spans="1:7" ht="15" x14ac:dyDescent="0.25">
      <c r="A101" s="2039" t="s">
        <v>450</v>
      </c>
      <c r="B101" s="2095">
        <f>SUM(E59,E68,E78,E97)</f>
        <v>370541599.39600003</v>
      </c>
      <c r="C101" s="2042"/>
      <c r="D101" s="2042"/>
    </row>
    <row r="102" spans="1:7" ht="15" x14ac:dyDescent="0.25">
      <c r="A102" s="2039" t="s">
        <v>2012</v>
      </c>
      <c r="B102" s="2095">
        <f>SUM(F59,F68,F78,F97)</f>
        <v>175733333.43000001</v>
      </c>
      <c r="C102" s="2042"/>
      <c r="D102" s="2042"/>
    </row>
    <row r="103" spans="1:7" ht="15" x14ac:dyDescent="0.25">
      <c r="A103" s="2039" t="s">
        <v>2013</v>
      </c>
      <c r="B103" s="2095">
        <f>SUM(G59,G68,G78,G97)</f>
        <v>238173226.96599999</v>
      </c>
      <c r="C103" s="2042"/>
      <c r="D103" s="2042"/>
    </row>
    <row r="104" spans="1:7" ht="15" x14ac:dyDescent="0.25">
      <c r="A104" s="2048" t="s">
        <v>453</v>
      </c>
      <c r="B104" s="2049">
        <f>G59</f>
        <v>117388489.71600001</v>
      </c>
      <c r="C104" s="2049"/>
      <c r="D104" s="2049"/>
    </row>
    <row r="105" spans="1:7" ht="15" x14ac:dyDescent="0.25">
      <c r="A105" s="2048" t="s">
        <v>454</v>
      </c>
      <c r="B105" s="2049">
        <f>G68</f>
        <v>1514114.9700000002</v>
      </c>
      <c r="C105" s="2049"/>
      <c r="D105" s="2049"/>
    </row>
    <row r="106" spans="1:7" ht="15" x14ac:dyDescent="0.25">
      <c r="A106" s="2048" t="s">
        <v>455</v>
      </c>
      <c r="B106" s="2049">
        <f>G78</f>
        <v>58814579</v>
      </c>
      <c r="C106" s="2049"/>
      <c r="D106" s="2049"/>
    </row>
    <row r="107" spans="1:7" ht="15" x14ac:dyDescent="0.25">
      <c r="A107" s="2048" t="s">
        <v>456</v>
      </c>
      <c r="B107" s="2049">
        <f>G97</f>
        <v>60456043.280000001</v>
      </c>
      <c r="C107" s="2049"/>
      <c r="D107" s="2049"/>
    </row>
    <row r="108" spans="1:7" ht="15" x14ac:dyDescent="0.25">
      <c r="A108" s="2048"/>
      <c r="B108" s="2049"/>
      <c r="C108" s="2049"/>
      <c r="D108" s="2049"/>
    </row>
    <row r="109" spans="1:7" x14ac:dyDescent="0.2">
      <c r="B109" s="2042"/>
      <c r="C109" s="2042"/>
      <c r="D109" s="2042"/>
    </row>
    <row r="110" spans="1:7" ht="15" x14ac:dyDescent="0.25">
      <c r="A110" s="2096" t="s">
        <v>2014</v>
      </c>
      <c r="B110" s="2097">
        <v>168000000</v>
      </c>
      <c r="C110" s="2098"/>
      <c r="D110" s="2042"/>
    </row>
    <row r="111" spans="1:7" ht="15" x14ac:dyDescent="0.25">
      <c r="A111" s="2099" t="s">
        <v>1938</v>
      </c>
      <c r="B111" s="2100">
        <v>48000000</v>
      </c>
      <c r="C111" s="2100" t="s">
        <v>1939</v>
      </c>
      <c r="D111" s="2042"/>
    </row>
    <row r="112" spans="1:7" ht="15" x14ac:dyDescent="0.25">
      <c r="A112" s="2099" t="s">
        <v>1940</v>
      </c>
      <c r="B112" s="2100">
        <v>90000000</v>
      </c>
      <c r="C112" s="2100" t="s">
        <v>1941</v>
      </c>
      <c r="D112" s="2042"/>
    </row>
    <row r="113" spans="1:4" ht="15" x14ac:dyDescent="0.25">
      <c r="A113" s="2099" t="s">
        <v>1942</v>
      </c>
      <c r="B113" s="2100">
        <v>30000000</v>
      </c>
      <c r="C113" s="2100" t="s">
        <v>1943</v>
      </c>
      <c r="D113" s="2042"/>
    </row>
    <row r="114" spans="1:4" ht="15" x14ac:dyDescent="0.25">
      <c r="A114" s="2096"/>
      <c r="B114" s="2098"/>
      <c r="C114" s="2098"/>
      <c r="D114" s="2042"/>
    </row>
    <row r="115" spans="1:4" x14ac:dyDescent="0.2">
      <c r="A115" s="2101" t="s">
        <v>1944</v>
      </c>
      <c r="B115" s="2098">
        <f>61000000</f>
        <v>61000000</v>
      </c>
      <c r="C115" s="2098"/>
      <c r="D115" s="2042"/>
    </row>
    <row r="116" spans="1:4" x14ac:dyDescent="0.2">
      <c r="B116" s="2042"/>
      <c r="C116" s="2042"/>
      <c r="D116" s="2042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2" customWidth="1"/>
    <col min="2" max="2" width="33.140625" style="452" customWidth="1"/>
    <col min="3" max="3" width="7.85546875" style="452" customWidth="1"/>
    <col min="4" max="4" width="7.7109375" style="452" customWidth="1"/>
    <col min="5" max="5" width="7.42578125" style="452" customWidth="1"/>
    <col min="6" max="6" width="7.85546875" style="452" customWidth="1"/>
    <col min="7" max="7" width="7.42578125" style="452" customWidth="1"/>
    <col min="8" max="8" width="6.28515625" style="452" customWidth="1"/>
    <col min="9" max="9" width="8.28515625" style="452" customWidth="1"/>
    <col min="10" max="10" width="7.28515625" style="452" customWidth="1"/>
    <col min="11" max="11" width="7.140625" style="452" customWidth="1"/>
    <col min="12" max="12" width="7.28515625" style="452" customWidth="1"/>
    <col min="13" max="13" width="7.42578125" style="452" customWidth="1"/>
    <col min="14" max="14" width="8.140625" style="452" customWidth="1"/>
    <col min="15" max="15" width="7" style="452" customWidth="1"/>
    <col min="16" max="16" width="7.42578125" style="452" customWidth="1"/>
    <col min="17" max="17" width="7.85546875" style="452" customWidth="1"/>
    <col min="18" max="18" width="9.28515625" style="452" customWidth="1"/>
    <col min="19" max="16384" width="0" style="452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605" t="s">
        <v>977</v>
      </c>
      <c r="D5" s="2606"/>
      <c r="E5" s="2606"/>
      <c r="F5" s="2606"/>
      <c r="G5" s="2606"/>
      <c r="H5" s="2606"/>
      <c r="I5" s="2606"/>
      <c r="J5" s="2606"/>
      <c r="K5" s="2606"/>
      <c r="L5" s="2606"/>
      <c r="M5" s="2606"/>
      <c r="N5" s="2606"/>
      <c r="O5" s="2606"/>
      <c r="P5" s="2606"/>
      <c r="Q5" s="2607"/>
    </row>
    <row r="6" spans="2:17" ht="27" customHeight="1" thickBot="1" x14ac:dyDescent="0.3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975</v>
      </c>
    </row>
    <row r="7" spans="2:17" ht="18" customHeight="1" x14ac:dyDescent="0.25">
      <c r="B7" s="607" t="s">
        <v>695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25">
      <c r="B8" s="613" t="s">
        <v>564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25">
      <c r="B9" s="618" t="s">
        <v>565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25">
      <c r="B10" s="613" t="s">
        <v>696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25">
      <c r="B11" s="618" t="s">
        <v>560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25">
      <c r="B12" s="618" t="s">
        <v>697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25">
      <c r="B13" s="613" t="s">
        <v>563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25">
      <c r="B14" s="618" t="s">
        <v>561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25">
      <c r="B15" s="618" t="s">
        <v>508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25">
      <c r="B16" s="618" t="s">
        <v>698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25">
      <c r="B17" s="618" t="s">
        <v>562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25">
      <c r="B18" s="618" t="s">
        <v>699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25">
      <c r="B19" s="613" t="s">
        <v>700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25">
      <c r="B20" s="613" t="s">
        <v>253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">
      <c r="B21" s="626" t="s">
        <v>192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2" t="s">
        <v>567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4.25" thickBot="1" x14ac:dyDescent="0.3">
      <c r="B24" s="636" t="s">
        <v>568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9" t="s">
        <v>569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.75" hidden="1" x14ac:dyDescent="0.3">
      <c r="B27" s="642" t="s">
        <v>701</v>
      </c>
    </row>
    <row r="28" spans="2:17" ht="15.75" hidden="1" x14ac:dyDescent="0.3">
      <c r="B28" s="642"/>
      <c r="C28" s="452" t="s">
        <v>570</v>
      </c>
    </row>
    <row r="29" spans="2:17" ht="15.75" hidden="1" x14ac:dyDescent="0.3">
      <c r="B29" s="642"/>
      <c r="C29" s="452" t="s">
        <v>571</v>
      </c>
    </row>
    <row r="30" spans="2:17" hidden="1" x14ac:dyDescent="0.25">
      <c r="C30" s="452" t="s">
        <v>572</v>
      </c>
    </row>
    <row r="31" spans="2:17" ht="15.75" hidden="1" x14ac:dyDescent="0.3">
      <c r="B31" s="452" t="s">
        <v>976</v>
      </c>
    </row>
    <row r="32" spans="2:17" ht="15.75" hidden="1" x14ac:dyDescent="0.3">
      <c r="B32" s="642" t="s">
        <v>573</v>
      </c>
      <c r="C32" s="452" t="s">
        <v>574</v>
      </c>
    </row>
    <row r="33" spans="2:17" hidden="1" x14ac:dyDescent="0.25">
      <c r="C33" s="452" t="s">
        <v>575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4.25" thickBot="1" x14ac:dyDescent="0.3">
      <c r="B35" s="644" t="s">
        <v>566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11" bestFit="1" customWidth="1"/>
    <col min="2" max="2" width="13.5703125" style="144" customWidth="1"/>
    <col min="3" max="3" width="12.42578125" style="111" bestFit="1" customWidth="1"/>
    <col min="4" max="4" width="11.28515625" style="581" bestFit="1" customWidth="1"/>
    <col min="5" max="5" width="9" style="181" bestFit="1" customWidth="1"/>
    <col min="6" max="7" width="9.140625" style="111"/>
    <col min="8" max="9" width="12.42578125" style="144" bestFit="1" customWidth="1"/>
    <col min="10" max="10" width="9.28515625" style="581" customWidth="1"/>
    <col min="11" max="11" width="9.140625" style="181" customWidth="1"/>
    <col min="12" max="16384" width="9.140625" style="111"/>
  </cols>
  <sheetData>
    <row r="1" spans="1:13" s="189" customFormat="1" x14ac:dyDescent="0.25">
      <c r="A1" s="135" t="s">
        <v>785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x14ac:dyDescent="0.2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x14ac:dyDescent="0.25">
      <c r="B3" s="113" t="s">
        <v>786</v>
      </c>
      <c r="C3" s="114" t="s">
        <v>787</v>
      </c>
      <c r="D3" s="280" t="s">
        <v>7</v>
      </c>
      <c r="E3" s="303"/>
      <c r="F3" s="135"/>
      <c r="G3" s="135"/>
      <c r="H3" s="113" t="s">
        <v>786</v>
      </c>
      <c r="I3" s="114" t="s">
        <v>787</v>
      </c>
      <c r="J3" s="280" t="s">
        <v>7</v>
      </c>
      <c r="K3" s="303"/>
      <c r="L3" s="135"/>
      <c r="M3" s="135"/>
    </row>
    <row r="4" spans="1:13" s="109" customFormat="1" x14ac:dyDescent="0.25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25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25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25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597" t="s">
        <v>223</v>
      </c>
      <c r="C4" s="598">
        <f>+'Souhrn příjmů a výdajů 2023'!H6</f>
        <v>179464571</v>
      </c>
    </row>
    <row r="5" spans="2:3" ht="14.25" thickBot="1" x14ac:dyDescent="0.3">
      <c r="B5" s="597" t="s">
        <v>225</v>
      </c>
      <c r="C5" s="598">
        <f>'Souhrn příjmů a výdajů 2023'!H30</f>
        <v>31014467</v>
      </c>
    </row>
    <row r="6" spans="2:3" ht="14.25" thickBot="1" x14ac:dyDescent="0.3">
      <c r="B6" s="597" t="s">
        <v>228</v>
      </c>
      <c r="C6" s="598">
        <f>'Souhrn příjmů a výdajů 2023'!H80</f>
        <v>65000</v>
      </c>
    </row>
    <row r="7" spans="2:3" ht="14.25" thickBot="1" x14ac:dyDescent="0.3">
      <c r="B7" s="597" t="s">
        <v>232</v>
      </c>
      <c r="C7" s="598">
        <f>'Souhrn příjmů a výdajů 2023'!H85</f>
        <v>36715368</v>
      </c>
    </row>
    <row r="8" spans="2:3" ht="14.25" thickBot="1" x14ac:dyDescent="0.3">
      <c r="B8" s="597" t="s">
        <v>234</v>
      </c>
      <c r="C8" s="598">
        <f>'Souhrn příjmů a výdajů 2023'!H111</f>
        <v>14800000</v>
      </c>
    </row>
    <row r="9" spans="2:3" x14ac:dyDescent="0.2">
      <c r="C9" s="9">
        <f>SUM(C4:C8)</f>
        <v>262059406</v>
      </c>
    </row>
    <row r="36" spans="2:3" ht="13.5" thickBot="1" x14ac:dyDescent="0.25">
      <c r="B36" s="599" t="s">
        <v>240</v>
      </c>
      <c r="C36" s="598">
        <f>'Souhrn příjmů a výdajů 2023'!H121</f>
        <v>172545141.61176002</v>
      </c>
    </row>
    <row r="37" spans="2:3" ht="13.5" thickBot="1" x14ac:dyDescent="0.25">
      <c r="B37" s="600" t="s">
        <v>243</v>
      </c>
      <c r="C37" s="598">
        <f>'Souhrn příjmů a výdajů 2023'!H170</f>
        <v>70231778.480000004</v>
      </c>
    </row>
    <row r="38" spans="2:3" ht="13.5" thickBot="1" x14ac:dyDescent="0.25">
      <c r="B38" s="600" t="s">
        <v>234</v>
      </c>
      <c r="C38" s="598">
        <f>'Souhrn příjmů a výdajů 2023'!H183</f>
        <v>19282485.908239976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E103"/>
  <sheetViews>
    <sheetView topLeftCell="A68" zoomScale="71" zoomScaleNormal="71" workbookViewId="0">
      <selection activeCell="G76" sqref="G76"/>
    </sheetView>
  </sheetViews>
  <sheetFormatPr defaultColWidth="9.140625" defaultRowHeight="13.5" x14ac:dyDescent="0.25"/>
  <cols>
    <col min="1" max="1" width="9.28515625" style="1086" bestFit="1" customWidth="1"/>
    <col min="2" max="2" width="7.42578125" style="1086" customWidth="1"/>
    <col min="3" max="3" width="9.28515625" style="1086" bestFit="1" customWidth="1"/>
    <col min="4" max="4" width="78.5703125" style="1087" bestFit="1" customWidth="1"/>
    <col min="5" max="5" width="15.85546875" style="987" bestFit="1" customWidth="1"/>
    <col min="6" max="6" width="15.85546875" style="987" customWidth="1"/>
    <col min="7" max="7" width="16" style="987" customWidth="1"/>
    <col min="8" max="8" width="15.85546875" style="978" customWidth="1"/>
    <col min="9" max="9" width="15.140625" style="978" customWidth="1"/>
    <col min="10" max="10" width="15.140625" style="978" bestFit="1" customWidth="1"/>
    <col min="11" max="11" width="16.42578125" style="980" customWidth="1"/>
    <col min="12" max="12" width="18.85546875" style="980" customWidth="1"/>
    <col min="13" max="14" width="16.42578125" style="980" customWidth="1"/>
    <col min="15" max="15" width="14.5703125" style="980" customWidth="1"/>
    <col min="16" max="16" width="17.7109375" style="988" bestFit="1" customWidth="1"/>
    <col min="17" max="17" width="15.140625" style="980" bestFit="1" customWidth="1"/>
    <col min="18" max="18" width="12.85546875" style="986" customWidth="1"/>
    <col min="19" max="19" width="11.5703125" style="989" customWidth="1"/>
    <col min="20" max="20" width="10.140625" style="976" bestFit="1" customWidth="1"/>
    <col min="21" max="29" width="9.140625" style="976" customWidth="1"/>
    <col min="30" max="16384" width="9.140625" style="976"/>
  </cols>
  <sheetData>
    <row r="1" spans="1:19" ht="16.5" customHeight="1" x14ac:dyDescent="0.25">
      <c r="A1" s="1982"/>
      <c r="B1" s="1982"/>
      <c r="C1" s="1982"/>
      <c r="D1" s="1982"/>
      <c r="E1" s="1982"/>
      <c r="F1" s="1982"/>
      <c r="G1" s="1982"/>
    </row>
    <row r="2" spans="1:19" s="999" customFormat="1" ht="16.5" x14ac:dyDescent="0.3">
      <c r="A2" s="990" t="s">
        <v>1590</v>
      </c>
      <c r="B2" s="991"/>
      <c r="C2" s="991"/>
      <c r="D2" s="992"/>
      <c r="E2" s="993"/>
      <c r="F2" s="993"/>
      <c r="G2" s="993"/>
      <c r="H2" s="994"/>
      <c r="I2" s="994"/>
      <c r="J2" s="994"/>
      <c r="K2" s="995"/>
      <c r="L2" s="995"/>
      <c r="M2" s="995"/>
      <c r="N2" s="995"/>
      <c r="O2" s="995"/>
      <c r="P2" s="996"/>
      <c r="Q2" s="995"/>
      <c r="R2" s="997"/>
      <c r="S2" s="998"/>
    </row>
    <row r="3" spans="1:19" ht="16.5" x14ac:dyDescent="0.3">
      <c r="A3" s="1000" t="s">
        <v>744</v>
      </c>
      <c r="B3" s="1001"/>
      <c r="C3" s="1001"/>
      <c r="D3" s="1002"/>
      <c r="E3" s="985"/>
      <c r="F3" s="985"/>
      <c r="G3" s="985"/>
    </row>
    <row r="4" spans="1:19" ht="15" customHeight="1" thickBot="1" x14ac:dyDescent="0.3">
      <c r="A4" s="1003"/>
      <c r="B4" s="1003"/>
      <c r="C4" s="1003"/>
      <c r="D4" s="1004"/>
      <c r="E4" s="1005"/>
      <c r="F4" s="1005"/>
      <c r="G4" s="1005"/>
      <c r="I4" s="978" t="s">
        <v>2021</v>
      </c>
      <c r="K4" s="989"/>
      <c r="L4" s="989"/>
      <c r="M4" s="1006"/>
      <c r="N4" s="1006" t="s">
        <v>688</v>
      </c>
      <c r="O4" s="1006"/>
      <c r="P4" s="1007" t="s">
        <v>712</v>
      </c>
    </row>
    <row r="5" spans="1:19" s="1014" customFormat="1" ht="35.1" customHeight="1" thickBot="1" x14ac:dyDescent="0.35">
      <c r="A5" s="2611" t="s">
        <v>0</v>
      </c>
      <c r="B5" s="2612"/>
      <c r="C5" s="2612"/>
      <c r="D5" s="2613"/>
      <c r="E5" s="1008" t="s">
        <v>1576</v>
      </c>
      <c r="F5" s="1008" t="s">
        <v>2048</v>
      </c>
      <c r="G5" s="1008" t="s">
        <v>2217</v>
      </c>
      <c r="H5" s="1009"/>
      <c r="I5" s="1009">
        <v>2023</v>
      </c>
      <c r="K5" s="1010" t="s">
        <v>357</v>
      </c>
      <c r="L5" s="1011">
        <v>2015</v>
      </c>
      <c r="M5" s="1011">
        <v>2016</v>
      </c>
      <c r="N5" s="1011">
        <v>2017</v>
      </c>
      <c r="O5" s="1011">
        <v>2018</v>
      </c>
      <c r="P5" s="1011">
        <v>2019</v>
      </c>
      <c r="Q5" s="1012"/>
      <c r="R5" s="1013"/>
      <c r="S5" s="1011" t="s">
        <v>705</v>
      </c>
    </row>
    <row r="6" spans="1:19" s="1014" customFormat="1" ht="20.25" customHeight="1" thickBot="1" x14ac:dyDescent="0.35">
      <c r="A6" s="1015" t="s">
        <v>8</v>
      </c>
      <c r="B6" s="1016" t="s">
        <v>9</v>
      </c>
      <c r="C6" s="1016" t="s">
        <v>10</v>
      </c>
      <c r="D6" s="1017" t="s">
        <v>11</v>
      </c>
      <c r="E6" s="1018"/>
      <c r="F6" s="1018"/>
      <c r="G6" s="1018"/>
      <c r="H6" s="1051"/>
      <c r="I6" s="1051">
        <f>SUM(I7:I13)</f>
        <v>138025183</v>
      </c>
      <c r="K6" s="1011"/>
      <c r="L6" s="1011">
        <v>2015</v>
      </c>
      <c r="M6" s="1011"/>
      <c r="N6" s="1011"/>
      <c r="O6" s="1011"/>
      <c r="P6" s="1019"/>
      <c r="Q6" s="1012"/>
      <c r="R6" s="1013"/>
      <c r="S6" s="1011"/>
    </row>
    <row r="7" spans="1:19" s="1014" customFormat="1" ht="15" customHeight="1" x14ac:dyDescent="0.3">
      <c r="A7" s="1020" t="s">
        <v>12</v>
      </c>
      <c r="B7" s="1020"/>
      <c r="C7" s="1020">
        <v>1111</v>
      </c>
      <c r="D7" s="1021" t="s">
        <v>1155</v>
      </c>
      <c r="E7" s="1022">
        <v>21855312</v>
      </c>
      <c r="F7" s="1022">
        <v>22855312</v>
      </c>
      <c r="G7" s="1022">
        <f>24855312</f>
        <v>24855312</v>
      </c>
      <c r="H7" s="1023"/>
      <c r="I7" s="1023">
        <v>21855312</v>
      </c>
      <c r="K7" s="1024">
        <f>+H7*0.25</f>
        <v>0</v>
      </c>
      <c r="L7" s="1011">
        <v>2015</v>
      </c>
      <c r="M7" s="1024">
        <v>16931490</v>
      </c>
      <c r="N7" s="1024">
        <v>12106810</v>
      </c>
      <c r="O7" s="1024"/>
      <c r="P7" s="1019">
        <f>28251021-P8</f>
        <v>26151021</v>
      </c>
      <c r="Q7" s="1012"/>
      <c r="R7" s="1025">
        <f>N7/8*12</f>
        <v>18160215</v>
      </c>
      <c r="S7" s="1024"/>
    </row>
    <row r="8" spans="1:19" s="1014" customFormat="1" ht="15.75" x14ac:dyDescent="0.3">
      <c r="A8" s="1027" t="s">
        <v>12</v>
      </c>
      <c r="B8" s="1027"/>
      <c r="C8" s="1027">
        <v>1112</v>
      </c>
      <c r="D8" s="1028" t="s">
        <v>1157</v>
      </c>
      <c r="E8" s="1022">
        <v>1416548</v>
      </c>
      <c r="F8" s="1022">
        <v>1716548</v>
      </c>
      <c r="G8" s="1022">
        <v>1716548</v>
      </c>
      <c r="H8" s="1023"/>
      <c r="I8" s="1009">
        <v>1416548</v>
      </c>
      <c r="K8" s="1024">
        <v>1538371.35</v>
      </c>
      <c r="L8" s="1011">
        <v>2015</v>
      </c>
      <c r="M8" s="1024">
        <v>2184110</v>
      </c>
      <c r="N8" s="1024">
        <v>317580</v>
      </c>
      <c r="O8" s="1024"/>
      <c r="P8" s="1019">
        <v>2100000</v>
      </c>
      <c r="Q8" s="1012"/>
      <c r="R8" s="1025">
        <f>+M8</f>
        <v>2184110</v>
      </c>
      <c r="S8" s="1024"/>
    </row>
    <row r="9" spans="1:19" s="1014" customFormat="1" ht="15.75" customHeight="1" x14ac:dyDescent="0.3">
      <c r="A9" s="1027" t="s">
        <v>12</v>
      </c>
      <c r="B9" s="1027"/>
      <c r="C9" s="1027">
        <v>1113</v>
      </c>
      <c r="D9" s="1028" t="s">
        <v>1156</v>
      </c>
      <c r="E9" s="1022">
        <v>4553190</v>
      </c>
      <c r="F9" s="1022">
        <v>4953190</v>
      </c>
      <c r="G9" s="1022">
        <v>4953190</v>
      </c>
      <c r="H9" s="1023"/>
      <c r="I9" s="1009">
        <v>4553190</v>
      </c>
      <c r="K9" s="1024"/>
      <c r="L9" s="1011">
        <v>2015</v>
      </c>
      <c r="M9" s="1024">
        <v>1204780</v>
      </c>
      <c r="N9" s="1024">
        <v>996290</v>
      </c>
      <c r="O9" s="1024"/>
      <c r="P9" s="1019"/>
      <c r="Q9" s="1012"/>
      <c r="R9" s="1025">
        <f>N9/8*12</f>
        <v>1494435</v>
      </c>
      <c r="S9" s="1024"/>
    </row>
    <row r="10" spans="1:19" s="1014" customFormat="1" ht="15.75" customHeight="1" x14ac:dyDescent="0.3">
      <c r="A10" s="1027" t="s">
        <v>12</v>
      </c>
      <c r="B10" s="1027"/>
      <c r="C10" s="1027">
        <v>1112</v>
      </c>
      <c r="D10" s="1028" t="s">
        <v>1158</v>
      </c>
      <c r="E10" s="1022">
        <v>771800</v>
      </c>
      <c r="F10" s="1022">
        <v>771800</v>
      </c>
      <c r="G10" s="1022">
        <v>771800</v>
      </c>
      <c r="H10" s="1023"/>
      <c r="I10" s="1009">
        <v>771800</v>
      </c>
      <c r="K10" s="1024"/>
      <c r="L10" s="1011">
        <v>2015</v>
      </c>
      <c r="M10" s="1024"/>
      <c r="N10" s="1024"/>
      <c r="O10" s="1024"/>
      <c r="P10" s="1019"/>
      <c r="Q10" s="1012"/>
      <c r="R10" s="1025"/>
      <c r="S10" s="1024"/>
    </row>
    <row r="11" spans="1:19" s="1014" customFormat="1" ht="15.75" customHeight="1" x14ac:dyDescent="0.3">
      <c r="A11" s="1027"/>
      <c r="B11" s="1027"/>
      <c r="C11" s="1027">
        <v>1122</v>
      </c>
      <c r="D11" s="1028" t="s">
        <v>2238</v>
      </c>
      <c r="E11" s="1022"/>
      <c r="F11" s="1022"/>
      <c r="G11" s="2600">
        <v>2118860</v>
      </c>
      <c r="H11" s="1023"/>
      <c r="I11" s="1009"/>
      <c r="K11" s="1024"/>
      <c r="L11" s="1011"/>
      <c r="M11" s="1024"/>
      <c r="N11" s="1024"/>
      <c r="O11" s="1024"/>
      <c r="P11" s="1019"/>
      <c r="Q11" s="1012"/>
      <c r="R11" s="1025"/>
      <c r="S11" s="1024"/>
    </row>
    <row r="12" spans="1:19" s="1014" customFormat="1" ht="15.75" customHeight="1" x14ac:dyDescent="0.3">
      <c r="A12" s="1027" t="s">
        <v>12</v>
      </c>
      <c r="B12" s="1027"/>
      <c r="C12" s="1027">
        <v>1121</v>
      </c>
      <c r="D12" s="1028" t="s">
        <v>15</v>
      </c>
      <c r="E12" s="1022">
        <v>31922921</v>
      </c>
      <c r="F12" s="1022">
        <v>32922921</v>
      </c>
      <c r="G12" s="1022">
        <v>35922921</v>
      </c>
      <c r="H12" s="1023"/>
      <c r="I12" s="1009">
        <v>31922921</v>
      </c>
      <c r="K12" s="1024">
        <v>15829709.810000001</v>
      </c>
      <c r="L12" s="1011">
        <v>2015</v>
      </c>
      <c r="M12" s="1024">
        <v>19090960</v>
      </c>
      <c r="N12" s="1024">
        <v>12313840</v>
      </c>
      <c r="O12" s="1024"/>
      <c r="P12" s="1019">
        <v>20479158</v>
      </c>
      <c r="Q12" s="1012"/>
      <c r="R12" s="1025">
        <f>N12/8*12</f>
        <v>18470760</v>
      </c>
      <c r="S12" s="1024"/>
    </row>
    <row r="13" spans="1:19" s="1014" customFormat="1" ht="15.75" x14ac:dyDescent="0.3">
      <c r="A13" s="1027" t="s">
        <v>12</v>
      </c>
      <c r="B13" s="1027"/>
      <c r="C13" s="1027">
        <v>1211</v>
      </c>
      <c r="D13" s="1028" t="s">
        <v>16</v>
      </c>
      <c r="E13" s="1022">
        <v>77505412</v>
      </c>
      <c r="F13" s="1022">
        <v>78505412</v>
      </c>
      <c r="G13" s="1022">
        <f>77505412+3000000</f>
        <v>80505412</v>
      </c>
      <c r="H13" s="1023"/>
      <c r="I13" s="1009">
        <v>77505412</v>
      </c>
      <c r="K13" s="1024"/>
      <c r="L13" s="1011">
        <v>2015</v>
      </c>
      <c r="M13" s="1024">
        <v>32871040</v>
      </c>
      <c r="N13" s="1024">
        <v>24837780</v>
      </c>
      <c r="O13" s="1024"/>
      <c r="P13" s="1019">
        <v>49121667</v>
      </c>
      <c r="Q13" s="1012"/>
      <c r="R13" s="1025">
        <f>N13/8*12</f>
        <v>37256670</v>
      </c>
      <c r="S13" s="1024"/>
    </row>
    <row r="14" spans="1:19" s="1014" customFormat="1" ht="15" customHeight="1" x14ac:dyDescent="0.3">
      <c r="A14" s="1026"/>
      <c r="B14" s="920"/>
      <c r="C14" s="920" t="s">
        <v>17</v>
      </c>
      <c r="D14" s="1029" t="s">
        <v>18</v>
      </c>
      <c r="E14" s="1032">
        <v>26000</v>
      </c>
      <c r="F14" s="1032">
        <v>26000</v>
      </c>
      <c r="G14" s="1032">
        <v>26000</v>
      </c>
      <c r="H14" s="1009"/>
      <c r="I14" s="1009"/>
      <c r="J14" s="1009"/>
      <c r="K14" s="1019">
        <f t="shared" ref="K14:P14" si="0">SUM(K7:K13)</f>
        <v>17368081.16</v>
      </c>
      <c r="L14" s="1011">
        <v>2015</v>
      </c>
      <c r="M14" s="1019">
        <f t="shared" si="0"/>
        <v>72282380</v>
      </c>
      <c r="N14" s="1019">
        <f t="shared" si="0"/>
        <v>50572300</v>
      </c>
      <c r="O14" s="1019">
        <f t="shared" si="0"/>
        <v>0</v>
      </c>
      <c r="P14" s="1019">
        <f t="shared" si="0"/>
        <v>97851846</v>
      </c>
      <c r="Q14" s="1031"/>
      <c r="R14" s="1013">
        <f>SUM(R7:R13)</f>
        <v>77566190</v>
      </c>
      <c r="S14" s="1024">
        <f>SUM(S7:S13)</f>
        <v>0</v>
      </c>
    </row>
    <row r="15" spans="1:19" s="1014" customFormat="1" ht="15.75" x14ac:dyDescent="0.3">
      <c r="A15" s="1026" t="s">
        <v>12</v>
      </c>
      <c r="B15" s="920"/>
      <c r="C15" s="920" t="s">
        <v>19</v>
      </c>
      <c r="D15" s="1029" t="s">
        <v>20</v>
      </c>
      <c r="E15" s="1032">
        <v>7326528</v>
      </c>
      <c r="F15" s="1032">
        <v>7326528</v>
      </c>
      <c r="G15" s="1032">
        <f>I15</f>
        <v>7326528</v>
      </c>
      <c r="H15" s="1009"/>
      <c r="I15" s="1009">
        <f>(996+60)*(7228-290)</f>
        <v>7326528</v>
      </c>
      <c r="J15" s="1013"/>
      <c r="K15" s="1013">
        <v>6884</v>
      </c>
      <c r="L15" s="1011">
        <v>2015</v>
      </c>
      <c r="M15" s="1024"/>
      <c r="N15" s="1024"/>
      <c r="O15" s="1024"/>
      <c r="P15" s="1019" t="e">
        <f>+#REF!-P14</f>
        <v>#REF!</v>
      </c>
      <c r="Q15" s="1012"/>
      <c r="R15" s="1025">
        <f>R14/P14</f>
        <v>0.79269010418055885</v>
      </c>
      <c r="S15" s="1024"/>
    </row>
    <row r="16" spans="1:19" s="1014" customFormat="1" ht="15" customHeight="1" x14ac:dyDescent="0.3">
      <c r="A16" s="1026" t="s">
        <v>12</v>
      </c>
      <c r="B16" s="920"/>
      <c r="C16" s="920">
        <v>1341</v>
      </c>
      <c r="D16" s="1029" t="s">
        <v>21</v>
      </c>
      <c r="E16" s="1032">
        <v>260000</v>
      </c>
      <c r="F16" s="1032">
        <v>260000</v>
      </c>
      <c r="G16" s="1032">
        <v>260000</v>
      </c>
      <c r="H16" s="1009"/>
      <c r="I16" s="1009"/>
      <c r="J16" s="1009"/>
      <c r="K16" s="1012"/>
      <c r="L16" s="1012"/>
      <c r="M16" s="1012"/>
      <c r="N16" s="1012"/>
      <c r="O16" s="1012"/>
      <c r="P16" s="1033"/>
      <c r="Q16" s="1012"/>
      <c r="R16" s="1013"/>
      <c r="S16" s="1011"/>
    </row>
    <row r="17" spans="1:19" s="1014" customFormat="1" ht="15" customHeight="1" x14ac:dyDescent="0.3">
      <c r="A17" s="1026" t="s">
        <v>12</v>
      </c>
      <c r="B17" s="920"/>
      <c r="C17" s="920">
        <v>1343</v>
      </c>
      <c r="D17" s="1029" t="s">
        <v>22</v>
      </c>
      <c r="E17" s="1032">
        <v>75000</v>
      </c>
      <c r="F17" s="1032">
        <v>75000</v>
      </c>
      <c r="G17" s="1032">
        <v>75000</v>
      </c>
      <c r="H17" s="1009"/>
      <c r="I17" s="1009"/>
      <c r="J17" s="1009"/>
      <c r="K17" s="1012"/>
      <c r="L17" s="1012"/>
      <c r="M17" s="1012"/>
      <c r="N17" s="1012"/>
      <c r="O17" s="1012"/>
      <c r="P17" s="1033"/>
      <c r="Q17" s="1012"/>
      <c r="R17" s="1013"/>
      <c r="S17" s="1011"/>
    </row>
    <row r="18" spans="1:19" s="1014" customFormat="1" ht="15" customHeight="1" x14ac:dyDescent="0.3">
      <c r="A18" s="1026" t="s">
        <v>12</v>
      </c>
      <c r="B18" s="920"/>
      <c r="C18" s="920">
        <v>1344</v>
      </c>
      <c r="D18" s="1029" t="s">
        <v>23</v>
      </c>
      <c r="E18" s="1032">
        <v>3000</v>
      </c>
      <c r="F18" s="1032">
        <v>3000</v>
      </c>
      <c r="G18" s="1032">
        <v>3000</v>
      </c>
      <c r="H18" s="1009"/>
      <c r="I18" s="1009"/>
      <c r="J18" s="1009"/>
      <c r="K18" s="1012"/>
      <c r="L18" s="1012"/>
      <c r="M18" s="1012"/>
      <c r="N18" s="1012"/>
      <c r="O18" s="1012"/>
      <c r="P18" s="1033"/>
      <c r="Q18" s="1012"/>
      <c r="R18" s="1013"/>
      <c r="S18" s="1011"/>
    </row>
    <row r="19" spans="1:19" s="1014" customFormat="1" ht="15" customHeight="1" x14ac:dyDescent="0.3">
      <c r="A19" s="1026" t="s">
        <v>12</v>
      </c>
      <c r="B19" s="920"/>
      <c r="C19" s="920">
        <v>1345</v>
      </c>
      <c r="D19" s="1029" t="s">
        <v>24</v>
      </c>
      <c r="E19" s="1032">
        <v>20000</v>
      </c>
      <c r="F19" s="1032">
        <v>20000</v>
      </c>
      <c r="G19" s="1032">
        <v>20000</v>
      </c>
      <c r="H19" s="1009"/>
      <c r="I19" s="1009"/>
      <c r="J19" s="1009"/>
      <c r="K19" s="1012"/>
      <c r="L19" s="1012"/>
      <c r="M19" s="1012"/>
      <c r="N19" s="1012"/>
      <c r="O19" s="1012"/>
      <c r="P19" s="1033"/>
      <c r="Q19" s="1012"/>
      <c r="R19" s="1013"/>
      <c r="S19" s="1011"/>
    </row>
    <row r="20" spans="1:19" s="1014" customFormat="1" ht="15" customHeight="1" x14ac:dyDescent="0.3">
      <c r="A20" s="1026" t="s">
        <v>12</v>
      </c>
      <c r="B20" s="920"/>
      <c r="C20" s="920">
        <v>1347</v>
      </c>
      <c r="D20" s="1029" t="s">
        <v>25</v>
      </c>
      <c r="E20" s="1032">
        <v>0</v>
      </c>
      <c r="F20" s="1032">
        <v>0</v>
      </c>
      <c r="G20" s="1032">
        <v>0</v>
      </c>
      <c r="H20" s="1009"/>
      <c r="I20" s="1009"/>
      <c r="J20" s="1009"/>
      <c r="K20" s="1012"/>
      <c r="L20" s="1012"/>
      <c r="M20" s="1012"/>
      <c r="N20" s="1012"/>
      <c r="O20" s="1012"/>
      <c r="P20" s="1033"/>
      <c r="Q20" s="1012"/>
      <c r="R20" s="1013"/>
      <c r="S20" s="1011"/>
    </row>
    <row r="21" spans="1:19" s="1014" customFormat="1" ht="15" customHeight="1" x14ac:dyDescent="0.3">
      <c r="A21" s="1026" t="s">
        <v>12</v>
      </c>
      <c r="B21" s="1983"/>
      <c r="C21" s="1983" t="s">
        <v>26</v>
      </c>
      <c r="D21" s="1984" t="s">
        <v>27</v>
      </c>
      <c r="E21" s="1032">
        <v>2500000</v>
      </c>
      <c r="F21" s="1032">
        <v>2500000</v>
      </c>
      <c r="G21" s="1032">
        <v>2500000</v>
      </c>
      <c r="H21" s="1041">
        <v>2500000</v>
      </c>
      <c r="I21" s="1034" t="s">
        <v>1449</v>
      </c>
      <c r="J21" s="1034"/>
      <c r="K21" s="1035" t="s">
        <v>732</v>
      </c>
      <c r="L21" s="1035" t="s">
        <v>719</v>
      </c>
      <c r="M21" s="1012"/>
      <c r="N21" s="1012"/>
      <c r="O21" s="1012"/>
      <c r="P21" s="1036"/>
      <c r="Q21" s="1037"/>
      <c r="R21" s="1038"/>
      <c r="S21" s="1038"/>
    </row>
    <row r="22" spans="1:19" s="1014" customFormat="1" ht="15.75" x14ac:dyDescent="0.3">
      <c r="A22" s="1026" t="s">
        <v>12</v>
      </c>
      <c r="B22" s="1983"/>
      <c r="C22" s="1983" t="s">
        <v>26</v>
      </c>
      <c r="D22" s="1984" t="s">
        <v>481</v>
      </c>
      <c r="E22" s="1032">
        <v>5500000</v>
      </c>
      <c r="F22" s="1032">
        <v>5000000</v>
      </c>
      <c r="G22" s="1032">
        <f>5000000</f>
        <v>5000000</v>
      </c>
      <c r="H22" s="1041">
        <v>5000000</v>
      </c>
      <c r="I22" s="1041" t="s">
        <v>2174</v>
      </c>
      <c r="J22" s="1041"/>
      <c r="K22" s="1039"/>
      <c r="L22" s="1024">
        <v>5000000</v>
      </c>
      <c r="M22" s="1039"/>
      <c r="N22" s="1039"/>
      <c r="O22" s="1039"/>
      <c r="P22" s="1033"/>
      <c r="Q22" s="1012"/>
      <c r="R22" s="1025"/>
      <c r="S22" s="1024"/>
    </row>
    <row r="23" spans="1:19" s="1014" customFormat="1" ht="15" customHeight="1" x14ac:dyDescent="0.3">
      <c r="A23" s="1026" t="s">
        <v>12</v>
      </c>
      <c r="B23" s="920"/>
      <c r="C23" s="920">
        <v>1385</v>
      </c>
      <c r="D23" s="1029" t="s">
        <v>483</v>
      </c>
      <c r="E23" s="1032">
        <v>1362000</v>
      </c>
      <c r="F23" s="1032">
        <v>3100000</v>
      </c>
      <c r="G23" s="1022">
        <v>3100000</v>
      </c>
      <c r="H23" s="1034"/>
      <c r="I23" s="1034"/>
      <c r="J23" s="1034"/>
      <c r="K23" s="1024"/>
      <c r="L23" s="1024"/>
      <c r="M23" s="1039"/>
      <c r="N23" s="1039"/>
      <c r="O23" s="1039"/>
      <c r="P23" s="1036"/>
      <c r="Q23" s="1037"/>
      <c r="R23" s="1038"/>
      <c r="S23" s="1038"/>
    </row>
    <row r="24" spans="1:19" s="1014" customFormat="1" ht="15" customHeight="1" x14ac:dyDescent="0.3">
      <c r="A24" s="1026" t="s">
        <v>12</v>
      </c>
      <c r="B24" s="920"/>
      <c r="C24" s="920">
        <v>1381</v>
      </c>
      <c r="D24" s="1029" t="s">
        <v>745</v>
      </c>
      <c r="E24" s="1032">
        <v>1000000</v>
      </c>
      <c r="F24" s="1032">
        <v>1000000</v>
      </c>
      <c r="G24" s="1032">
        <v>1000000</v>
      </c>
      <c r="H24" s="1040"/>
      <c r="I24" s="1040"/>
      <c r="J24" s="1040"/>
      <c r="K24" s="1037"/>
      <c r="L24" s="1037"/>
      <c r="M24" s="1037"/>
      <c r="N24" s="1037"/>
      <c r="O24" s="1037"/>
      <c r="P24" s="1036"/>
      <c r="Q24" s="1037"/>
      <c r="R24" s="1038"/>
      <c r="S24" s="1038"/>
    </row>
    <row r="25" spans="1:19" s="1014" customFormat="1" ht="15" customHeight="1" x14ac:dyDescent="0.3">
      <c r="A25" s="1026" t="s">
        <v>12</v>
      </c>
      <c r="B25" s="920"/>
      <c r="C25" s="920" t="s">
        <v>30</v>
      </c>
      <c r="D25" s="1029" t="s">
        <v>31</v>
      </c>
      <c r="E25" s="1030">
        <v>1500000</v>
      </c>
      <c r="F25" s="1030">
        <v>1500000</v>
      </c>
      <c r="G25" s="1030">
        <v>1500000</v>
      </c>
      <c r="H25" s="1009"/>
      <c r="I25" s="1009"/>
      <c r="J25" s="1009"/>
      <c r="K25" s="1012"/>
      <c r="L25" s="1012"/>
      <c r="M25" s="1012"/>
      <c r="N25" s="1012"/>
      <c r="O25" s="1012"/>
      <c r="P25" s="1033"/>
      <c r="Q25" s="1012"/>
      <c r="R25" s="1013"/>
      <c r="S25" s="1011"/>
    </row>
    <row r="26" spans="1:19" s="1014" customFormat="1" ht="15" customHeight="1" x14ac:dyDescent="0.3">
      <c r="A26" s="1052" t="s">
        <v>12</v>
      </c>
      <c r="B26" s="1027"/>
      <c r="C26" s="1027">
        <v>1511</v>
      </c>
      <c r="D26" s="1028" t="s">
        <v>32</v>
      </c>
      <c r="E26" s="1022">
        <v>7810000</v>
      </c>
      <c r="F26" s="1022">
        <v>7810000</v>
      </c>
      <c r="G26" s="1022">
        <v>7810000</v>
      </c>
      <c r="H26" s="1009"/>
      <c r="I26" s="1009"/>
      <c r="J26" s="1009"/>
      <c r="K26" s="1012"/>
      <c r="L26" s="1012"/>
      <c r="M26" s="1012"/>
      <c r="N26" s="1012"/>
      <c r="O26" s="1012"/>
      <c r="P26" s="1033"/>
      <c r="Q26" s="1012"/>
      <c r="R26" s="1013"/>
      <c r="S26" s="1011"/>
    </row>
    <row r="27" spans="1:19" s="1014" customFormat="1" ht="15" customHeight="1" x14ac:dyDescent="0.3">
      <c r="A27" s="1026" t="s">
        <v>12</v>
      </c>
      <c r="B27" s="920"/>
      <c r="C27" s="920" t="s">
        <v>33</v>
      </c>
      <c r="D27" s="1029" t="s">
        <v>34</v>
      </c>
      <c r="E27" s="1030">
        <v>0</v>
      </c>
      <c r="F27" s="1030">
        <v>0</v>
      </c>
      <c r="G27" s="1030">
        <v>0</v>
      </c>
      <c r="H27" s="1009"/>
      <c r="I27" s="1009"/>
      <c r="J27" s="1009"/>
      <c r="K27" s="1012"/>
      <c r="L27" s="1012"/>
      <c r="M27" s="1012"/>
      <c r="N27" s="1012"/>
      <c r="O27" s="1012">
        <v>2021</v>
      </c>
      <c r="P27" s="1009">
        <v>2022</v>
      </c>
      <c r="Q27" s="1012">
        <v>2023</v>
      </c>
      <c r="R27" s="1013"/>
      <c r="S27" s="1011"/>
    </row>
    <row r="28" spans="1:19" s="1014" customFormat="1" ht="15" customHeight="1" x14ac:dyDescent="0.3">
      <c r="A28" s="1026" t="s">
        <v>12</v>
      </c>
      <c r="B28" s="920"/>
      <c r="C28" s="2559">
        <v>4111</v>
      </c>
      <c r="D28" s="1029" t="s">
        <v>2213</v>
      </c>
      <c r="E28" s="1032"/>
      <c r="F28" s="1032">
        <v>130800</v>
      </c>
      <c r="G28" s="1032">
        <v>130800</v>
      </c>
      <c r="H28" s="1009"/>
      <c r="I28" s="1009"/>
      <c r="J28" s="1009"/>
      <c r="K28" s="1012"/>
      <c r="L28" s="1012"/>
      <c r="M28" s="1012"/>
      <c r="N28" s="1012"/>
      <c r="O28" s="1012"/>
      <c r="P28" s="1009"/>
      <c r="Q28" s="1012"/>
      <c r="R28" s="1013"/>
      <c r="S28" s="1011"/>
    </row>
    <row r="29" spans="1:19" s="1014" customFormat="1" ht="15" customHeight="1" x14ac:dyDescent="0.3">
      <c r="A29" s="1026" t="s">
        <v>12</v>
      </c>
      <c r="B29" s="920"/>
      <c r="C29" s="2559" t="s">
        <v>35</v>
      </c>
      <c r="D29" s="1029" t="s">
        <v>676</v>
      </c>
      <c r="E29" s="1032">
        <v>60000</v>
      </c>
      <c r="F29" s="1032">
        <v>60000</v>
      </c>
      <c r="G29" s="1032">
        <v>60000</v>
      </c>
      <c r="H29" s="1009"/>
      <c r="I29" s="1009"/>
      <c r="J29" s="1009"/>
      <c r="K29" s="1012"/>
      <c r="L29" s="1012"/>
      <c r="M29" s="1012"/>
      <c r="N29" s="1012"/>
      <c r="O29" s="1012"/>
      <c r="P29" s="1033"/>
      <c r="Q29" s="1012"/>
      <c r="R29" s="1013"/>
      <c r="S29" s="1011"/>
    </row>
    <row r="30" spans="1:19" s="1014" customFormat="1" ht="15" customHeight="1" x14ac:dyDescent="0.3">
      <c r="A30" s="1026"/>
      <c r="B30" s="920"/>
      <c r="C30" s="2559">
        <v>4116</v>
      </c>
      <c r="D30" s="1029" t="s">
        <v>2239</v>
      </c>
      <c r="E30" s="1032"/>
      <c r="F30" s="1032"/>
      <c r="G30" s="2114">
        <v>7103692</v>
      </c>
      <c r="H30" s="1009"/>
      <c r="I30" s="1009"/>
      <c r="J30" s="1009"/>
      <c r="K30" s="1012"/>
      <c r="L30" s="1012"/>
      <c r="M30" s="1012"/>
      <c r="N30" s="1012"/>
      <c r="O30" s="1012"/>
      <c r="P30" s="1033"/>
      <c r="Q30" s="1012"/>
      <c r="R30" s="1013"/>
      <c r="S30" s="1011"/>
    </row>
    <row r="31" spans="1:19" s="1014" customFormat="1" ht="15" customHeight="1" x14ac:dyDescent="0.3">
      <c r="A31" s="1026" t="s">
        <v>12</v>
      </c>
      <c r="B31" s="920">
        <v>2212</v>
      </c>
      <c r="C31" s="920">
        <v>2111</v>
      </c>
      <c r="D31" s="1029" t="s">
        <v>1546</v>
      </c>
      <c r="E31" s="1032">
        <v>21950</v>
      </c>
      <c r="F31" s="1032">
        <v>21950</v>
      </c>
      <c r="G31" s="1032">
        <v>21950</v>
      </c>
      <c r="H31" s="1009"/>
      <c r="I31" s="1009"/>
      <c r="J31" s="1009"/>
      <c r="K31" s="1012"/>
      <c r="L31" s="1012"/>
      <c r="M31" s="1012"/>
      <c r="N31" s="1012"/>
      <c r="O31" s="1012"/>
      <c r="P31" s="1033"/>
      <c r="Q31" s="1012"/>
      <c r="R31" s="1013"/>
      <c r="S31" s="1011"/>
    </row>
    <row r="32" spans="1:19" s="1014" customFormat="1" ht="15" customHeight="1" x14ac:dyDescent="0.3">
      <c r="A32" s="1026" t="s">
        <v>12</v>
      </c>
      <c r="B32" s="920">
        <v>2212</v>
      </c>
      <c r="C32" s="920">
        <v>2322</v>
      </c>
      <c r="D32" s="1029" t="s">
        <v>1547</v>
      </c>
      <c r="E32" s="1032">
        <v>0</v>
      </c>
      <c r="F32" s="1032">
        <v>0</v>
      </c>
      <c r="G32" s="2114">
        <v>466100</v>
      </c>
      <c r="H32" s="1009"/>
      <c r="I32" s="1009"/>
      <c r="J32" s="1009"/>
      <c r="K32" s="1012"/>
      <c r="L32" s="1012"/>
      <c r="M32" s="1012"/>
      <c r="N32" s="1012"/>
      <c r="O32" s="1012"/>
      <c r="P32" s="1033"/>
      <c r="Q32" s="1012"/>
      <c r="R32" s="1013"/>
      <c r="S32" s="1011"/>
    </row>
    <row r="33" spans="1:31" s="1014" customFormat="1" ht="15" customHeight="1" x14ac:dyDescent="0.3">
      <c r="A33" s="1042">
        <v>2321</v>
      </c>
      <c r="B33" s="1043">
        <v>2310</v>
      </c>
      <c r="C33" s="1043" t="s">
        <v>41</v>
      </c>
      <c r="D33" s="1044" t="s">
        <v>42</v>
      </c>
      <c r="E33" s="1045">
        <v>5301561.8771703541</v>
      </c>
      <c r="F33" s="1045">
        <v>4806120</v>
      </c>
      <c r="G33" s="1045">
        <f>$P$33*1.21</f>
        <v>4806120</v>
      </c>
      <c r="H33" s="1013">
        <v>1522129.26</v>
      </c>
      <c r="I33" s="1013"/>
      <c r="J33" s="1013"/>
      <c r="K33" s="1013">
        <v>1894000</v>
      </c>
      <c r="L33" s="1046">
        <v>2267000</v>
      </c>
      <c r="M33" s="1047">
        <v>2660000</v>
      </c>
      <c r="N33" s="1047">
        <v>3075000</v>
      </c>
      <c r="O33" s="1047">
        <v>3512000</v>
      </c>
      <c r="P33" s="1047">
        <v>3972000</v>
      </c>
      <c r="Q33" s="1047">
        <v>4381456.0968350032</v>
      </c>
      <c r="R33" s="1013"/>
      <c r="S33" s="1012"/>
    </row>
    <row r="34" spans="1:31" s="1014" customFormat="1" ht="15" customHeight="1" x14ac:dyDescent="0.3">
      <c r="A34" s="1042" t="s">
        <v>43</v>
      </c>
      <c r="B34" s="1043">
        <v>2321</v>
      </c>
      <c r="C34" s="1043" t="s">
        <v>41</v>
      </c>
      <c r="D34" s="1044" t="s">
        <v>44</v>
      </c>
      <c r="E34" s="1045">
        <v>9538006.3379303496</v>
      </c>
      <c r="F34" s="1045">
        <v>8646660</v>
      </c>
      <c r="G34" s="1045">
        <f>$P$34*1.21</f>
        <v>8646660</v>
      </c>
      <c r="H34" s="1013">
        <f>2977926.74-941000</f>
        <v>2036926.7400000002</v>
      </c>
      <c r="I34" s="1013"/>
      <c r="J34" s="1013"/>
      <c r="K34" s="1013">
        <v>4510000</v>
      </c>
      <c r="L34" s="1046">
        <v>4989000</v>
      </c>
      <c r="M34" s="1047">
        <v>5490000</v>
      </c>
      <c r="N34" s="1047">
        <v>6016000</v>
      </c>
      <c r="O34" s="1047">
        <v>6567000</v>
      </c>
      <c r="P34" s="1047">
        <v>7146000</v>
      </c>
      <c r="Q34" s="1047">
        <v>7882649.8660581401</v>
      </c>
      <c r="R34" s="1013"/>
      <c r="S34" s="1012"/>
    </row>
    <row r="35" spans="1:31" s="1014" customFormat="1" ht="15" customHeight="1" x14ac:dyDescent="0.3">
      <c r="A35" s="1026">
        <v>3113</v>
      </c>
      <c r="B35" s="920">
        <v>3113</v>
      </c>
      <c r="C35" s="920" t="s">
        <v>45</v>
      </c>
      <c r="D35" s="1029" t="s">
        <v>46</v>
      </c>
      <c r="E35" s="1032">
        <v>50000</v>
      </c>
      <c r="F35" s="1032">
        <v>50000</v>
      </c>
      <c r="G35" s="1032">
        <v>50000</v>
      </c>
      <c r="H35" s="1046"/>
      <c r="I35" s="1046"/>
      <c r="J35" s="1046"/>
      <c r="K35" s="1046"/>
      <c r="L35" s="1046"/>
      <c r="M35" s="1047">
        <f>+M33+M34</f>
        <v>8150000</v>
      </c>
      <c r="N35" s="1047">
        <f t="shared" ref="N35:P35" si="1">+N33+N34</f>
        <v>9091000</v>
      </c>
      <c r="O35" s="1047">
        <f t="shared" si="1"/>
        <v>10079000</v>
      </c>
      <c r="P35" s="1047">
        <f t="shared" si="1"/>
        <v>11118000</v>
      </c>
      <c r="Q35" s="1047">
        <f>+Q34+Q33</f>
        <v>12264105.962893143</v>
      </c>
      <c r="R35" s="1013"/>
      <c r="S35" s="1012"/>
    </row>
    <row r="36" spans="1:31" s="1014" customFormat="1" ht="15" customHeight="1" x14ac:dyDescent="0.3">
      <c r="A36" s="1026"/>
      <c r="B36" s="920">
        <v>3113</v>
      </c>
      <c r="C36" s="920" t="s">
        <v>41</v>
      </c>
      <c r="D36" s="1029" t="s">
        <v>47</v>
      </c>
      <c r="E36" s="1032">
        <v>154000</v>
      </c>
      <c r="F36" s="1032">
        <v>249000</v>
      </c>
      <c r="G36" s="1032">
        <v>249000</v>
      </c>
      <c r="H36" s="1046"/>
      <c r="I36" s="1046"/>
      <c r="J36" s="1046"/>
      <c r="K36" s="1048">
        <f>K35/200000</f>
        <v>0</v>
      </c>
      <c r="L36" s="1049">
        <f>L35/200000</f>
        <v>0</v>
      </c>
      <c r="M36" s="1050">
        <f>M35/200000</f>
        <v>40.75</v>
      </c>
      <c r="N36" s="1050">
        <f>N35/200000</f>
        <v>45.454999999999998</v>
      </c>
      <c r="O36" s="1050">
        <f t="shared" ref="O36:Q36" si="2">O35/200000</f>
        <v>50.395000000000003</v>
      </c>
      <c r="P36" s="1050">
        <f t="shared" si="2"/>
        <v>55.59</v>
      </c>
      <c r="Q36" s="1050">
        <f t="shared" si="2"/>
        <v>61.320529814465715</v>
      </c>
      <c r="R36" s="1013"/>
      <c r="S36" s="1012"/>
    </row>
    <row r="37" spans="1:31" s="1014" customFormat="1" ht="15" customHeight="1" x14ac:dyDescent="0.3">
      <c r="A37" s="1026"/>
      <c r="B37" s="920">
        <v>3314</v>
      </c>
      <c r="C37" s="920">
        <v>2111</v>
      </c>
      <c r="D37" s="1029" t="s">
        <v>48</v>
      </c>
      <c r="E37" s="1032">
        <v>50000</v>
      </c>
      <c r="F37" s="1032">
        <v>50000</v>
      </c>
      <c r="G37" s="1032">
        <v>50000</v>
      </c>
      <c r="H37" s="1009"/>
      <c r="I37" s="1009"/>
      <c r="J37" s="1009"/>
      <c r="K37" s="1012"/>
      <c r="L37" s="1012"/>
      <c r="M37" s="1012"/>
      <c r="N37" s="1012"/>
      <c r="O37" s="1012"/>
      <c r="P37" s="1033"/>
      <c r="Q37" s="1012"/>
      <c r="R37" s="1013"/>
      <c r="S37" s="1011"/>
    </row>
    <row r="38" spans="1:31" s="1014" customFormat="1" ht="15" customHeight="1" x14ac:dyDescent="0.3">
      <c r="A38" s="1026"/>
      <c r="B38" s="920">
        <v>3314</v>
      </c>
      <c r="C38" s="920">
        <v>2321</v>
      </c>
      <c r="D38" s="1029" t="s">
        <v>1548</v>
      </c>
      <c r="E38" s="2114">
        <v>0</v>
      </c>
      <c r="F38" s="2114">
        <v>0</v>
      </c>
      <c r="G38" s="2114">
        <v>0</v>
      </c>
      <c r="H38" s="1009"/>
      <c r="I38" s="1009"/>
      <c r="J38" s="1009"/>
      <c r="K38" s="1012"/>
      <c r="L38" s="1012"/>
      <c r="M38" s="1012"/>
      <c r="N38" s="1012"/>
      <c r="O38" s="1012"/>
      <c r="P38" s="1033"/>
      <c r="Q38" s="1012"/>
      <c r="R38" s="1013"/>
      <c r="S38" s="1011"/>
    </row>
    <row r="39" spans="1:31" s="1014" customFormat="1" ht="15" customHeight="1" x14ac:dyDescent="0.3">
      <c r="A39" s="1026">
        <v>3349</v>
      </c>
      <c r="B39" s="920">
        <v>3349</v>
      </c>
      <c r="C39" s="920">
        <v>2111</v>
      </c>
      <c r="D39" s="1029" t="s">
        <v>49</v>
      </c>
      <c r="E39" s="1032">
        <v>250000</v>
      </c>
      <c r="F39" s="1032">
        <v>250000</v>
      </c>
      <c r="G39" s="1032">
        <v>250000</v>
      </c>
      <c r="H39" s="1009"/>
      <c r="I39" s="1009"/>
      <c r="J39" s="1009"/>
      <c r="K39" s="1012"/>
      <c r="L39" s="1012"/>
      <c r="M39" s="1012"/>
      <c r="N39" s="1012"/>
      <c r="O39" s="1012"/>
      <c r="P39" s="1033"/>
      <c r="Q39" s="1012"/>
      <c r="R39" s="1013"/>
      <c r="S39" s="1011"/>
    </row>
    <row r="40" spans="1:31" s="1014" customFormat="1" ht="15" customHeight="1" x14ac:dyDescent="0.3">
      <c r="A40" s="1026"/>
      <c r="B40" s="920">
        <v>3399</v>
      </c>
      <c r="C40" s="920" t="s">
        <v>45</v>
      </c>
      <c r="D40" s="1029" t="s">
        <v>50</v>
      </c>
      <c r="E40" s="1032">
        <v>70000</v>
      </c>
      <c r="F40" s="1032">
        <v>70000</v>
      </c>
      <c r="G40" s="1032">
        <v>70000</v>
      </c>
      <c r="H40" s="1009"/>
      <c r="I40" s="1009"/>
      <c r="J40" s="1051">
        <v>6600100</v>
      </c>
      <c r="K40" s="1012">
        <v>2020</v>
      </c>
      <c r="L40" s="1012">
        <v>2021</v>
      </c>
      <c r="M40" s="1012">
        <v>2022</v>
      </c>
      <c r="N40" s="1012">
        <v>2023</v>
      </c>
      <c r="O40" s="1012">
        <v>2024</v>
      </c>
      <c r="P40" s="1012">
        <v>2025</v>
      </c>
      <c r="Q40" s="1012">
        <v>2026</v>
      </c>
      <c r="R40" s="1012">
        <v>2027</v>
      </c>
      <c r="S40" s="1012">
        <v>2028</v>
      </c>
      <c r="T40" s="1012">
        <v>2029</v>
      </c>
      <c r="U40" s="1012"/>
      <c r="V40" s="1012"/>
      <c r="W40" s="1012"/>
      <c r="X40" s="1012"/>
      <c r="Y40" s="1012"/>
      <c r="Z40" s="1012"/>
      <c r="AA40" s="1012"/>
      <c r="AB40" s="1012"/>
      <c r="AC40" s="1012"/>
      <c r="AD40" s="1012"/>
      <c r="AE40" s="1012"/>
    </row>
    <row r="41" spans="1:31" s="1014" customFormat="1" ht="15" customHeight="1" x14ac:dyDescent="0.3">
      <c r="A41" s="1052">
        <v>3412</v>
      </c>
      <c r="B41" s="1027">
        <v>3412</v>
      </c>
      <c r="C41" s="1027">
        <v>2132</v>
      </c>
      <c r="D41" s="1028" t="s">
        <v>51</v>
      </c>
      <c r="E41" s="1022">
        <v>660010</v>
      </c>
      <c r="F41" s="1022">
        <v>660010</v>
      </c>
      <c r="G41" s="1022">
        <f>M41</f>
        <v>660010</v>
      </c>
      <c r="H41" s="1009"/>
      <c r="I41" s="1009"/>
      <c r="J41" s="1009" t="s">
        <v>499</v>
      </c>
      <c r="K41" s="1009">
        <f>+J40*0.3</f>
        <v>1980030</v>
      </c>
      <c r="L41" s="1009">
        <f>+J40*0.2</f>
        <v>1320020</v>
      </c>
      <c r="M41" s="1009">
        <f>+J40*0.1</f>
        <v>660010</v>
      </c>
      <c r="N41" s="1009">
        <f>+J40*0.1</f>
        <v>660010</v>
      </c>
      <c r="O41" s="1009">
        <f>+J40*0.05</f>
        <v>330005</v>
      </c>
      <c r="P41" s="1009">
        <f>+J40*0.05</f>
        <v>330005</v>
      </c>
      <c r="Q41" s="1009">
        <f>+J40*0.05</f>
        <v>330005</v>
      </c>
      <c r="R41" s="1009">
        <f>+J40*0.05</f>
        <v>330005</v>
      </c>
      <c r="S41" s="1009">
        <f>+J40*0.05</f>
        <v>330005</v>
      </c>
      <c r="T41" s="1009">
        <f>+J40*0.05</f>
        <v>330005</v>
      </c>
      <c r="U41" s="1012"/>
      <c r="V41" s="1012"/>
      <c r="W41" s="1012"/>
      <c r="X41" s="1012"/>
      <c r="Y41" s="1012"/>
    </row>
    <row r="42" spans="1:31" s="1014" customFormat="1" ht="15" customHeight="1" x14ac:dyDescent="0.3">
      <c r="A42" s="1026"/>
      <c r="B42" s="920">
        <v>3519</v>
      </c>
      <c r="C42" s="920">
        <v>2132</v>
      </c>
      <c r="D42" s="1029" t="s">
        <v>52</v>
      </c>
      <c r="E42" s="1030">
        <v>765800</v>
      </c>
      <c r="F42" s="1030">
        <v>828800</v>
      </c>
      <c r="G42" s="1030">
        <v>828800</v>
      </c>
      <c r="H42" s="1009"/>
      <c r="I42" s="1009"/>
      <c r="J42" s="1009"/>
      <c r="K42" s="1009"/>
      <c r="L42" s="1012"/>
      <c r="M42" s="1012"/>
      <c r="N42" s="1012"/>
      <c r="O42" s="1012"/>
      <c r="P42" s="1033"/>
      <c r="Q42" s="1012"/>
      <c r="R42" s="1013"/>
      <c r="S42" s="1011"/>
    </row>
    <row r="43" spans="1:31" s="1014" customFormat="1" ht="15" customHeight="1" x14ac:dyDescent="0.3">
      <c r="A43" s="1026">
        <v>3612</v>
      </c>
      <c r="B43" s="920">
        <v>3612</v>
      </c>
      <c r="C43" s="920">
        <v>2111</v>
      </c>
      <c r="D43" s="1029" t="s">
        <v>53</v>
      </c>
      <c r="E43" s="1032">
        <v>2950832</v>
      </c>
      <c r="F43" s="1032">
        <v>2950832</v>
      </c>
      <c r="G43" s="1032">
        <f>1800000*1.3+610832</f>
        <v>2950832</v>
      </c>
      <c r="H43" s="1009"/>
      <c r="I43" s="1009"/>
      <c r="J43" s="1009"/>
      <c r="K43" s="1012"/>
      <c r="L43" s="1012"/>
      <c r="M43" s="1012"/>
      <c r="N43" s="1012"/>
      <c r="O43" s="1012"/>
      <c r="P43" s="1033"/>
      <c r="Q43" s="1012"/>
      <c r="R43" s="1013"/>
      <c r="S43" s="1011"/>
    </row>
    <row r="44" spans="1:31" s="1014" customFormat="1" ht="15" customHeight="1" x14ac:dyDescent="0.3">
      <c r="A44" s="1026">
        <v>3612</v>
      </c>
      <c r="B44" s="920">
        <v>3612</v>
      </c>
      <c r="C44" s="920">
        <v>2132</v>
      </c>
      <c r="D44" s="1029" t="s">
        <v>54</v>
      </c>
      <c r="E44" s="1032">
        <v>3600000</v>
      </c>
      <c r="F44" s="1032">
        <v>4800000</v>
      </c>
      <c r="G44" s="1032">
        <v>4800000</v>
      </c>
      <c r="H44" s="1009"/>
      <c r="I44" s="1009"/>
      <c r="J44" s="1009"/>
      <c r="K44" s="1012"/>
      <c r="L44" s="1012"/>
      <c r="M44" s="1012"/>
      <c r="N44" s="1012"/>
      <c r="O44" s="1012"/>
      <c r="P44" s="1033"/>
      <c r="Q44" s="1012"/>
      <c r="R44" s="1013"/>
      <c r="S44" s="1011"/>
    </row>
    <row r="45" spans="1:31" s="1014" customFormat="1" ht="15" customHeight="1" x14ac:dyDescent="0.3">
      <c r="A45" s="1026"/>
      <c r="B45" s="920">
        <v>3612</v>
      </c>
      <c r="C45" s="920">
        <v>2322</v>
      </c>
      <c r="D45" s="1029" t="s">
        <v>1549</v>
      </c>
      <c r="E45" s="2114">
        <v>0</v>
      </c>
      <c r="F45" s="2114">
        <v>0</v>
      </c>
      <c r="G45" s="2114">
        <v>0</v>
      </c>
      <c r="H45" s="1009"/>
      <c r="I45" s="1009"/>
      <c r="J45" s="1009"/>
      <c r="K45" s="1012"/>
      <c r="L45" s="1012"/>
      <c r="M45" s="1012"/>
      <c r="N45" s="1012"/>
      <c r="O45" s="1012"/>
      <c r="P45" s="1033"/>
      <c r="Q45" s="1012"/>
      <c r="R45" s="1013"/>
      <c r="S45" s="1011"/>
    </row>
    <row r="46" spans="1:31" s="1014" customFormat="1" ht="15" customHeight="1" x14ac:dyDescent="0.3">
      <c r="A46" s="1026"/>
      <c r="B46" s="920"/>
      <c r="C46" s="920">
        <v>3122</v>
      </c>
      <c r="D46" s="1029" t="s">
        <v>1243</v>
      </c>
      <c r="E46" s="1032">
        <v>0</v>
      </c>
      <c r="F46" s="1032">
        <v>0</v>
      </c>
      <c r="G46" s="1032">
        <v>0</v>
      </c>
      <c r="H46" s="1009"/>
      <c r="I46" s="1009"/>
      <c r="J46" s="1009"/>
      <c r="K46" s="1012"/>
      <c r="L46" s="1012"/>
      <c r="M46" s="1012"/>
      <c r="N46" s="1012"/>
      <c r="O46" s="1012"/>
      <c r="P46" s="1033"/>
      <c r="Q46" s="1012"/>
      <c r="R46" s="1013"/>
      <c r="S46" s="1011"/>
    </row>
    <row r="47" spans="1:31" s="1014" customFormat="1" ht="15" customHeight="1" x14ac:dyDescent="0.3">
      <c r="A47" s="1026">
        <v>3613</v>
      </c>
      <c r="B47" s="920">
        <v>3613</v>
      </c>
      <c r="C47" s="920" t="s">
        <v>45</v>
      </c>
      <c r="D47" s="1029" t="s">
        <v>55</v>
      </c>
      <c r="E47" s="1032">
        <v>81000</v>
      </c>
      <c r="F47" s="1032">
        <v>81000</v>
      </c>
      <c r="G47" s="1032">
        <v>81000</v>
      </c>
      <c r="H47" s="1009"/>
      <c r="I47" s="1009"/>
      <c r="J47" s="1009"/>
      <c r="K47" s="1012"/>
      <c r="L47" s="1012"/>
      <c r="M47" s="1012"/>
      <c r="N47" s="1012"/>
      <c r="O47" s="1012"/>
      <c r="P47" s="1033"/>
      <c r="Q47" s="1012"/>
      <c r="R47" s="1013"/>
      <c r="S47" s="1011"/>
    </row>
    <row r="48" spans="1:31" s="1014" customFormat="1" ht="15" customHeight="1" x14ac:dyDescent="0.3">
      <c r="A48" s="1026">
        <v>3613</v>
      </c>
      <c r="B48" s="920">
        <v>3613</v>
      </c>
      <c r="C48" s="920">
        <v>2132</v>
      </c>
      <c r="D48" s="1029" t="s">
        <v>504</v>
      </c>
      <c r="E48" s="1030">
        <v>179395</v>
      </c>
      <c r="F48" s="1030">
        <v>179395</v>
      </c>
      <c r="G48" s="1030">
        <f>240000-20000-40605</f>
        <v>179395</v>
      </c>
      <c r="H48" s="1009"/>
      <c r="I48" s="1009"/>
      <c r="J48" s="1009"/>
      <c r="K48" s="1012"/>
      <c r="L48" s="1012"/>
      <c r="M48" s="1012"/>
      <c r="N48" s="1012"/>
      <c r="O48" s="1012"/>
      <c r="P48" s="1033"/>
      <c r="Q48" s="1012"/>
      <c r="R48" s="1013"/>
      <c r="S48" s="1011"/>
    </row>
    <row r="49" spans="1:19" s="1014" customFormat="1" ht="15" customHeight="1" x14ac:dyDescent="0.3">
      <c r="A49" s="1026">
        <v>3613</v>
      </c>
      <c r="B49" s="920">
        <v>3613</v>
      </c>
      <c r="C49" s="920">
        <v>2111</v>
      </c>
      <c r="D49" s="1029" t="s">
        <v>746</v>
      </c>
      <c r="E49" s="1032">
        <v>78000</v>
      </c>
      <c r="F49" s="1032">
        <v>78000</v>
      </c>
      <c r="G49" s="1032">
        <v>78000</v>
      </c>
      <c r="H49" s="1009"/>
      <c r="I49" s="1009"/>
      <c r="J49" s="1009"/>
      <c r="K49" s="1012"/>
      <c r="L49" s="1012"/>
      <c r="M49" s="1012"/>
      <c r="N49" s="1012"/>
      <c r="O49" s="1012"/>
      <c r="P49" s="1033"/>
      <c r="Q49" s="1012"/>
      <c r="R49" s="1013"/>
      <c r="S49" s="1011"/>
    </row>
    <row r="50" spans="1:19" s="1014" customFormat="1" ht="15" customHeight="1" x14ac:dyDescent="0.3">
      <c r="A50" s="1026">
        <v>3613</v>
      </c>
      <c r="B50" s="920">
        <v>3613</v>
      </c>
      <c r="C50" s="920">
        <v>2132</v>
      </c>
      <c r="D50" s="1029" t="s">
        <v>56</v>
      </c>
      <c r="E50" s="1032">
        <v>400000</v>
      </c>
      <c r="F50" s="1032">
        <v>400000</v>
      </c>
      <c r="G50" s="1032">
        <v>400000</v>
      </c>
      <c r="H50" s="1009"/>
      <c r="I50" s="1009"/>
      <c r="J50" s="1009"/>
      <c r="K50" s="1012"/>
      <c r="L50" s="1012"/>
      <c r="M50" s="1012"/>
      <c r="N50" s="1012"/>
      <c r="O50" s="1012"/>
      <c r="P50" s="1033"/>
      <c r="Q50" s="1012"/>
      <c r="R50" s="1013"/>
      <c r="S50" s="1011"/>
    </row>
    <row r="51" spans="1:19" s="1014" customFormat="1" ht="15" customHeight="1" x14ac:dyDescent="0.3">
      <c r="A51" s="1026" t="s">
        <v>198</v>
      </c>
      <c r="B51" s="920">
        <v>3613</v>
      </c>
      <c r="C51" s="920">
        <v>2132</v>
      </c>
      <c r="D51" s="1029" t="s">
        <v>489</v>
      </c>
      <c r="E51" s="1032">
        <v>1063000</v>
      </c>
      <c r="F51" s="1032">
        <v>1063000</v>
      </c>
      <c r="G51" s="1032">
        <v>1063000</v>
      </c>
      <c r="H51" s="1009"/>
      <c r="I51" s="1009"/>
      <c r="J51" s="1009"/>
      <c r="K51" s="1012"/>
      <c r="L51" s="1012"/>
      <c r="M51" s="1012"/>
      <c r="N51" s="1012"/>
      <c r="O51" s="1012"/>
      <c r="P51" s="1033"/>
      <c r="Q51" s="1012"/>
      <c r="R51" s="1013"/>
      <c r="S51" s="1011"/>
    </row>
    <row r="52" spans="1:19" s="1014" customFormat="1" ht="15" customHeight="1" x14ac:dyDescent="0.3">
      <c r="A52" s="1026">
        <v>3632</v>
      </c>
      <c r="B52" s="920">
        <v>3632</v>
      </c>
      <c r="C52" s="920">
        <v>2111</v>
      </c>
      <c r="D52" s="1029" t="s">
        <v>57</v>
      </c>
      <c r="E52" s="1032">
        <v>250000</v>
      </c>
      <c r="F52" s="1032">
        <v>250000</v>
      </c>
      <c r="G52" s="1032">
        <v>250000</v>
      </c>
      <c r="H52" s="1009"/>
      <c r="I52" s="1009"/>
      <c r="J52" s="1009"/>
      <c r="K52" s="1012"/>
      <c r="L52" s="1012"/>
      <c r="M52" s="1012"/>
      <c r="N52" s="1012"/>
      <c r="O52" s="1012"/>
      <c r="P52" s="1033"/>
      <c r="Q52" s="1012"/>
      <c r="R52" s="1013"/>
      <c r="S52" s="1011"/>
    </row>
    <row r="53" spans="1:19" s="1014" customFormat="1" ht="15" customHeight="1" x14ac:dyDescent="0.3">
      <c r="A53" s="1026"/>
      <c r="B53" s="920">
        <v>3749</v>
      </c>
      <c r="C53" s="920">
        <v>2321</v>
      </c>
      <c r="D53" s="1029" t="s">
        <v>1550</v>
      </c>
      <c r="E53" s="1032">
        <v>0</v>
      </c>
      <c r="F53" s="1032">
        <v>300000</v>
      </c>
      <c r="G53" s="1032">
        <v>300000</v>
      </c>
      <c r="H53" s="1009"/>
      <c r="I53" s="1009"/>
      <c r="J53" s="1009"/>
      <c r="K53" s="1012"/>
      <c r="L53" s="1012"/>
      <c r="M53" s="1012"/>
      <c r="N53" s="1012"/>
      <c r="O53" s="1012"/>
      <c r="P53" s="1033"/>
      <c r="Q53" s="1012"/>
      <c r="R53" s="1013"/>
      <c r="S53" s="1011"/>
    </row>
    <row r="54" spans="1:19" s="1014" customFormat="1" ht="15" customHeight="1" x14ac:dyDescent="0.3">
      <c r="A54" s="1026"/>
      <c r="B54" s="920">
        <v>3749</v>
      </c>
      <c r="C54" s="920">
        <v>2322</v>
      </c>
      <c r="D54" s="1029" t="s">
        <v>1549</v>
      </c>
      <c r="E54" s="1032">
        <v>0</v>
      </c>
      <c r="F54" s="1032">
        <v>0</v>
      </c>
      <c r="G54" s="1032">
        <v>0</v>
      </c>
      <c r="H54" s="1009"/>
      <c r="I54" s="1009"/>
      <c r="J54" s="1009"/>
      <c r="K54" s="1012"/>
      <c r="L54" s="1012"/>
      <c r="M54" s="1012"/>
      <c r="N54" s="1012"/>
      <c r="O54" s="1012"/>
      <c r="P54" s="1033"/>
      <c r="Q54" s="1012"/>
      <c r="R54" s="1013"/>
      <c r="S54" s="1011"/>
    </row>
    <row r="55" spans="1:19" s="1014" customFormat="1" ht="15" customHeight="1" x14ac:dyDescent="0.3">
      <c r="A55" s="1026">
        <v>3722</v>
      </c>
      <c r="B55" s="920">
        <v>3722</v>
      </c>
      <c r="C55" s="920" t="s">
        <v>45</v>
      </c>
      <c r="D55" s="1029" t="s">
        <v>969</v>
      </c>
      <c r="E55" s="1032">
        <v>1200000</v>
      </c>
      <c r="F55" s="1032">
        <v>1950000</v>
      </c>
      <c r="G55" s="1032">
        <v>1950000</v>
      </c>
      <c r="H55" s="1009"/>
      <c r="I55" s="1009"/>
      <c r="J55" s="1009"/>
      <c r="K55" s="1012"/>
      <c r="L55" s="1012"/>
      <c r="M55" s="1012"/>
      <c r="N55" s="1012"/>
      <c r="O55" s="1012"/>
      <c r="P55" s="1033"/>
      <c r="Q55" s="1012"/>
      <c r="R55" s="1013"/>
      <c r="S55" s="1011"/>
    </row>
    <row r="56" spans="1:19" s="1014" customFormat="1" ht="15" customHeight="1" x14ac:dyDescent="0.3">
      <c r="A56" s="1026">
        <v>4351</v>
      </c>
      <c r="B56" s="920">
        <v>4351</v>
      </c>
      <c r="C56" s="920" t="s">
        <v>45</v>
      </c>
      <c r="D56" s="1029" t="s">
        <v>478</v>
      </c>
      <c r="E56" s="1032">
        <v>600000</v>
      </c>
      <c r="F56" s="1032">
        <v>600000</v>
      </c>
      <c r="G56" s="1032">
        <v>600000</v>
      </c>
      <c r="H56" s="1009"/>
      <c r="I56" s="1009"/>
      <c r="J56" s="1009"/>
      <c r="K56" s="1012"/>
      <c r="L56" s="1012"/>
      <c r="M56" s="1012"/>
      <c r="N56" s="1012"/>
      <c r="O56" s="1012"/>
      <c r="P56" s="1033"/>
      <c r="Q56" s="1012"/>
      <c r="R56" s="1013"/>
      <c r="S56" s="1011"/>
    </row>
    <row r="57" spans="1:19" s="1014" customFormat="1" ht="15" customHeight="1" x14ac:dyDescent="0.3">
      <c r="A57" s="1026"/>
      <c r="B57" s="920">
        <v>5512</v>
      </c>
      <c r="C57" s="920">
        <v>2111</v>
      </c>
      <c r="D57" s="1029" t="s">
        <v>747</v>
      </c>
      <c r="E57" s="1032">
        <v>20000</v>
      </c>
      <c r="F57" s="1032">
        <v>20000</v>
      </c>
      <c r="G57" s="1032">
        <v>20000</v>
      </c>
      <c r="H57" s="1009"/>
      <c r="I57" s="1009"/>
      <c r="J57" s="1009"/>
      <c r="K57" s="1012"/>
      <c r="L57" s="1012"/>
      <c r="M57" s="1012"/>
      <c r="N57" s="1012"/>
      <c r="O57" s="1012"/>
      <c r="P57" s="1033"/>
      <c r="Q57" s="1012"/>
      <c r="R57" s="1013"/>
      <c r="S57" s="1011"/>
    </row>
    <row r="58" spans="1:19" s="1014" customFormat="1" ht="15" customHeight="1" x14ac:dyDescent="0.3">
      <c r="A58" s="1026"/>
      <c r="B58" s="920"/>
      <c r="C58" s="920">
        <v>2321</v>
      </c>
      <c r="D58" s="1029" t="s">
        <v>1448</v>
      </c>
      <c r="E58" s="1032">
        <v>0</v>
      </c>
      <c r="F58" s="1032">
        <v>0</v>
      </c>
      <c r="G58" s="1032">
        <v>0</v>
      </c>
      <c r="H58" s="1009"/>
      <c r="I58" s="1009"/>
      <c r="J58" s="1009"/>
      <c r="K58" s="1012"/>
      <c r="L58" s="1012"/>
      <c r="M58" s="1012"/>
      <c r="N58" s="1012"/>
      <c r="O58" s="1012"/>
      <c r="P58" s="1033"/>
      <c r="Q58" s="1012"/>
      <c r="R58" s="1013"/>
      <c r="S58" s="1011"/>
    </row>
    <row r="59" spans="1:19" s="1014" customFormat="1" ht="15" customHeight="1" x14ac:dyDescent="0.3">
      <c r="A59" s="1026">
        <v>6221</v>
      </c>
      <c r="B59" s="920">
        <v>6221</v>
      </c>
      <c r="C59" s="920">
        <v>2324</v>
      </c>
      <c r="D59" s="1029" t="s">
        <v>2247</v>
      </c>
      <c r="E59" s="1032"/>
      <c r="F59" s="1032">
        <v>292800</v>
      </c>
      <c r="G59" s="2600">
        <v>751800</v>
      </c>
      <c r="H59" s="1009"/>
      <c r="I59" s="1009"/>
      <c r="J59" s="1009"/>
      <c r="K59" s="1012"/>
      <c r="L59" s="1012"/>
      <c r="M59" s="1012"/>
      <c r="N59" s="1012"/>
      <c r="O59" s="1012"/>
      <c r="P59" s="1033"/>
      <c r="Q59" s="1012"/>
      <c r="R59" s="1013"/>
      <c r="S59" s="1011"/>
    </row>
    <row r="60" spans="1:19" s="1014" customFormat="1" ht="15" customHeight="1" x14ac:dyDescent="0.3">
      <c r="A60" s="1026"/>
      <c r="B60" s="920">
        <v>9221</v>
      </c>
      <c r="C60" s="920">
        <v>2321</v>
      </c>
      <c r="D60" s="1029" t="s">
        <v>1520</v>
      </c>
      <c r="E60" s="1032">
        <v>0</v>
      </c>
      <c r="F60" s="1032">
        <v>0</v>
      </c>
      <c r="G60" s="1032">
        <v>0</v>
      </c>
      <c r="H60" s="1009"/>
      <c r="I60" s="1009"/>
      <c r="J60" s="1009"/>
      <c r="K60" s="1012"/>
      <c r="L60" s="1012"/>
      <c r="M60" s="1012"/>
      <c r="N60" s="1012"/>
      <c r="O60" s="1012"/>
      <c r="P60" s="1033"/>
      <c r="Q60" s="1012"/>
      <c r="R60" s="1013"/>
      <c r="S60" s="1011"/>
    </row>
    <row r="61" spans="1:19" s="1014" customFormat="1" ht="15" customHeight="1" x14ac:dyDescent="0.3">
      <c r="A61" s="1026"/>
      <c r="B61" s="920">
        <v>5512</v>
      </c>
      <c r="C61" s="920">
        <v>2132</v>
      </c>
      <c r="D61" s="1029" t="s">
        <v>748</v>
      </c>
      <c r="E61" s="1032">
        <v>24000</v>
      </c>
      <c r="F61" s="1032">
        <v>24000</v>
      </c>
      <c r="G61" s="1032">
        <v>24000</v>
      </c>
      <c r="H61" s="1009"/>
      <c r="I61" s="1009"/>
      <c r="J61" s="1009"/>
      <c r="K61" s="1012"/>
      <c r="L61" s="1012"/>
      <c r="M61" s="1012"/>
      <c r="N61" s="1012"/>
      <c r="O61" s="1012"/>
      <c r="P61" s="1033"/>
      <c r="Q61" s="1012"/>
      <c r="R61" s="1013"/>
      <c r="S61" s="1011"/>
    </row>
    <row r="62" spans="1:19" s="1014" customFormat="1" ht="15" customHeight="1" x14ac:dyDescent="0.3">
      <c r="A62" s="1026"/>
      <c r="B62" s="920">
        <v>6171</v>
      </c>
      <c r="C62" s="920">
        <v>2111</v>
      </c>
      <c r="D62" s="1029" t="s">
        <v>58</v>
      </c>
      <c r="E62" s="1032">
        <v>17000</v>
      </c>
      <c r="F62" s="1032">
        <v>17000</v>
      </c>
      <c r="G62" s="1032">
        <v>17000</v>
      </c>
      <c r="H62" s="1009"/>
      <c r="I62" s="1009"/>
      <c r="J62" s="1009"/>
      <c r="K62" s="1012"/>
      <c r="L62" s="1012"/>
      <c r="M62" s="1012"/>
      <c r="N62" s="1012"/>
      <c r="O62" s="1012"/>
      <c r="P62" s="1033"/>
      <c r="Q62" s="1012"/>
      <c r="R62" s="1013"/>
      <c r="S62" s="1011"/>
    </row>
    <row r="63" spans="1:19" s="1014" customFormat="1" ht="15" customHeight="1" x14ac:dyDescent="0.3">
      <c r="A63" s="1026"/>
      <c r="B63" s="920"/>
      <c r="C63" s="920">
        <v>2111</v>
      </c>
      <c r="D63" s="1029" t="s">
        <v>1244</v>
      </c>
      <c r="E63" s="1032"/>
      <c r="F63" s="1032"/>
      <c r="G63" s="1032"/>
      <c r="H63" s="1009"/>
      <c r="I63" s="1009"/>
      <c r="J63" s="1009"/>
      <c r="K63" s="1012"/>
      <c r="L63" s="1012"/>
      <c r="M63" s="1012"/>
      <c r="N63" s="1012"/>
      <c r="O63" s="1012"/>
      <c r="P63" s="1033"/>
      <c r="Q63" s="1012"/>
      <c r="R63" s="1013"/>
      <c r="S63" s="1011"/>
    </row>
    <row r="64" spans="1:19" s="1014" customFormat="1" ht="15" customHeight="1" x14ac:dyDescent="0.3">
      <c r="A64" s="1026"/>
      <c r="B64" s="920"/>
      <c r="C64" s="920">
        <v>2322</v>
      </c>
      <c r="D64" s="1029" t="s">
        <v>554</v>
      </c>
      <c r="E64" s="1032"/>
      <c r="F64" s="1032"/>
      <c r="G64" s="1032"/>
      <c r="H64" s="1009"/>
      <c r="I64" s="1009"/>
      <c r="J64" s="1009"/>
      <c r="K64" s="1012"/>
      <c r="L64" s="1012"/>
      <c r="M64" s="1012"/>
      <c r="N64" s="1012"/>
      <c r="O64" s="1012"/>
      <c r="P64" s="1033"/>
      <c r="Q64" s="1012"/>
      <c r="R64" s="1013"/>
      <c r="S64" s="1011"/>
    </row>
    <row r="65" spans="1:19" s="1014" customFormat="1" ht="15" customHeight="1" x14ac:dyDescent="0.3">
      <c r="A65" s="1026"/>
      <c r="B65" s="920"/>
      <c r="C65" s="920">
        <v>2321</v>
      </c>
      <c r="D65" s="1029" t="s">
        <v>1245</v>
      </c>
      <c r="E65" s="1032"/>
      <c r="F65" s="1032"/>
      <c r="G65" s="1032"/>
      <c r="H65" s="1009"/>
      <c r="I65" s="1009"/>
      <c r="J65" s="1009"/>
      <c r="K65" s="1012"/>
      <c r="L65" s="1012"/>
      <c r="M65" s="1012"/>
      <c r="N65" s="1012"/>
      <c r="O65" s="1012"/>
      <c r="P65" s="1033"/>
      <c r="Q65" s="1012"/>
      <c r="R65" s="1013"/>
      <c r="S65" s="1011"/>
    </row>
    <row r="66" spans="1:19" s="1014" customFormat="1" ht="15" customHeight="1" x14ac:dyDescent="0.3">
      <c r="A66" s="1026"/>
      <c r="B66" s="920"/>
      <c r="C66" s="920">
        <v>2322</v>
      </c>
      <c r="D66" s="1029" t="s">
        <v>554</v>
      </c>
      <c r="E66" s="1032"/>
      <c r="F66" s="1032"/>
      <c r="G66" s="1032"/>
      <c r="H66" s="1009"/>
      <c r="I66" s="1009"/>
      <c r="J66" s="1009"/>
      <c r="K66" s="1012"/>
      <c r="L66" s="1012"/>
      <c r="M66" s="1012"/>
      <c r="N66" s="1012"/>
      <c r="O66" s="1012"/>
      <c r="P66" s="1033"/>
      <c r="Q66" s="1012"/>
      <c r="R66" s="1013"/>
      <c r="S66" s="1011"/>
    </row>
    <row r="67" spans="1:19" s="1014" customFormat="1" ht="15" customHeight="1" x14ac:dyDescent="0.3">
      <c r="A67" s="1026"/>
      <c r="B67" s="920"/>
      <c r="C67" s="920">
        <v>2322</v>
      </c>
      <c r="D67" s="1029" t="s">
        <v>554</v>
      </c>
      <c r="E67" s="1032"/>
      <c r="F67" s="1032"/>
      <c r="G67" s="1032"/>
      <c r="H67" s="1009"/>
      <c r="I67" s="1009"/>
      <c r="J67" s="1009"/>
      <c r="K67" s="1012"/>
      <c r="L67" s="1012"/>
      <c r="M67" s="1012"/>
      <c r="N67" s="1012"/>
      <c r="O67" s="1012"/>
      <c r="P67" s="1033"/>
      <c r="Q67" s="1012"/>
      <c r="R67" s="1013"/>
      <c r="S67" s="1011"/>
    </row>
    <row r="68" spans="1:19" s="1014" customFormat="1" ht="15" customHeight="1" x14ac:dyDescent="0.3">
      <c r="A68" s="1026"/>
      <c r="B68" s="920">
        <v>5311</v>
      </c>
      <c r="C68" s="920">
        <v>2212</v>
      </c>
      <c r="D68" s="1029" t="s">
        <v>1246</v>
      </c>
      <c r="E68" s="1032"/>
      <c r="F68" s="1032"/>
      <c r="G68" s="2600">
        <v>40000</v>
      </c>
      <c r="H68" s="1009"/>
      <c r="I68" s="1009"/>
      <c r="J68" s="1009"/>
      <c r="K68" s="1012"/>
      <c r="L68" s="1012"/>
      <c r="M68" s="1012"/>
      <c r="N68" s="1012"/>
      <c r="O68" s="1012"/>
      <c r="P68" s="1033"/>
      <c r="Q68" s="1012"/>
      <c r="R68" s="1013"/>
      <c r="S68" s="1011"/>
    </row>
    <row r="69" spans="1:19" s="1014" customFormat="1" ht="15" customHeight="1" x14ac:dyDescent="0.3">
      <c r="A69" s="1026"/>
      <c r="B69" s="920"/>
      <c r="C69" s="920">
        <v>2322</v>
      </c>
      <c r="D69" s="1029" t="s">
        <v>226</v>
      </c>
      <c r="E69" s="1032"/>
      <c r="F69" s="1032"/>
      <c r="G69" s="1032"/>
      <c r="H69" s="1009"/>
      <c r="I69" s="1009"/>
      <c r="J69" s="1009"/>
      <c r="K69" s="1012"/>
      <c r="L69" s="1012"/>
      <c r="M69" s="1012"/>
      <c r="N69" s="1012"/>
      <c r="O69" s="1012"/>
      <c r="P69" s="1033"/>
      <c r="Q69" s="1012"/>
      <c r="R69" s="1013"/>
      <c r="S69" s="1011"/>
    </row>
    <row r="70" spans="1:19" s="1014" customFormat="1" ht="15" customHeight="1" x14ac:dyDescent="0.3">
      <c r="A70" s="1026"/>
      <c r="B70" s="920"/>
      <c r="C70" s="920">
        <v>2212</v>
      </c>
      <c r="D70" s="1029" t="s">
        <v>1247</v>
      </c>
      <c r="E70" s="1032"/>
      <c r="F70" s="1032"/>
      <c r="G70" s="1032"/>
      <c r="H70" s="1009"/>
      <c r="I70" s="1009"/>
      <c r="J70" s="1009"/>
      <c r="K70" s="1012"/>
      <c r="L70" s="1012"/>
      <c r="M70" s="1012"/>
      <c r="N70" s="1012"/>
      <c r="O70" s="1012"/>
      <c r="P70" s="1033"/>
      <c r="Q70" s="1012"/>
      <c r="R70" s="1013"/>
      <c r="S70" s="1011"/>
    </row>
    <row r="71" spans="1:19" s="1014" customFormat="1" ht="15" customHeight="1" x14ac:dyDescent="0.3">
      <c r="A71" s="1026"/>
      <c r="B71" s="920">
        <v>6310</v>
      </c>
      <c r="C71" s="920">
        <v>2212</v>
      </c>
      <c r="D71" s="1029" t="s">
        <v>2240</v>
      </c>
      <c r="E71" s="1032"/>
      <c r="F71" s="1032"/>
      <c r="G71" s="2600">
        <v>96400</v>
      </c>
      <c r="H71" s="1009"/>
      <c r="I71" s="1009"/>
      <c r="J71" s="1009"/>
      <c r="K71" s="1012"/>
      <c r="L71" s="1012"/>
      <c r="M71" s="1012"/>
      <c r="N71" s="1012"/>
      <c r="O71" s="1012"/>
      <c r="P71" s="1033"/>
      <c r="Q71" s="1012"/>
      <c r="R71" s="1013"/>
      <c r="S71" s="1011"/>
    </row>
    <row r="72" spans="1:19" s="1014" customFormat="1" ht="15" customHeight="1" x14ac:dyDescent="0.3">
      <c r="A72" s="1026"/>
      <c r="B72" s="920">
        <v>6310</v>
      </c>
      <c r="C72" s="920">
        <v>2141</v>
      </c>
      <c r="D72" s="1029" t="s">
        <v>749</v>
      </c>
      <c r="E72" s="1032">
        <v>10000</v>
      </c>
      <c r="F72" s="1032">
        <v>10000</v>
      </c>
      <c r="G72" s="1032">
        <v>10000</v>
      </c>
      <c r="H72" s="1009"/>
      <c r="I72" s="1009"/>
      <c r="J72" s="1009"/>
      <c r="K72" s="1012"/>
      <c r="L72" s="1012"/>
      <c r="M72" s="1012"/>
      <c r="N72" s="1012"/>
      <c r="O72" s="1012"/>
      <c r="P72" s="1033"/>
      <c r="Q72" s="1012"/>
      <c r="R72" s="1013"/>
      <c r="S72" s="1011"/>
    </row>
    <row r="73" spans="1:19" s="1014" customFormat="1" ht="15" customHeight="1" x14ac:dyDescent="0.3">
      <c r="A73" s="1026"/>
      <c r="B73" s="920">
        <v>6409</v>
      </c>
      <c r="C73" s="920">
        <v>2132</v>
      </c>
      <c r="D73" s="1029" t="s">
        <v>484</v>
      </c>
      <c r="E73" s="1032">
        <v>4400</v>
      </c>
      <c r="F73" s="1032">
        <v>4400</v>
      </c>
      <c r="G73" s="1032">
        <v>4400</v>
      </c>
      <c r="H73" s="1009"/>
      <c r="I73" s="1009"/>
      <c r="J73" s="1009"/>
      <c r="K73" s="1012"/>
      <c r="L73" s="1012"/>
      <c r="M73" s="1012"/>
      <c r="N73" s="1012"/>
      <c r="O73" s="1012"/>
      <c r="P73" s="1033"/>
      <c r="Q73" s="1012"/>
      <c r="R73" s="1013"/>
      <c r="S73" s="1011"/>
    </row>
    <row r="74" spans="1:19" s="1014" customFormat="1" ht="15" customHeight="1" x14ac:dyDescent="0.3">
      <c r="A74" s="1026"/>
      <c r="B74" s="920">
        <v>6409</v>
      </c>
      <c r="C74" s="920" t="s">
        <v>59</v>
      </c>
      <c r="D74" s="1029" t="s">
        <v>60</v>
      </c>
      <c r="E74" s="1032">
        <v>65000</v>
      </c>
      <c r="F74" s="1032">
        <v>65000</v>
      </c>
      <c r="G74" s="1032">
        <v>65000</v>
      </c>
      <c r="H74" s="1009"/>
      <c r="I74" s="1009"/>
      <c r="J74" s="1009"/>
      <c r="K74" s="1012"/>
      <c r="L74" s="1012"/>
      <c r="M74" s="1012"/>
      <c r="N74" s="1012"/>
      <c r="O74" s="1012"/>
      <c r="P74" s="1033"/>
      <c r="Q74" s="1012"/>
      <c r="R74" s="1013"/>
      <c r="S74" s="1011"/>
    </row>
    <row r="75" spans="1:19" s="1014" customFormat="1" ht="15" customHeight="1" x14ac:dyDescent="0.3">
      <c r="A75" s="1053">
        <v>6409</v>
      </c>
      <c r="B75" s="1054">
        <v>6409</v>
      </c>
      <c r="C75" s="1054">
        <v>2119</v>
      </c>
      <c r="D75" s="1055" t="s">
        <v>750</v>
      </c>
      <c r="E75" s="1032">
        <v>300000</v>
      </c>
      <c r="F75" s="1032">
        <v>300000</v>
      </c>
      <c r="G75" s="1032">
        <v>300000</v>
      </c>
      <c r="H75" s="1009"/>
      <c r="I75" s="1009"/>
      <c r="J75" s="1009"/>
      <c r="K75" s="1012"/>
      <c r="L75" s="1012"/>
      <c r="M75" s="1012"/>
      <c r="N75" s="1012"/>
      <c r="O75" s="1012"/>
      <c r="P75" s="1033"/>
      <c r="Q75" s="1012"/>
      <c r="R75" s="1013"/>
      <c r="S75" s="1011"/>
    </row>
    <row r="76" spans="1:19" s="1014" customFormat="1" ht="15" customHeight="1" x14ac:dyDescent="0.3">
      <c r="A76" s="1053"/>
      <c r="B76" s="1054">
        <v>6409</v>
      </c>
      <c r="C76" s="1054">
        <v>2329</v>
      </c>
      <c r="D76" s="1055" t="s">
        <v>2241</v>
      </c>
      <c r="E76" s="1032"/>
      <c r="F76" s="1032"/>
      <c r="G76" s="2600">
        <v>1000000</v>
      </c>
      <c r="H76" s="1009"/>
      <c r="I76" s="1009"/>
      <c r="J76" s="1009"/>
      <c r="K76" s="1012"/>
      <c r="L76" s="1012"/>
      <c r="M76" s="1012"/>
      <c r="N76" s="1012"/>
      <c r="O76" s="1012"/>
      <c r="P76" s="1033"/>
      <c r="Q76" s="1012"/>
      <c r="R76" s="1013"/>
      <c r="S76" s="1011"/>
    </row>
    <row r="77" spans="1:19" s="1014" customFormat="1" ht="15" customHeight="1" x14ac:dyDescent="0.3">
      <c r="A77" s="1026"/>
      <c r="B77" s="920">
        <v>6409</v>
      </c>
      <c r="C77" s="920">
        <v>3111</v>
      </c>
      <c r="D77" s="1029" t="s">
        <v>706</v>
      </c>
      <c r="E77" s="1032">
        <v>0</v>
      </c>
      <c r="F77" s="1032">
        <v>0</v>
      </c>
      <c r="G77" s="1032">
        <v>0</v>
      </c>
      <c r="H77" s="1009"/>
      <c r="I77" s="1009"/>
      <c r="J77" s="1009"/>
      <c r="K77" s="1012"/>
      <c r="L77" s="1012"/>
      <c r="M77" s="1012"/>
      <c r="N77" s="1012"/>
      <c r="O77" s="1012"/>
      <c r="P77" s="1033"/>
      <c r="Q77" s="1012"/>
      <c r="R77" s="1025"/>
      <c r="S77" s="1011"/>
    </row>
    <row r="78" spans="1:19" s="1014" customFormat="1" ht="15" customHeight="1" x14ac:dyDescent="0.3">
      <c r="A78" s="1026">
        <v>2321</v>
      </c>
      <c r="B78" s="920">
        <v>2321</v>
      </c>
      <c r="C78" s="920" t="s">
        <v>45</v>
      </c>
      <c r="D78" s="1029" t="s">
        <v>62</v>
      </c>
      <c r="E78" s="1032">
        <v>0</v>
      </c>
      <c r="F78" s="1032">
        <v>0</v>
      </c>
      <c r="G78" s="1032">
        <v>0</v>
      </c>
      <c r="H78" s="1009"/>
      <c r="I78" s="1009"/>
      <c r="J78" s="1009"/>
      <c r="K78" s="1012"/>
      <c r="L78" s="1012"/>
      <c r="M78" s="1012"/>
      <c r="N78" s="1012"/>
      <c r="O78" s="1012"/>
      <c r="P78" s="1033"/>
      <c r="Q78" s="1012"/>
      <c r="R78" s="1013"/>
      <c r="S78" s="1011"/>
    </row>
    <row r="79" spans="1:19" s="1014" customFormat="1" ht="15" customHeight="1" x14ac:dyDescent="0.3">
      <c r="A79" s="1026" t="s">
        <v>12</v>
      </c>
      <c r="B79" s="920"/>
      <c r="C79" s="920">
        <v>4112</v>
      </c>
      <c r="D79" s="1029" t="s">
        <v>36</v>
      </c>
      <c r="E79" s="1032">
        <v>9501000</v>
      </c>
      <c r="F79" s="1032">
        <v>10108300</v>
      </c>
      <c r="G79" s="1032">
        <v>10108300</v>
      </c>
      <c r="H79" s="1009"/>
      <c r="I79" s="1009"/>
      <c r="J79" s="1009"/>
      <c r="K79" s="1012"/>
      <c r="L79" s="1012"/>
      <c r="M79" s="1012"/>
      <c r="N79" s="1012"/>
      <c r="O79" s="1012"/>
      <c r="P79" s="1033"/>
      <c r="Q79" s="1012"/>
      <c r="R79" s="1013"/>
      <c r="S79" s="1011"/>
    </row>
    <row r="80" spans="1:19" s="1014" customFormat="1" ht="15" customHeight="1" x14ac:dyDescent="0.3">
      <c r="A80" s="1026" t="s">
        <v>12</v>
      </c>
      <c r="B80" s="920"/>
      <c r="C80" s="920">
        <v>4111</v>
      </c>
      <c r="D80" s="1029" t="s">
        <v>1248</v>
      </c>
      <c r="E80" s="1032">
        <v>0</v>
      </c>
      <c r="F80" s="1032">
        <v>0</v>
      </c>
      <c r="G80" s="1032">
        <v>0</v>
      </c>
      <c r="H80" s="1009"/>
      <c r="I80" s="1009"/>
      <c r="J80" s="1009"/>
      <c r="K80" s="1012"/>
      <c r="L80" s="1012"/>
      <c r="M80" s="1012"/>
      <c r="N80" s="1012"/>
      <c r="O80" s="1012"/>
      <c r="P80" s="1033"/>
      <c r="Q80" s="1012"/>
      <c r="R80" s="1013"/>
      <c r="S80" s="1011"/>
    </row>
    <row r="81" spans="1:19" s="1014" customFormat="1" ht="15" customHeight="1" x14ac:dyDescent="0.3">
      <c r="A81" s="1026" t="s">
        <v>12</v>
      </c>
      <c r="B81" s="920"/>
      <c r="C81" s="920">
        <v>4121</v>
      </c>
      <c r="D81" s="1029" t="s">
        <v>2233</v>
      </c>
      <c r="E81" s="1032">
        <v>400000</v>
      </c>
      <c r="F81" s="1032">
        <v>400000</v>
      </c>
      <c r="G81" s="1032">
        <v>400000</v>
      </c>
      <c r="H81" s="1009"/>
      <c r="I81" s="1009"/>
      <c r="J81" s="1009"/>
      <c r="K81" s="1012"/>
      <c r="L81" s="1012"/>
      <c r="M81" s="1012"/>
      <c r="N81" s="1012"/>
      <c r="O81" s="1012"/>
      <c r="P81" s="1033"/>
      <c r="Q81" s="1012"/>
      <c r="R81" s="1013"/>
      <c r="S81" s="1011"/>
    </row>
    <row r="82" spans="1:19" s="1014" customFormat="1" ht="15" customHeight="1" x14ac:dyDescent="0.3">
      <c r="A82" s="1026" t="s">
        <v>12</v>
      </c>
      <c r="B82" s="920"/>
      <c r="C82" s="920">
        <v>4121</v>
      </c>
      <c r="D82" s="1029" t="s">
        <v>351</v>
      </c>
      <c r="E82" s="1030">
        <v>898400</v>
      </c>
      <c r="F82" s="1030">
        <v>898400</v>
      </c>
      <c r="G82" s="1030">
        <v>898400</v>
      </c>
      <c r="H82" s="1041" t="s">
        <v>352</v>
      </c>
      <c r="I82" s="1041"/>
      <c r="J82" s="1041"/>
      <c r="K82" s="1012"/>
      <c r="L82" s="1012"/>
      <c r="M82" s="1012"/>
      <c r="N82" s="1012"/>
      <c r="O82" s="1012"/>
      <c r="P82" s="1033"/>
      <c r="Q82" s="1012"/>
      <c r="R82" s="1013"/>
      <c r="S82" s="1011"/>
    </row>
    <row r="83" spans="1:19" s="1014" customFormat="1" ht="15" customHeight="1" x14ac:dyDescent="0.3">
      <c r="A83" s="1026" t="s">
        <v>12</v>
      </c>
      <c r="B83" s="920"/>
      <c r="C83" s="920">
        <v>4216</v>
      </c>
      <c r="D83" s="1029" t="s">
        <v>967</v>
      </c>
      <c r="E83" s="1030">
        <v>0</v>
      </c>
      <c r="F83" s="1030">
        <v>0</v>
      </c>
      <c r="G83" s="1030">
        <v>0</v>
      </c>
      <c r="H83" s="1009"/>
      <c r="I83" s="1009"/>
      <c r="J83" s="1009"/>
      <c r="K83" s="1012"/>
      <c r="L83" s="1012"/>
      <c r="M83" s="1012"/>
      <c r="N83" s="1012"/>
      <c r="O83" s="1012"/>
      <c r="P83" s="1033"/>
      <c r="Q83" s="1012"/>
      <c r="R83" s="1013"/>
      <c r="S83" s="1011"/>
    </row>
    <row r="84" spans="1:19" s="1014" customFormat="1" ht="15" customHeight="1" x14ac:dyDescent="0.3">
      <c r="A84" s="1026" t="s">
        <v>12</v>
      </c>
      <c r="B84" s="920"/>
      <c r="C84" s="920" t="s">
        <v>37</v>
      </c>
      <c r="D84" s="1029" t="s">
        <v>1159</v>
      </c>
      <c r="E84" s="1030">
        <v>0</v>
      </c>
      <c r="F84" s="1030">
        <v>0</v>
      </c>
      <c r="G84" s="1030">
        <v>0</v>
      </c>
      <c r="H84" s="1009"/>
      <c r="I84" s="1009"/>
      <c r="J84" s="1009"/>
      <c r="K84" s="1012"/>
      <c r="L84" s="1012"/>
      <c r="M84" s="1012"/>
      <c r="N84" s="1012"/>
      <c r="O84" s="1012"/>
      <c r="P84" s="1033"/>
      <c r="Q84" s="1012"/>
      <c r="R84" s="1013"/>
      <c r="S84" s="1011"/>
    </row>
    <row r="85" spans="1:19" s="1014" customFormat="1" ht="15" customHeight="1" x14ac:dyDescent="0.3">
      <c r="A85" s="1026" t="s">
        <v>12</v>
      </c>
      <c r="B85" s="920"/>
      <c r="C85" s="920">
        <v>4222</v>
      </c>
      <c r="D85" s="1029" t="s">
        <v>1250</v>
      </c>
      <c r="E85" s="1030">
        <v>0</v>
      </c>
      <c r="F85" s="1030">
        <v>0</v>
      </c>
      <c r="G85" s="1030">
        <v>0</v>
      </c>
      <c r="H85" s="1009"/>
      <c r="I85" s="1009"/>
      <c r="J85" s="1009"/>
      <c r="K85" s="1012"/>
      <c r="L85" s="1012"/>
      <c r="M85" s="1012"/>
      <c r="N85" s="1012"/>
      <c r="O85" s="1012"/>
      <c r="P85" s="1033"/>
      <c r="Q85" s="1012"/>
      <c r="R85" s="1013"/>
      <c r="S85" s="1011"/>
    </row>
    <row r="86" spans="1:19" s="1014" customFormat="1" ht="15" customHeight="1" x14ac:dyDescent="0.3">
      <c r="A86" s="1026"/>
      <c r="B86" s="920"/>
      <c r="C86" s="920">
        <v>4216</v>
      </c>
      <c r="D86" s="1029" t="s">
        <v>2030</v>
      </c>
      <c r="E86" s="1030">
        <v>15505276</v>
      </c>
      <c r="F86" s="1030">
        <v>15505276</v>
      </c>
      <c r="G86" s="1030">
        <v>15505276</v>
      </c>
      <c r="H86" s="1009"/>
      <c r="I86" s="1009"/>
      <c r="J86" s="1009"/>
      <c r="K86" s="1012"/>
      <c r="L86" s="1012"/>
      <c r="M86" s="1012"/>
      <c r="N86" s="1012"/>
      <c r="O86" s="1012"/>
      <c r="P86" s="1033"/>
      <c r="Q86" s="1012"/>
      <c r="R86" s="1013"/>
      <c r="S86" s="1011"/>
    </row>
    <row r="87" spans="1:19" s="1014" customFormat="1" ht="15" customHeight="1" x14ac:dyDescent="0.3">
      <c r="A87" s="1026" t="s">
        <v>12</v>
      </c>
      <c r="B87" s="920"/>
      <c r="C87" s="920" t="s">
        <v>37</v>
      </c>
      <c r="D87" s="1029" t="s">
        <v>1160</v>
      </c>
      <c r="E87" s="1022">
        <v>750000</v>
      </c>
      <c r="F87" s="1022">
        <v>750000</v>
      </c>
      <c r="G87" s="1022">
        <v>750000</v>
      </c>
      <c r="H87" s="1009"/>
      <c r="I87" s="1009"/>
      <c r="J87" s="1009"/>
      <c r="K87" s="1012"/>
      <c r="L87" s="1012"/>
      <c r="M87" s="1012"/>
      <c r="N87" s="1012"/>
      <c r="O87" s="1012"/>
      <c r="P87" s="1033"/>
      <c r="Q87" s="1012"/>
      <c r="R87" s="1013"/>
      <c r="S87" s="1011"/>
    </row>
    <row r="88" spans="1:19" s="1014" customFormat="1" ht="15" customHeight="1" x14ac:dyDescent="0.3">
      <c r="A88" s="1026" t="s">
        <v>12</v>
      </c>
      <c r="B88" s="920"/>
      <c r="C88" s="920">
        <v>4216</v>
      </c>
      <c r="D88" s="1029" t="s">
        <v>968</v>
      </c>
      <c r="E88" s="1030">
        <v>0</v>
      </c>
      <c r="F88" s="1030">
        <v>0</v>
      </c>
      <c r="G88" s="1030">
        <v>0</v>
      </c>
      <c r="H88" s="1009"/>
      <c r="I88" s="1009"/>
      <c r="J88" s="1009"/>
      <c r="K88" s="1012"/>
      <c r="L88" s="1012"/>
      <c r="M88" s="1012"/>
      <c r="N88" s="1012"/>
      <c r="O88" s="1012"/>
      <c r="P88" s="1033"/>
      <c r="Q88" s="1012"/>
      <c r="R88" s="1013"/>
      <c r="S88" s="1011"/>
    </row>
    <row r="89" spans="1:19" s="1014" customFormat="1" ht="15" customHeight="1" x14ac:dyDescent="0.3">
      <c r="A89" s="1026" t="s">
        <v>12</v>
      </c>
      <c r="B89" s="920"/>
      <c r="C89" s="920">
        <v>4216</v>
      </c>
      <c r="D89" s="1029" t="s">
        <v>1249</v>
      </c>
      <c r="E89" s="1030">
        <v>0</v>
      </c>
      <c r="F89" s="1030">
        <v>0</v>
      </c>
      <c r="G89" s="1030">
        <v>0</v>
      </c>
      <c r="H89" s="1009"/>
      <c r="I89" s="1009"/>
      <c r="J89" s="1009"/>
      <c r="K89" s="1012"/>
      <c r="L89" s="1012"/>
      <c r="M89" s="1012"/>
      <c r="N89" s="1012"/>
      <c r="O89" s="1012"/>
      <c r="P89" s="1033"/>
      <c r="Q89" s="1012"/>
      <c r="R89" s="1013"/>
      <c r="S89" s="1011"/>
    </row>
    <row r="90" spans="1:19" s="1014" customFormat="1" ht="27.75" x14ac:dyDescent="0.3">
      <c r="A90" s="1026" t="s">
        <v>12</v>
      </c>
      <c r="B90" s="920"/>
      <c r="C90" s="920" t="s">
        <v>37</v>
      </c>
      <c r="D90" s="1029" t="s">
        <v>1161</v>
      </c>
      <c r="E90" s="1022">
        <v>0</v>
      </c>
      <c r="F90" s="1022">
        <v>0</v>
      </c>
      <c r="G90" s="1022">
        <v>0</v>
      </c>
      <c r="H90" s="1009"/>
      <c r="I90" s="1009"/>
      <c r="J90" s="1009"/>
      <c r="K90" s="1012"/>
      <c r="L90" s="1012"/>
      <c r="M90" s="1012"/>
      <c r="N90" s="1012"/>
      <c r="O90" s="1012"/>
      <c r="P90" s="1033"/>
      <c r="Q90" s="1012"/>
      <c r="R90" s="1013"/>
      <c r="S90" s="1011"/>
    </row>
    <row r="91" spans="1:19" s="1014" customFormat="1" ht="15" customHeight="1" x14ac:dyDescent="0.3">
      <c r="A91" s="1026" t="s">
        <v>12</v>
      </c>
      <c r="B91" s="920"/>
      <c r="C91" s="920" t="s">
        <v>37</v>
      </c>
      <c r="D91" s="1029" t="s">
        <v>1162</v>
      </c>
      <c r="E91" s="1030">
        <v>0</v>
      </c>
      <c r="F91" s="1030">
        <v>0</v>
      </c>
      <c r="G91" s="1030">
        <v>0</v>
      </c>
      <c r="H91" s="1009"/>
      <c r="I91" s="1009"/>
      <c r="J91" s="1009"/>
      <c r="K91" s="1012"/>
      <c r="L91" s="1012"/>
      <c r="M91" s="1012"/>
      <c r="N91" s="1012"/>
      <c r="O91" s="1012"/>
      <c r="P91" s="1033"/>
      <c r="Q91" s="1012"/>
      <c r="R91" s="1013"/>
      <c r="S91" s="1011"/>
    </row>
    <row r="92" spans="1:19" s="1014" customFormat="1" ht="15" customHeight="1" thickBot="1" x14ac:dyDescent="0.35">
      <c r="A92" s="1026" t="s">
        <v>12</v>
      </c>
      <c r="B92" s="920"/>
      <c r="C92" s="920">
        <v>4122</v>
      </c>
      <c r="D92" s="1029" t="s">
        <v>38</v>
      </c>
      <c r="E92" s="1032">
        <v>1916100</v>
      </c>
      <c r="F92" s="1032">
        <v>1916100</v>
      </c>
      <c r="G92" s="2600">
        <v>1758900</v>
      </c>
      <c r="H92" s="1009"/>
      <c r="I92" s="1009"/>
      <c r="J92" s="1009"/>
      <c r="K92" s="1012"/>
      <c r="L92" s="1012"/>
      <c r="M92" s="1012"/>
      <c r="N92" s="1012"/>
      <c r="O92" s="1012">
        <v>2021</v>
      </c>
      <c r="P92" s="1033">
        <v>2022</v>
      </c>
      <c r="Q92" s="1012"/>
      <c r="R92" s="1013"/>
      <c r="S92" s="1011"/>
    </row>
    <row r="93" spans="1:19" s="1065" customFormat="1" ht="15" customHeight="1" thickBot="1" x14ac:dyDescent="0.35">
      <c r="A93" s="1056" t="s">
        <v>189</v>
      </c>
      <c r="B93" s="1057"/>
      <c r="C93" s="1057"/>
      <c r="D93" s="1058"/>
      <c r="E93" s="1059">
        <v>222142442.21510071</v>
      </c>
      <c r="F93" s="1059">
        <v>229132554</v>
      </c>
      <c r="G93" s="1059">
        <f>SUM(G7:G92)</f>
        <v>247259406</v>
      </c>
      <c r="H93" s="1060"/>
      <c r="I93" s="1060"/>
      <c r="J93" s="1060"/>
      <c r="K93" s="1060"/>
      <c r="L93" s="1061"/>
      <c r="M93" s="1061"/>
      <c r="N93" s="1061"/>
      <c r="O93" s="1061"/>
      <c r="P93" s="1062"/>
      <c r="Q93" s="1061"/>
      <c r="R93" s="1063"/>
      <c r="S93" s="1064"/>
    </row>
    <row r="94" spans="1:19" ht="15" customHeight="1" thickBot="1" x14ac:dyDescent="0.3">
      <c r="A94" s="960"/>
      <c r="B94" s="960"/>
      <c r="C94" s="960"/>
      <c r="D94" s="1066"/>
      <c r="E94" s="1067"/>
      <c r="F94" s="1067"/>
      <c r="G94" s="1067"/>
      <c r="M94" s="1068"/>
      <c r="N94" s="1068"/>
      <c r="O94" s="1068"/>
      <c r="P94" s="1069"/>
    </row>
    <row r="95" spans="1:19" s="1065" customFormat="1" ht="16.5" customHeight="1" thickBot="1" x14ac:dyDescent="0.35">
      <c r="A95" s="2614" t="s">
        <v>188</v>
      </c>
      <c r="B95" s="2615"/>
      <c r="C95" s="2615"/>
      <c r="D95" s="2616"/>
      <c r="E95" s="1059">
        <v>25000000</v>
      </c>
      <c r="F95" s="1059">
        <v>14800000</v>
      </c>
      <c r="G95" s="1059">
        <f>SUM(G96:G98)</f>
        <v>14800000</v>
      </c>
      <c r="H95" s="1060"/>
      <c r="I95" s="1060"/>
      <c r="J95" s="1060"/>
      <c r="K95" s="1061"/>
      <c r="L95" s="1061"/>
      <c r="M95" s="1061"/>
      <c r="N95" s="1061"/>
      <c r="O95" s="1061"/>
      <c r="P95" s="1062"/>
      <c r="Q95" s="1061"/>
      <c r="R95" s="1063"/>
      <c r="S95" s="1064"/>
    </row>
    <row r="96" spans="1:19" s="1080" customFormat="1" ht="15.75" x14ac:dyDescent="0.25">
      <c r="A96" s="1070"/>
      <c r="B96" s="1071"/>
      <c r="C96" s="1072" t="s">
        <v>39</v>
      </c>
      <c r="D96" s="1073" t="s">
        <v>1595</v>
      </c>
      <c r="E96" s="1074">
        <v>25000000</v>
      </c>
      <c r="F96" s="1074">
        <v>14800000</v>
      </c>
      <c r="G96" s="1074">
        <v>14800000</v>
      </c>
      <c r="H96" s="1075"/>
      <c r="I96" s="1075"/>
      <c r="J96" s="1075"/>
      <c r="K96" s="1076"/>
      <c r="L96" s="1076"/>
      <c r="M96" s="1076"/>
      <c r="N96" s="1076"/>
      <c r="O96" s="1076"/>
      <c r="P96" s="1077"/>
      <c r="Q96" s="1076"/>
      <c r="R96" s="1078"/>
      <c r="S96" s="1079"/>
    </row>
    <row r="97" spans="1:19" s="1080" customFormat="1" ht="15.75" x14ac:dyDescent="0.25">
      <c r="A97" s="1081"/>
      <c r="B97" s="1082"/>
      <c r="C97" s="1083" t="s">
        <v>39</v>
      </c>
      <c r="D97" s="1084" t="s">
        <v>40</v>
      </c>
      <c r="E97" s="1074">
        <v>0</v>
      </c>
      <c r="F97" s="1074">
        <v>0</v>
      </c>
      <c r="G97" s="1074">
        <v>0</v>
      </c>
      <c r="H97" s="1075"/>
      <c r="I97" s="1075"/>
      <c r="J97" s="1075"/>
      <c r="K97" s="1076"/>
      <c r="L97" s="1076"/>
      <c r="M97" s="1076"/>
      <c r="N97" s="1076"/>
      <c r="O97" s="1076"/>
      <c r="P97" s="1077"/>
      <c r="Q97" s="1076"/>
      <c r="R97" s="1078"/>
      <c r="S97" s="1079"/>
    </row>
    <row r="98" spans="1:19" s="1080" customFormat="1" ht="16.5" thickBot="1" x14ac:dyDescent="0.3">
      <c r="A98" s="1081"/>
      <c r="B98" s="1082"/>
      <c r="C98" s="1083">
        <v>8123</v>
      </c>
      <c r="D98" s="1084" t="s">
        <v>2031</v>
      </c>
      <c r="E98" s="1985">
        <v>0</v>
      </c>
      <c r="F98" s="1985">
        <v>0</v>
      </c>
      <c r="G98" s="1985">
        <v>0</v>
      </c>
      <c r="H98" s="1075"/>
      <c r="I98" s="1075"/>
      <c r="J98" s="1075"/>
      <c r="K98" s="1076"/>
      <c r="L98" s="1076"/>
      <c r="M98" s="1076"/>
      <c r="N98" s="1076"/>
      <c r="O98" s="1076"/>
      <c r="P98" s="1077"/>
      <c r="Q98" s="1076"/>
      <c r="R98" s="1078"/>
      <c r="S98" s="1079"/>
    </row>
    <row r="99" spans="1:19" s="1085" customFormat="1" ht="20.25" customHeight="1" thickBot="1" x14ac:dyDescent="0.35">
      <c r="A99" s="2608" t="s">
        <v>63</v>
      </c>
      <c r="B99" s="2609"/>
      <c r="C99" s="2609"/>
      <c r="D99" s="2610"/>
      <c r="E99" s="983">
        <v>247142442.21510071</v>
      </c>
      <c r="F99" s="983">
        <v>243932554</v>
      </c>
      <c r="G99" s="983">
        <f>+G93+G95</f>
        <v>262059406</v>
      </c>
      <c r="H99" s="1060"/>
      <c r="I99" s="1060"/>
      <c r="J99" s="1060"/>
      <c r="K99" s="1061"/>
      <c r="L99" s="1061"/>
      <c r="M99" s="1061"/>
      <c r="N99" s="1061"/>
      <c r="O99" s="1061"/>
      <c r="P99" s="1062"/>
      <c r="Q99" s="1061"/>
      <c r="R99" s="1063"/>
      <c r="S99" s="1064"/>
    </row>
    <row r="100" spans="1:19" ht="15" customHeight="1" x14ac:dyDescent="0.25">
      <c r="A100" s="1003"/>
      <c r="B100" s="1003"/>
      <c r="C100" s="1003"/>
      <c r="D100" s="1004"/>
      <c r="E100" s="1005"/>
      <c r="F100" s="1005"/>
      <c r="G100" s="1005"/>
      <c r="M100" s="1068"/>
      <c r="N100" s="1068"/>
      <c r="O100" s="1068"/>
      <c r="P100" s="1069"/>
    </row>
    <row r="101" spans="1:19" ht="12.75" customHeight="1" x14ac:dyDescent="0.25">
      <c r="A101" s="961" t="s">
        <v>546</v>
      </c>
      <c r="B101" s="1003"/>
      <c r="C101" s="1003"/>
      <c r="D101" s="1004"/>
      <c r="E101" s="985"/>
      <c r="F101" s="985"/>
      <c r="G101" s="985"/>
    </row>
    <row r="102" spans="1:19" ht="12.75" customHeight="1" x14ac:dyDescent="0.25">
      <c r="H102" s="1037"/>
      <c r="I102" s="1037"/>
      <c r="J102" s="1037"/>
      <c r="K102" s="1037"/>
      <c r="L102" s="1088"/>
      <c r="M102" s="1088"/>
      <c r="N102" s="1088"/>
      <c r="O102" s="1088"/>
    </row>
    <row r="103" spans="1:19" ht="12.75" customHeight="1" x14ac:dyDescent="0.25">
      <c r="H103" s="1037"/>
      <c r="I103" s="1037"/>
      <c r="J103" s="1037"/>
      <c r="K103" s="1037"/>
      <c r="L103" s="1088"/>
      <c r="M103" s="1088"/>
      <c r="N103" s="1088"/>
      <c r="O103" s="1088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9:D99"/>
    <mergeCell ref="A5:D5"/>
    <mergeCell ref="A95:D95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65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H81"/>
  <sheetViews>
    <sheetView zoomScale="90" zoomScaleNormal="90" workbookViewId="0">
      <pane xSplit="6" ySplit="7" topLeftCell="U13" activePane="bottomRight" state="frozen"/>
      <selection pane="topRight" activeCell="G1" sqref="G1"/>
      <selection pane="bottomLeft" activeCell="A8" sqref="A8"/>
      <selection pane="bottomRight" activeCell="E22" sqref="E22"/>
    </sheetView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3" width="13.5703125" style="324" hidden="1" customWidth="1" outlineLevel="4"/>
    <col min="4" max="4" width="15.42578125" style="324" bestFit="1" customWidth="1" outlineLevel="4"/>
    <col min="5" max="5" width="13.140625" style="324" bestFit="1" customWidth="1" outlineLevel="4"/>
    <col min="6" max="6" width="13.140625" style="337" customWidth="1"/>
    <col min="7" max="7" width="12.7109375" style="326" customWidth="1"/>
    <col min="8" max="10" width="15.140625" style="326" customWidth="1"/>
    <col min="11" max="11" width="16.42578125" style="326" customWidth="1"/>
    <col min="12" max="12" width="17.7109375" style="326" customWidth="1"/>
    <col min="13" max="13" width="15.140625" style="326" customWidth="1"/>
    <col min="14" max="14" width="12.42578125" style="326" customWidth="1"/>
    <col min="15" max="15" width="13.7109375" style="326" customWidth="1"/>
    <col min="16" max="16" width="15" style="327" customWidth="1" outlineLevel="1"/>
    <col min="17" max="17" width="8.7109375" style="327" customWidth="1" outlineLevel="1"/>
    <col min="18" max="25" width="15.140625" style="326" customWidth="1"/>
    <col min="26" max="26" width="10.7109375" style="326" customWidth="1"/>
    <col min="27" max="27" width="11.5703125" style="326" bestFit="1" customWidth="1"/>
    <col min="28" max="28" width="13" style="326" customWidth="1"/>
    <col min="29" max="29" width="14.85546875" style="327" customWidth="1" outlineLevel="1"/>
    <col min="30" max="30" width="8.5703125" style="327" bestFit="1" customWidth="1" outlineLevel="1"/>
    <col min="31" max="31" width="13.7109375" style="326" bestFit="1" customWidth="1"/>
    <col min="32" max="32" width="13.7109375" style="327" bestFit="1" customWidth="1" outlineLevel="1"/>
    <col min="33" max="33" width="9.85546875" style="327" customWidth="1" outlineLevel="1"/>
    <col min="34" max="34" width="12.42578125" style="326" bestFit="1" customWidth="1"/>
    <col min="35" max="35" width="12.42578125" style="327" bestFit="1" customWidth="1" outlineLevel="1"/>
    <col min="36" max="36" width="8.28515625" style="327" customWidth="1" outlineLevel="1"/>
    <col min="37" max="37" width="13.7109375" style="326" bestFit="1" customWidth="1"/>
    <col min="38" max="38" width="12.42578125" style="326" bestFit="1" customWidth="1"/>
    <col min="39" max="39" width="9" style="326" bestFit="1" customWidth="1"/>
    <col min="40" max="40" width="10" style="326" bestFit="1" customWidth="1"/>
    <col min="41" max="41" width="10" style="327" bestFit="1" customWidth="1" outlineLevel="1"/>
    <col min="42" max="42" width="7.85546875" style="327" bestFit="1" customWidth="1" outlineLevel="1"/>
    <col min="43" max="43" width="14.42578125" style="326" customWidth="1"/>
    <col min="44" max="44" width="11.28515625" style="327" bestFit="1" customWidth="1" outlineLevel="1"/>
    <col min="45" max="45" width="8.5703125" style="327" bestFit="1" customWidth="1" outlineLevel="1"/>
    <col min="46" max="46" width="12.42578125" style="326" bestFit="1" customWidth="1"/>
    <col min="47" max="47" width="12.42578125" style="327" bestFit="1" customWidth="1" outlineLevel="1"/>
    <col min="48" max="48" width="10" style="327" bestFit="1" customWidth="1" outlineLevel="1"/>
    <col min="49" max="49" width="12.42578125" style="326" bestFit="1" customWidth="1"/>
    <col min="50" max="50" width="12.42578125" style="327" bestFit="1" customWidth="1" outlineLevel="1"/>
    <col min="51" max="51" width="8.5703125" style="327" bestFit="1" customWidth="1" outlineLevel="1"/>
    <col min="52" max="52" width="17.5703125" style="326" customWidth="1"/>
    <col min="53" max="53" width="12.7109375" style="327" bestFit="1" customWidth="1" outlineLevel="1"/>
    <col min="54" max="54" width="10.5703125" style="327" customWidth="1" outlineLevel="1"/>
    <col min="55" max="55" width="13.42578125" style="326" customWidth="1"/>
    <col min="56" max="56" width="11.28515625" style="327" bestFit="1" customWidth="1" outlineLevel="1"/>
    <col min="57" max="57" width="11.140625" style="327" customWidth="1" outlineLevel="1"/>
    <col min="58" max="58" width="10.85546875" style="326" bestFit="1" customWidth="1"/>
    <col min="59" max="59" width="10.85546875" style="327" customWidth="1" outlineLevel="1"/>
    <col min="60" max="60" width="11.140625" style="327" customWidth="1" outlineLevel="1"/>
    <col min="61" max="61" width="11.28515625" style="326" bestFit="1" customWidth="1"/>
    <col min="62" max="62" width="9" style="327" customWidth="1" outlineLevel="1"/>
    <col min="63" max="63" width="7.85546875" style="327" customWidth="1" outlineLevel="1"/>
    <col min="64" max="64" width="11.85546875" style="326" bestFit="1" customWidth="1"/>
    <col min="65" max="65" width="9" style="327" bestFit="1" customWidth="1" outlineLevel="1"/>
    <col min="66" max="66" width="7.85546875" style="327" bestFit="1" customWidth="1" outlineLevel="1"/>
    <col min="67" max="67" width="13.42578125" style="326" customWidth="1"/>
    <col min="68" max="68" width="11.28515625" style="327" customWidth="1" outlineLevel="1"/>
    <col min="69" max="69" width="7.85546875" style="327" customWidth="1" outlineLevel="1"/>
    <col min="70" max="70" width="13.5703125" style="326" customWidth="1"/>
    <col min="71" max="71" width="11.28515625" style="327" bestFit="1" customWidth="1" outlineLevel="1"/>
    <col min="72" max="72" width="9.28515625" style="327" customWidth="1" outlineLevel="1"/>
    <col min="73" max="73" width="14.140625" style="326" bestFit="1" customWidth="1"/>
    <col min="74" max="74" width="13.7109375" style="326" customWidth="1"/>
    <col min="75" max="75" width="14.7109375" style="327" customWidth="1" outlineLevel="1"/>
    <col min="76" max="76" width="11.28515625" style="327" customWidth="1" outlineLevel="1"/>
    <col min="77" max="77" width="11.42578125" style="326" customWidth="1"/>
    <col min="78" max="78" width="15" style="326" customWidth="1"/>
    <col min="79" max="79" width="12.42578125" style="327" bestFit="1" customWidth="1" outlineLevel="1"/>
    <col min="80" max="80" width="10" style="327" bestFit="1" customWidth="1" outlineLevel="1"/>
    <col min="81" max="81" width="13.7109375" style="326" bestFit="1" customWidth="1"/>
    <col min="82" max="82" width="17.42578125" style="327" customWidth="1" outlineLevel="1"/>
    <col min="83" max="83" width="16.28515625" style="327" customWidth="1" outlineLevel="1"/>
    <col min="84" max="84" width="18.7109375" style="326" bestFit="1" customWidth="1"/>
    <col min="85" max="85" width="13.7109375" style="326" bestFit="1" customWidth="1"/>
    <col min="86" max="86" width="12.42578125" style="327" bestFit="1" customWidth="1" outlineLevel="2"/>
    <col min="87" max="87" width="8.5703125" style="327" bestFit="1" customWidth="1" outlineLevel="2"/>
    <col min="88" max="88" width="14.140625" style="326" bestFit="1" customWidth="1"/>
    <col min="89" max="89" width="12.42578125" style="327" bestFit="1" customWidth="1" outlineLevel="2"/>
    <col min="90" max="90" width="8.140625" style="327" customWidth="1" outlineLevel="2"/>
    <col min="91" max="91" width="21" style="326" bestFit="1" customWidth="1"/>
    <col min="92" max="92" width="11.5703125" style="327" bestFit="1" customWidth="1" outlineLevel="2"/>
    <col min="93" max="93" width="9.42578125" style="327" customWidth="1" outlineLevel="2"/>
    <col min="94" max="94" width="16.140625" style="326" customWidth="1"/>
    <col min="95" max="95" width="11.28515625" style="327" bestFit="1" customWidth="1" outlineLevel="2"/>
    <col min="96" max="96" width="10.28515625" style="327" customWidth="1" outlineLevel="2"/>
    <col min="97" max="97" width="19.85546875" style="326" bestFit="1" customWidth="1"/>
    <col min="98" max="98" width="9" style="327" bestFit="1" customWidth="1" outlineLevel="1"/>
    <col min="99" max="99" width="9.85546875" style="327" customWidth="1" outlineLevel="1"/>
    <col min="100" max="100" width="14.140625" style="326" bestFit="1" customWidth="1"/>
    <col min="101" max="101" width="13.140625" style="326" bestFit="1" customWidth="1"/>
    <col min="102" max="102" width="11.140625" style="327" customWidth="1" outlineLevel="1"/>
    <col min="103" max="103" width="11.28515625" style="327" bestFit="1" customWidth="1" outlineLevel="1"/>
    <col min="104" max="104" width="13.140625" style="326" bestFit="1" customWidth="1"/>
    <col min="105" max="105" width="12" style="327" customWidth="1" outlineLevel="1"/>
    <col min="106" max="106" width="11" style="327" customWidth="1" outlineLevel="1"/>
    <col min="107" max="107" width="19.85546875" style="326" bestFit="1" customWidth="1"/>
    <col min="108" max="108" width="9.5703125" style="327" customWidth="1" outlineLevel="1"/>
    <col min="109" max="109" width="9.140625" style="327" customWidth="1" outlineLevel="1"/>
    <col min="110" max="110" width="15.28515625" style="326" bestFit="1" customWidth="1"/>
    <col min="111" max="111" width="14.42578125" style="326" customWidth="1"/>
    <col min="112" max="112" width="17.7109375" style="327" customWidth="1" outlineLevel="1"/>
    <col min="113" max="113" width="11.28515625" style="327" customWidth="1" outlineLevel="1"/>
    <col min="114" max="114" width="16.28515625" style="327" customWidth="1" outlineLevel="1"/>
    <col min="115" max="115" width="12.28515625" style="326" customWidth="1"/>
    <col min="116" max="116" width="10.85546875" style="326" bestFit="1" customWidth="1"/>
    <col min="117" max="117" width="13.140625" style="326" bestFit="1" customWidth="1"/>
    <col min="118" max="118" width="10.85546875" style="326" bestFit="1" customWidth="1"/>
    <col min="119" max="119" width="11.85546875" style="326" bestFit="1" customWidth="1"/>
    <col min="120" max="120" width="14.140625" style="326" bestFit="1" customWidth="1"/>
    <col min="121" max="121" width="8.5703125" style="326" bestFit="1" customWidth="1"/>
    <col min="122" max="122" width="17.7109375" style="326" customWidth="1"/>
    <col min="123" max="123" width="10.85546875" style="327" customWidth="1" outlineLevel="1"/>
    <col min="124" max="124" width="11.42578125" style="327" customWidth="1" outlineLevel="1"/>
    <col min="125" max="125" width="10.85546875" style="326" bestFit="1" customWidth="1"/>
    <col min="126" max="126" width="13.140625" style="326" bestFit="1" customWidth="1"/>
    <col min="127" max="127" width="10" style="326" customWidth="1"/>
    <col min="128" max="128" width="14.7109375" style="324" customWidth="1"/>
    <col min="129" max="129" width="11.42578125" style="438" customWidth="1"/>
    <col min="130" max="130" width="7.28515625" style="439" customWidth="1"/>
    <col min="131" max="131" width="14.28515625" style="326" customWidth="1"/>
    <col min="132" max="132" width="9.140625" style="324" customWidth="1"/>
    <col min="133" max="133" width="10.85546875" style="324" bestFit="1" customWidth="1"/>
    <col min="134" max="136" width="9.140625" style="324"/>
    <col min="137" max="137" width="9.85546875" style="324" bestFit="1" customWidth="1"/>
    <col min="138" max="16384" width="9.140625" style="324"/>
  </cols>
  <sheetData>
    <row r="1" spans="1:138" ht="16.5" customHeight="1" x14ac:dyDescent="0.25">
      <c r="A1" s="265"/>
      <c r="B1" s="109"/>
      <c r="C1" s="109"/>
      <c r="D1" s="109"/>
      <c r="E1" s="109"/>
      <c r="F1" s="189"/>
      <c r="G1" s="109"/>
      <c r="H1" s="109"/>
      <c r="I1" s="109"/>
      <c r="J1" s="109"/>
      <c r="K1" s="109"/>
      <c r="L1" s="109"/>
      <c r="M1" s="109"/>
      <c r="N1" s="109"/>
      <c r="O1" s="109"/>
      <c r="P1" s="180"/>
      <c r="Q1" s="180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80"/>
      <c r="AD1" s="180"/>
      <c r="AE1" s="109"/>
      <c r="AF1" s="180"/>
      <c r="AG1" s="180"/>
      <c r="AH1" s="109"/>
      <c r="AI1" s="180"/>
      <c r="AJ1" s="180"/>
      <c r="AK1" s="109"/>
      <c r="AL1" s="109"/>
      <c r="AM1" s="109"/>
      <c r="AN1" s="109"/>
      <c r="AO1" s="180"/>
      <c r="AP1" s="180"/>
      <c r="AQ1" s="109"/>
      <c r="AR1" s="180"/>
      <c r="AS1" s="180"/>
      <c r="AT1" s="109"/>
      <c r="AU1" s="180"/>
      <c r="AV1" s="180"/>
      <c r="AW1" s="109"/>
      <c r="AX1" s="180"/>
      <c r="AY1" s="180"/>
      <c r="AZ1" s="109"/>
      <c r="BA1" s="180"/>
      <c r="BB1" s="180"/>
      <c r="BC1" s="109"/>
      <c r="BD1" s="180"/>
      <c r="BE1" s="180"/>
      <c r="BF1" s="109"/>
      <c r="BG1" s="180"/>
      <c r="BH1" s="180"/>
      <c r="BI1" s="109"/>
      <c r="BJ1" s="180"/>
      <c r="BK1" s="180"/>
      <c r="BL1" s="109"/>
      <c r="BM1" s="180"/>
      <c r="BN1" s="180"/>
      <c r="BO1" s="109"/>
      <c r="BP1" s="180"/>
      <c r="BQ1" s="180"/>
      <c r="BR1" s="109"/>
      <c r="BS1" s="180"/>
      <c r="BT1" s="180"/>
      <c r="BU1" s="109"/>
      <c r="BV1" s="109"/>
      <c r="BW1" s="180"/>
      <c r="BX1" s="180"/>
      <c r="BY1" s="109"/>
      <c r="BZ1" s="109"/>
      <c r="CA1" s="180"/>
      <c r="CB1" s="180"/>
      <c r="CC1" s="109"/>
      <c r="CD1" s="180"/>
      <c r="CE1" s="180"/>
      <c r="CF1" s="109"/>
      <c r="CG1" s="109"/>
      <c r="CH1" s="180"/>
      <c r="CI1" s="180"/>
      <c r="CJ1" s="109"/>
      <c r="CK1" s="180"/>
      <c r="CL1" s="180"/>
      <c r="CM1" s="109"/>
      <c r="CN1" s="180"/>
      <c r="CO1" s="180"/>
      <c r="CP1" s="109"/>
      <c r="CQ1" s="180"/>
      <c r="CR1" s="180"/>
      <c r="CS1" s="109"/>
      <c r="CT1" s="180"/>
      <c r="CU1" s="180"/>
      <c r="CV1" s="109"/>
      <c r="CW1" s="109"/>
      <c r="CX1" s="180"/>
      <c r="CY1" s="180"/>
      <c r="CZ1" s="109"/>
      <c r="DA1" s="180"/>
      <c r="DB1" s="180"/>
      <c r="DC1" s="109"/>
      <c r="DD1" s="180"/>
      <c r="DE1" s="180"/>
      <c r="DF1" s="109"/>
      <c r="DG1" s="109"/>
      <c r="DH1" s="180"/>
      <c r="DI1" s="180"/>
      <c r="DJ1" s="180"/>
      <c r="DK1" s="109"/>
      <c r="DL1" s="109"/>
      <c r="DM1" s="109"/>
      <c r="DN1" s="109"/>
      <c r="DO1" s="109"/>
      <c r="DP1" s="109"/>
      <c r="DQ1" s="109"/>
      <c r="DR1" s="109"/>
      <c r="DS1" s="180"/>
      <c r="DT1" s="180"/>
      <c r="DU1" s="109"/>
      <c r="DV1" s="109"/>
      <c r="DW1" s="109"/>
      <c r="DX1" s="109"/>
      <c r="DY1" s="341"/>
      <c r="DZ1" s="342"/>
      <c r="EA1" s="109"/>
    </row>
    <row r="2" spans="1:138" x14ac:dyDescent="0.25">
      <c r="A2" s="265"/>
      <c r="B2" s="109"/>
      <c r="C2" s="109"/>
      <c r="D2" s="109"/>
      <c r="E2" s="109"/>
      <c r="F2" s="308"/>
      <c r="G2" s="109"/>
      <c r="H2" s="109"/>
      <c r="I2" s="109"/>
      <c r="J2" s="109"/>
      <c r="K2" s="109"/>
      <c r="L2" s="109"/>
      <c r="M2" s="109"/>
      <c r="N2" s="109"/>
      <c r="O2" s="109"/>
      <c r="P2" s="180"/>
      <c r="Q2" s="180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80"/>
      <c r="AD2" s="180"/>
      <c r="AE2" s="109"/>
      <c r="AF2" s="180"/>
      <c r="AG2" s="180"/>
      <c r="AH2" s="109"/>
      <c r="AI2" s="180"/>
      <c r="AJ2" s="180"/>
      <c r="AK2" s="109"/>
      <c r="AL2" s="109"/>
      <c r="AM2" s="109"/>
      <c r="AN2" s="109"/>
      <c r="AO2" s="180"/>
      <c r="AP2" s="180"/>
      <c r="AQ2" s="109"/>
      <c r="AR2" s="180"/>
      <c r="AS2" s="180"/>
      <c r="AT2" s="109"/>
      <c r="AU2" s="180"/>
      <c r="AV2" s="180"/>
      <c r="AW2" s="109"/>
      <c r="AX2" s="180"/>
      <c r="AY2" s="180"/>
      <c r="AZ2" s="109"/>
      <c r="BA2" s="180"/>
      <c r="BB2" s="180"/>
      <c r="BC2" s="109"/>
      <c r="BD2" s="180"/>
      <c r="BE2" s="180"/>
      <c r="BF2" s="109"/>
      <c r="BG2" s="180"/>
      <c r="BH2" s="180"/>
      <c r="BI2" s="109"/>
      <c r="BJ2" s="180"/>
      <c r="BK2" s="180"/>
      <c r="BL2" s="109"/>
      <c r="BM2" s="180"/>
      <c r="BN2" s="180"/>
      <c r="BO2" s="109"/>
      <c r="BP2" s="180"/>
      <c r="BQ2" s="180"/>
      <c r="BR2" s="109"/>
      <c r="BS2" s="180"/>
      <c r="BT2" s="180"/>
      <c r="BU2" s="109"/>
      <c r="BV2" s="109"/>
      <c r="BW2" s="180"/>
      <c r="BX2" s="180"/>
      <c r="BY2" s="109"/>
      <c r="BZ2" s="109"/>
      <c r="CA2" s="180"/>
      <c r="CB2" s="180"/>
      <c r="CC2" s="109"/>
      <c r="CD2" s="180"/>
      <c r="CE2" s="180"/>
      <c r="CF2" s="109"/>
      <c r="CG2" s="109"/>
      <c r="CH2" s="180"/>
      <c r="CI2" s="180"/>
      <c r="CJ2" s="109"/>
      <c r="CK2" s="180"/>
      <c r="CL2" s="180"/>
      <c r="CM2" s="109"/>
      <c r="CN2" s="180"/>
      <c r="CO2" s="180"/>
      <c r="CP2" s="109"/>
      <c r="CQ2" s="180"/>
      <c r="CR2" s="180"/>
      <c r="CS2" s="109"/>
      <c r="CT2" s="180"/>
      <c r="CU2" s="180"/>
      <c r="CV2" s="109"/>
      <c r="CW2" s="109"/>
      <c r="CX2" s="180"/>
      <c r="CY2" s="180"/>
      <c r="CZ2" s="109"/>
      <c r="DA2" s="180"/>
      <c r="DB2" s="180"/>
      <c r="DC2" s="109"/>
      <c r="DD2" s="180"/>
      <c r="DE2" s="180"/>
      <c r="DF2" s="109"/>
      <c r="DG2" s="109"/>
      <c r="DH2" s="180"/>
      <c r="DI2" s="180"/>
      <c r="DJ2" s="180"/>
      <c r="DK2" s="109"/>
      <c r="DL2" s="109"/>
      <c r="DM2" s="109"/>
      <c r="DN2" s="109"/>
      <c r="DO2" s="109"/>
      <c r="DP2" s="109"/>
      <c r="DQ2" s="109"/>
      <c r="DR2" s="109"/>
      <c r="DS2" s="180"/>
      <c r="DT2" s="180"/>
      <c r="DU2" s="109"/>
      <c r="DV2" s="109"/>
      <c r="DW2" s="109"/>
      <c r="DX2" s="109"/>
      <c r="DY2" s="341"/>
      <c r="DZ2" s="342"/>
      <c r="EA2" s="109"/>
    </row>
    <row r="3" spans="1:138" ht="16.5" x14ac:dyDescent="0.3">
      <c r="A3" s="112" t="s">
        <v>1591</v>
      </c>
      <c r="B3" s="109"/>
      <c r="C3" s="109"/>
      <c r="D3" s="109"/>
      <c r="E3" s="109"/>
      <c r="F3" s="189"/>
      <c r="G3" s="109"/>
      <c r="H3" s="341"/>
      <c r="I3" s="341"/>
      <c r="J3" s="341"/>
      <c r="K3" s="109"/>
      <c r="L3" s="109"/>
      <c r="M3" s="109"/>
      <c r="N3" s="109"/>
      <c r="O3" s="109"/>
      <c r="P3" s="180"/>
      <c r="Q3" s="180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80"/>
      <c r="AD3" s="180"/>
      <c r="AE3" s="109"/>
      <c r="AF3" s="180"/>
      <c r="AG3" s="180"/>
      <c r="AH3" s="109"/>
      <c r="AI3" s="180"/>
      <c r="AJ3" s="180"/>
      <c r="AK3" s="109"/>
      <c r="AL3" s="109"/>
      <c r="AM3" s="109"/>
      <c r="AN3" s="109"/>
      <c r="AO3" s="180"/>
      <c r="AP3" s="180"/>
      <c r="AQ3" s="109"/>
      <c r="AR3" s="180"/>
      <c r="AS3" s="180"/>
      <c r="AT3" s="109"/>
      <c r="AU3" s="180"/>
      <c r="AV3" s="180"/>
      <c r="AW3" s="109"/>
      <c r="AX3" s="180"/>
      <c r="AY3" s="180"/>
      <c r="AZ3" s="109"/>
      <c r="BA3" s="180"/>
      <c r="BB3" s="180"/>
      <c r="BC3" s="109"/>
      <c r="BD3" s="180"/>
      <c r="BE3" s="180"/>
      <c r="BF3" s="109"/>
      <c r="BG3" s="180"/>
      <c r="BH3" s="180"/>
      <c r="BI3" s="109"/>
      <c r="BJ3" s="180"/>
      <c r="BK3" s="180"/>
      <c r="BL3" s="109"/>
      <c r="BM3" s="180"/>
      <c r="BN3" s="180"/>
      <c r="BO3" s="109"/>
      <c r="BP3" s="180"/>
      <c r="BQ3" s="180"/>
      <c r="BR3" s="109"/>
      <c r="BS3" s="180"/>
      <c r="BT3" s="180"/>
      <c r="BU3" s="109"/>
      <c r="BV3" s="109"/>
      <c r="BW3" s="180"/>
      <c r="BX3" s="180"/>
      <c r="BY3" s="109"/>
      <c r="BZ3" s="109"/>
      <c r="CA3" s="180"/>
      <c r="CB3" s="180"/>
      <c r="CC3" s="109"/>
      <c r="CD3" s="180"/>
      <c r="CE3" s="180"/>
      <c r="CF3" s="109"/>
      <c r="CG3" s="109"/>
      <c r="CH3" s="180"/>
      <c r="CI3" s="180"/>
      <c r="CJ3" s="109"/>
      <c r="CK3" s="180"/>
      <c r="CL3" s="180"/>
      <c r="CM3" s="109"/>
      <c r="CN3" s="180"/>
      <c r="CO3" s="180"/>
      <c r="CP3" s="109"/>
      <c r="CQ3" s="180"/>
      <c r="CR3" s="180"/>
      <c r="CS3" s="109"/>
      <c r="CT3" s="180"/>
      <c r="CU3" s="180"/>
      <c r="CV3" s="109"/>
      <c r="CW3" s="109"/>
      <c r="CX3" s="180"/>
      <c r="CY3" s="180"/>
      <c r="CZ3" s="109"/>
      <c r="DA3" s="180"/>
      <c r="DB3" s="180"/>
      <c r="DC3" s="109"/>
      <c r="DD3" s="180"/>
      <c r="DE3" s="180"/>
      <c r="DF3" s="109"/>
      <c r="DG3" s="109"/>
      <c r="DH3" s="180"/>
      <c r="DI3" s="180"/>
      <c r="DJ3" s="180"/>
      <c r="DK3" s="109"/>
      <c r="DL3" s="109"/>
      <c r="DM3" s="109"/>
      <c r="DN3" s="109"/>
      <c r="DO3" s="109"/>
      <c r="DP3" s="109"/>
      <c r="DQ3" s="109"/>
      <c r="DR3" s="109"/>
      <c r="DS3" s="180"/>
      <c r="DT3" s="180"/>
      <c r="DU3" s="109"/>
      <c r="DV3" s="109"/>
      <c r="DW3" s="109"/>
      <c r="DX3" s="109"/>
      <c r="DY3" s="341"/>
      <c r="DZ3" s="342"/>
      <c r="EA3" s="109"/>
    </row>
    <row r="4" spans="1:138" x14ac:dyDescent="0.25">
      <c r="A4" s="265"/>
      <c r="B4" s="109"/>
      <c r="C4" s="109"/>
      <c r="D4" s="109"/>
      <c r="E4" s="109"/>
      <c r="F4" s="189"/>
      <c r="G4" s="109"/>
      <c r="H4" s="341"/>
      <c r="I4" s="341"/>
      <c r="J4" s="341"/>
      <c r="K4" s="109"/>
      <c r="L4" s="109"/>
      <c r="M4" s="341"/>
      <c r="N4" s="341"/>
      <c r="O4" s="341"/>
      <c r="P4" s="180"/>
      <c r="Q4" s="180"/>
      <c r="R4" s="341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80"/>
      <c r="AD4" s="180"/>
      <c r="AE4" s="109"/>
      <c r="AF4" s="180"/>
      <c r="AG4" s="180"/>
      <c r="AH4" s="109"/>
      <c r="AI4" s="180"/>
      <c r="AJ4" s="180"/>
      <c r="AK4" s="109"/>
      <c r="AL4" s="109"/>
      <c r="AM4" s="109"/>
      <c r="AN4" s="109"/>
      <c r="AO4" s="180"/>
      <c r="AP4" s="180"/>
      <c r="AQ4" s="109"/>
      <c r="AR4" s="180"/>
      <c r="AS4" s="180"/>
      <c r="AT4" s="109"/>
      <c r="AU4" s="180"/>
      <c r="AV4" s="180"/>
      <c r="AW4" s="109"/>
      <c r="AX4" s="180"/>
      <c r="AY4" s="180"/>
      <c r="AZ4" s="109"/>
      <c r="BA4" s="180"/>
      <c r="BB4" s="180"/>
      <c r="BC4" s="109"/>
      <c r="BD4" s="180"/>
      <c r="BE4" s="180"/>
      <c r="BF4" s="109"/>
      <c r="BG4" s="180"/>
      <c r="BH4" s="180"/>
      <c r="BI4" s="109"/>
      <c r="BJ4" s="180"/>
      <c r="BK4" s="180"/>
      <c r="BL4" s="109"/>
      <c r="BM4" s="180"/>
      <c r="BN4" s="180"/>
      <c r="BO4" s="109"/>
      <c r="BP4" s="180"/>
      <c r="BQ4" s="180"/>
      <c r="BR4" s="109"/>
      <c r="BS4" s="180"/>
      <c r="BT4" s="180"/>
      <c r="BU4" s="109"/>
      <c r="BV4" s="109"/>
      <c r="BW4" s="180"/>
      <c r="BX4" s="180"/>
      <c r="BY4" s="109"/>
      <c r="BZ4" s="109"/>
      <c r="CA4" s="180"/>
      <c r="CB4" s="180"/>
      <c r="CC4" s="109"/>
      <c r="CD4" s="180"/>
      <c r="CE4" s="180"/>
      <c r="CF4" s="109"/>
      <c r="CG4" s="109"/>
      <c r="CH4" s="180"/>
      <c r="CI4" s="180"/>
      <c r="CJ4" s="109"/>
      <c r="CK4" s="180"/>
      <c r="CL4" s="180"/>
      <c r="CM4" s="109"/>
      <c r="CN4" s="180"/>
      <c r="CO4" s="180"/>
      <c r="CP4" s="109"/>
      <c r="CQ4" s="180"/>
      <c r="CR4" s="180"/>
      <c r="CS4" s="109"/>
      <c r="CT4" s="180"/>
      <c r="CU4" s="180"/>
      <c r="CV4" s="109"/>
      <c r="CW4" s="109"/>
      <c r="CX4" s="180"/>
      <c r="CY4" s="180"/>
      <c r="CZ4" s="109"/>
      <c r="DA4" s="180"/>
      <c r="DB4" s="180"/>
      <c r="DC4" s="109"/>
      <c r="DD4" s="180"/>
      <c r="DE4" s="180"/>
      <c r="DF4" s="109"/>
      <c r="DG4" s="109"/>
      <c r="DH4" s="180"/>
      <c r="DI4" s="180"/>
      <c r="DJ4" s="180"/>
      <c r="DK4" s="109"/>
      <c r="DL4" s="109"/>
      <c r="DM4" s="109"/>
      <c r="DN4" s="109"/>
      <c r="DO4" s="109"/>
      <c r="DP4" s="109"/>
      <c r="DQ4" s="109"/>
      <c r="DR4" s="109"/>
      <c r="DS4" s="180"/>
      <c r="DT4" s="180"/>
      <c r="DU4" s="109"/>
      <c r="DV4" s="109"/>
      <c r="DW4" s="109"/>
      <c r="DX4" s="109"/>
      <c r="DY4" s="341"/>
      <c r="DZ4" s="342"/>
      <c r="EA4" s="109"/>
    </row>
    <row r="5" spans="1:138" ht="17.25" thickBot="1" x14ac:dyDescent="0.35">
      <c r="A5" s="2575" t="s">
        <v>187</v>
      </c>
      <c r="B5" s="109"/>
      <c r="C5" s="109"/>
      <c r="D5" s="109"/>
      <c r="E5" s="109"/>
      <c r="F5" s="345"/>
      <c r="G5" s="346"/>
      <c r="H5" s="338"/>
      <c r="I5" s="338"/>
      <c r="J5" s="338"/>
      <c r="K5" s="338"/>
      <c r="L5" s="338"/>
      <c r="M5" s="338"/>
      <c r="N5" s="338"/>
      <c r="O5" s="338"/>
      <c r="P5" s="293"/>
      <c r="Q5" s="293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293"/>
      <c r="AD5" s="293"/>
      <c r="AE5" s="338"/>
      <c r="AF5" s="293"/>
      <c r="AG5" s="293"/>
      <c r="AH5" s="338"/>
      <c r="AI5" s="293"/>
      <c r="AJ5" s="293"/>
      <c r="AK5" s="338"/>
      <c r="AL5" s="338"/>
      <c r="AM5" s="338"/>
      <c r="AN5" s="338"/>
      <c r="AO5" s="293"/>
      <c r="AP5" s="293"/>
      <c r="AQ5" s="338"/>
      <c r="AR5" s="293"/>
      <c r="AS5" s="293"/>
      <c r="AT5" s="338"/>
      <c r="AU5" s="293"/>
      <c r="AV5" s="293"/>
      <c r="AW5" s="338"/>
      <c r="AX5" s="293"/>
      <c r="AY5" s="293"/>
      <c r="AZ5" s="338"/>
      <c r="BA5" s="293"/>
      <c r="BB5" s="293"/>
      <c r="BC5" s="338"/>
      <c r="BD5" s="293"/>
      <c r="BE5" s="293"/>
      <c r="BF5" s="338"/>
      <c r="BG5" s="293"/>
      <c r="BH5" s="293"/>
      <c r="BI5" s="338"/>
      <c r="BJ5" s="293"/>
      <c r="BK5" s="293"/>
      <c r="BL5" s="338"/>
      <c r="BM5" s="293"/>
      <c r="BN5" s="293"/>
      <c r="BO5" s="338"/>
      <c r="BP5" s="293"/>
      <c r="BQ5" s="293"/>
      <c r="BR5" s="338"/>
      <c r="BS5" s="293"/>
      <c r="BT5" s="293"/>
      <c r="BU5" s="338"/>
      <c r="BV5" s="338"/>
      <c r="BW5" s="293"/>
      <c r="BX5" s="293"/>
      <c r="BY5" s="338"/>
      <c r="BZ5" s="338"/>
      <c r="CA5" s="293"/>
      <c r="CB5" s="293"/>
      <c r="CC5" s="338"/>
      <c r="CD5" s="293"/>
      <c r="CE5" s="293"/>
      <c r="CF5" s="338"/>
      <c r="CG5" s="338"/>
      <c r="CH5" s="293"/>
      <c r="CI5" s="293"/>
      <c r="CJ5" s="338"/>
      <c r="CK5" s="293"/>
      <c r="CL5" s="293"/>
      <c r="CM5" s="338"/>
      <c r="CN5" s="293"/>
      <c r="CO5" s="293"/>
      <c r="CP5" s="338"/>
      <c r="CQ5" s="293"/>
      <c r="CR5" s="293"/>
      <c r="CS5" s="338"/>
      <c r="CT5" s="293"/>
      <c r="CU5" s="293"/>
      <c r="CV5" s="338"/>
      <c r="CW5" s="338"/>
      <c r="CX5" s="293"/>
      <c r="CY5" s="293"/>
      <c r="CZ5" s="338"/>
      <c r="DA5" s="293"/>
      <c r="DB5" s="293"/>
      <c r="DC5" s="338"/>
      <c r="DD5" s="293"/>
      <c r="DE5" s="293"/>
      <c r="DF5" s="338"/>
      <c r="DG5" s="338"/>
      <c r="DH5" s="293"/>
      <c r="DI5" s="293"/>
      <c r="DJ5" s="293"/>
      <c r="DK5" s="338"/>
      <c r="DL5" s="338"/>
      <c r="DM5" s="338"/>
      <c r="DN5" s="338"/>
      <c r="DO5" s="338"/>
      <c r="DP5" s="338"/>
      <c r="DQ5" s="338"/>
      <c r="DR5" s="338"/>
      <c r="DS5" s="293"/>
      <c r="DT5" s="293"/>
      <c r="DU5" s="338"/>
      <c r="DV5" s="338"/>
      <c r="DW5" s="338"/>
      <c r="DX5" s="109"/>
      <c r="DY5" s="341"/>
      <c r="DZ5" s="342"/>
      <c r="EA5" s="338" t="s">
        <v>709</v>
      </c>
    </row>
    <row r="6" spans="1:138" ht="42.95" customHeight="1" thickBot="1" x14ac:dyDescent="0.3">
      <c r="A6" s="347" t="s">
        <v>10</v>
      </c>
      <c r="B6" s="347" t="s">
        <v>0</v>
      </c>
      <c r="C6" s="348" t="s">
        <v>1898</v>
      </c>
      <c r="D6" s="348" t="s">
        <v>1576</v>
      </c>
      <c r="E6" s="348" t="s">
        <v>2048</v>
      </c>
      <c r="F6" s="348" t="s">
        <v>2217</v>
      </c>
      <c r="G6" s="349" t="s">
        <v>130</v>
      </c>
      <c r="H6" s="349" t="s">
        <v>131</v>
      </c>
      <c r="I6" s="349" t="s">
        <v>767</v>
      </c>
      <c r="J6" s="117" t="s">
        <v>1519</v>
      </c>
      <c r="K6" s="349" t="s">
        <v>132</v>
      </c>
      <c r="L6" s="349" t="s">
        <v>2050</v>
      </c>
      <c r="M6" s="349" t="s">
        <v>752</v>
      </c>
      <c r="N6" s="349" t="s">
        <v>877</v>
      </c>
      <c r="O6" s="349" t="s">
        <v>358</v>
      </c>
      <c r="P6" s="350" t="s">
        <v>884</v>
      </c>
      <c r="Q6" s="351" t="s">
        <v>249</v>
      </c>
      <c r="R6" s="349" t="s">
        <v>878</v>
      </c>
      <c r="S6" s="352" t="s">
        <v>249</v>
      </c>
      <c r="T6" s="353" t="s">
        <v>133</v>
      </c>
      <c r="U6" s="349" t="s">
        <v>134</v>
      </c>
      <c r="V6" s="349" t="s">
        <v>135</v>
      </c>
      <c r="W6" s="349" t="s">
        <v>136</v>
      </c>
      <c r="X6" s="349" t="s">
        <v>1261</v>
      </c>
      <c r="Y6" s="349" t="s">
        <v>192</v>
      </c>
      <c r="Z6" s="349" t="s">
        <v>137</v>
      </c>
      <c r="AA6" s="349" t="s">
        <v>138</v>
      </c>
      <c r="AB6" s="349" t="s">
        <v>139</v>
      </c>
      <c r="AC6" s="350" t="s">
        <v>882</v>
      </c>
      <c r="AD6" s="354" t="s">
        <v>249</v>
      </c>
      <c r="AE6" s="349" t="s">
        <v>140</v>
      </c>
      <c r="AF6" s="350" t="s">
        <v>503</v>
      </c>
      <c r="AG6" s="354" t="s">
        <v>249</v>
      </c>
      <c r="AH6" s="349" t="s">
        <v>141</v>
      </c>
      <c r="AI6" s="350" t="s">
        <v>882</v>
      </c>
      <c r="AJ6" s="354" t="s">
        <v>249</v>
      </c>
      <c r="AK6" s="349" t="s">
        <v>142</v>
      </c>
      <c r="AL6" s="349" t="s">
        <v>143</v>
      </c>
      <c r="AM6" s="349" t="s">
        <v>144</v>
      </c>
      <c r="AN6" s="349" t="s">
        <v>145</v>
      </c>
      <c r="AO6" s="350" t="s">
        <v>503</v>
      </c>
      <c r="AP6" s="354" t="s">
        <v>249</v>
      </c>
      <c r="AQ6" s="349" t="s">
        <v>295</v>
      </c>
      <c r="AR6" s="350" t="s">
        <v>882</v>
      </c>
      <c r="AS6" s="354" t="s">
        <v>249</v>
      </c>
      <c r="AT6" s="349" t="s">
        <v>1185</v>
      </c>
      <c r="AU6" s="350" t="s">
        <v>882</v>
      </c>
      <c r="AV6" s="354" t="s">
        <v>249</v>
      </c>
      <c r="AW6" s="349" t="s">
        <v>1186</v>
      </c>
      <c r="AX6" s="350" t="s">
        <v>882</v>
      </c>
      <c r="AY6" s="354" t="s">
        <v>249</v>
      </c>
      <c r="AZ6" s="349" t="s">
        <v>146</v>
      </c>
      <c r="BA6" s="350" t="s">
        <v>882</v>
      </c>
      <c r="BB6" s="354" t="s">
        <v>249</v>
      </c>
      <c r="BC6" s="349" t="s">
        <v>1551</v>
      </c>
      <c r="BD6" s="350" t="s">
        <v>1553</v>
      </c>
      <c r="BE6" s="354" t="s">
        <v>249</v>
      </c>
      <c r="BF6" s="349" t="s">
        <v>147</v>
      </c>
      <c r="BG6" s="350" t="s">
        <v>882</v>
      </c>
      <c r="BH6" s="354" t="s">
        <v>249</v>
      </c>
      <c r="BI6" s="349" t="s">
        <v>148</v>
      </c>
      <c r="BJ6" s="350" t="s">
        <v>882</v>
      </c>
      <c r="BK6" s="354" t="s">
        <v>249</v>
      </c>
      <c r="BL6" s="349" t="s">
        <v>717</v>
      </c>
      <c r="BM6" s="350" t="s">
        <v>882</v>
      </c>
      <c r="BN6" s="354" t="s">
        <v>249</v>
      </c>
      <c r="BO6" s="349" t="s">
        <v>149</v>
      </c>
      <c r="BP6" s="350" t="s">
        <v>882</v>
      </c>
      <c r="BQ6" s="354" t="s">
        <v>249</v>
      </c>
      <c r="BR6" s="349" t="s">
        <v>150</v>
      </c>
      <c r="BS6" s="350" t="s">
        <v>882</v>
      </c>
      <c r="BT6" s="354" t="s">
        <v>249</v>
      </c>
      <c r="BU6" s="349" t="s">
        <v>151</v>
      </c>
      <c r="BV6" s="349" t="s">
        <v>342</v>
      </c>
      <c r="BW6" s="350" t="s">
        <v>882</v>
      </c>
      <c r="BX6" s="354" t="s">
        <v>249</v>
      </c>
      <c r="BY6" s="349" t="s">
        <v>152</v>
      </c>
      <c r="BZ6" s="349" t="s">
        <v>153</v>
      </c>
      <c r="CA6" s="350" t="s">
        <v>503</v>
      </c>
      <c r="CB6" s="354" t="s">
        <v>249</v>
      </c>
      <c r="CC6" s="349" t="s">
        <v>154</v>
      </c>
      <c r="CD6" s="350" t="s">
        <v>882</v>
      </c>
      <c r="CE6" s="354" t="s">
        <v>249</v>
      </c>
      <c r="CF6" s="349" t="s">
        <v>753</v>
      </c>
      <c r="CG6" s="349" t="s">
        <v>754</v>
      </c>
      <c r="CH6" s="350" t="s">
        <v>882</v>
      </c>
      <c r="CI6" s="354" t="s">
        <v>249</v>
      </c>
      <c r="CJ6" s="349" t="s">
        <v>755</v>
      </c>
      <c r="CK6" s="350" t="s">
        <v>882</v>
      </c>
      <c r="CL6" s="354" t="s">
        <v>249</v>
      </c>
      <c r="CM6" s="349" t="s">
        <v>756</v>
      </c>
      <c r="CN6" s="350" t="s">
        <v>503</v>
      </c>
      <c r="CO6" s="354" t="s">
        <v>249</v>
      </c>
      <c r="CP6" s="349" t="s">
        <v>757</v>
      </c>
      <c r="CQ6" s="350" t="s">
        <v>503</v>
      </c>
      <c r="CR6" s="354" t="s">
        <v>249</v>
      </c>
      <c r="CS6" s="349" t="s">
        <v>758</v>
      </c>
      <c r="CT6" s="350" t="s">
        <v>882</v>
      </c>
      <c r="CU6" s="354" t="s">
        <v>249</v>
      </c>
      <c r="CV6" s="349" t="s">
        <v>759</v>
      </c>
      <c r="CW6" s="349" t="s">
        <v>760</v>
      </c>
      <c r="CX6" s="350" t="s">
        <v>508</v>
      </c>
      <c r="CY6" s="354" t="s">
        <v>249</v>
      </c>
      <c r="CZ6" s="349" t="s">
        <v>1194</v>
      </c>
      <c r="DA6" s="350" t="s">
        <v>883</v>
      </c>
      <c r="DB6" s="354" t="s">
        <v>249</v>
      </c>
      <c r="DC6" s="349" t="s">
        <v>761</v>
      </c>
      <c r="DD6" s="350" t="s">
        <v>508</v>
      </c>
      <c r="DE6" s="354" t="s">
        <v>249</v>
      </c>
      <c r="DF6" s="349" t="s">
        <v>762</v>
      </c>
      <c r="DG6" s="349" t="s">
        <v>763</v>
      </c>
      <c r="DH6" s="350" t="s">
        <v>508</v>
      </c>
      <c r="DI6" s="355" t="s">
        <v>503</v>
      </c>
      <c r="DJ6" s="354" t="s">
        <v>249</v>
      </c>
      <c r="DK6" s="349" t="s">
        <v>298</v>
      </c>
      <c r="DL6" s="349" t="s">
        <v>722</v>
      </c>
      <c r="DM6" s="349" t="s">
        <v>723</v>
      </c>
      <c r="DN6" s="349" t="s">
        <v>863</v>
      </c>
      <c r="DO6" s="349" t="s">
        <v>263</v>
      </c>
      <c r="DP6" s="349" t="s">
        <v>1114</v>
      </c>
      <c r="DQ6" s="349" t="s">
        <v>650</v>
      </c>
      <c r="DR6" s="349" t="s">
        <v>161</v>
      </c>
      <c r="DS6" s="350" t="s">
        <v>508</v>
      </c>
      <c r="DT6" s="354" t="s">
        <v>249</v>
      </c>
      <c r="DU6" s="349" t="s">
        <v>162</v>
      </c>
      <c r="DV6" s="349" t="s">
        <v>163</v>
      </c>
      <c r="DW6" s="349" t="s">
        <v>164</v>
      </c>
      <c r="DX6" s="109"/>
      <c r="DY6" s="341"/>
      <c r="DZ6" s="342"/>
      <c r="EA6" s="349" t="s">
        <v>249</v>
      </c>
    </row>
    <row r="7" spans="1:138" ht="13.5" customHeight="1" thickBot="1" x14ac:dyDescent="0.3">
      <c r="A7" s="356"/>
      <c r="B7" s="357"/>
      <c r="C7" s="358"/>
      <c r="D7" s="358"/>
      <c r="E7" s="358"/>
      <c r="F7" s="650"/>
      <c r="G7" s="359" t="s">
        <v>165</v>
      </c>
      <c r="H7" s="360"/>
      <c r="I7" s="360">
        <v>5213</v>
      </c>
      <c r="J7" s="360">
        <v>6221</v>
      </c>
      <c r="K7" s="360">
        <v>6409</v>
      </c>
      <c r="L7" s="360" t="s">
        <v>2049</v>
      </c>
      <c r="M7" s="360">
        <v>6112</v>
      </c>
      <c r="N7" s="360">
        <v>6117</v>
      </c>
      <c r="O7" s="360">
        <v>6171</v>
      </c>
      <c r="P7" s="360"/>
      <c r="Q7" s="361"/>
      <c r="R7" s="360" t="s">
        <v>950</v>
      </c>
      <c r="S7" s="362">
        <v>3639</v>
      </c>
      <c r="T7" s="360" t="s">
        <v>166</v>
      </c>
      <c r="U7" s="360" t="s">
        <v>167</v>
      </c>
      <c r="V7" s="360" t="s">
        <v>198</v>
      </c>
      <c r="W7" s="360">
        <v>3319</v>
      </c>
      <c r="X7" s="360" t="s">
        <v>1262</v>
      </c>
      <c r="Y7" s="360">
        <v>3314</v>
      </c>
      <c r="Z7" s="360">
        <v>3349</v>
      </c>
      <c r="AA7" s="360" t="s">
        <v>168</v>
      </c>
      <c r="AB7" s="360">
        <v>3612</v>
      </c>
      <c r="AC7" s="360"/>
      <c r="AD7" s="360"/>
      <c r="AE7" s="360" t="s">
        <v>169</v>
      </c>
      <c r="AF7" s="360"/>
      <c r="AG7" s="360"/>
      <c r="AH7" s="360" t="s">
        <v>170</v>
      </c>
      <c r="AI7" s="360"/>
      <c r="AJ7" s="360"/>
      <c r="AK7" s="360">
        <v>5512</v>
      </c>
      <c r="AL7" s="360">
        <v>3519</v>
      </c>
      <c r="AM7" s="360" t="s">
        <v>171</v>
      </c>
      <c r="AN7" s="360">
        <v>3632</v>
      </c>
      <c r="AO7" s="360"/>
      <c r="AP7" s="360"/>
      <c r="AQ7" s="360" t="s">
        <v>172</v>
      </c>
      <c r="AR7" s="360"/>
      <c r="AS7" s="360"/>
      <c r="AT7" s="360" t="s">
        <v>172</v>
      </c>
      <c r="AU7" s="360"/>
      <c r="AV7" s="360"/>
      <c r="AW7" s="360" t="s">
        <v>172</v>
      </c>
      <c r="AX7" s="360"/>
      <c r="AY7" s="360"/>
      <c r="AZ7" s="360">
        <v>3113</v>
      </c>
      <c r="BA7" s="360"/>
      <c r="BB7" s="360"/>
      <c r="BC7" s="360" t="s">
        <v>1552</v>
      </c>
      <c r="BD7" s="360"/>
      <c r="BE7" s="360"/>
      <c r="BF7" s="360">
        <v>3114</v>
      </c>
      <c r="BG7" s="360"/>
      <c r="BH7" s="360"/>
      <c r="BI7" s="360">
        <v>3421</v>
      </c>
      <c r="BJ7" s="360"/>
      <c r="BK7" s="360"/>
      <c r="BL7" s="360" t="s">
        <v>173</v>
      </c>
      <c r="BM7" s="360"/>
      <c r="BN7" s="360"/>
      <c r="BO7" s="360" t="s">
        <v>174</v>
      </c>
      <c r="BP7" s="360"/>
      <c r="BQ7" s="360"/>
      <c r="BR7" s="360" t="s">
        <v>175</v>
      </c>
      <c r="BS7" s="360"/>
      <c r="BT7" s="360"/>
      <c r="BU7" s="360" t="s">
        <v>176</v>
      </c>
      <c r="BV7" s="360" t="s">
        <v>480</v>
      </c>
      <c r="BW7" s="360"/>
      <c r="BX7" s="360"/>
      <c r="BY7" s="360">
        <v>3635</v>
      </c>
      <c r="BZ7" s="360">
        <v>3631</v>
      </c>
      <c r="CA7" s="360"/>
      <c r="CB7" s="360"/>
      <c r="CC7" s="360" t="s">
        <v>177</v>
      </c>
      <c r="CD7" s="360"/>
      <c r="CE7" s="360"/>
      <c r="CF7" s="360" t="s">
        <v>178</v>
      </c>
      <c r="CG7" s="360">
        <v>2310</v>
      </c>
      <c r="CH7" s="360"/>
      <c r="CI7" s="360"/>
      <c r="CJ7" s="360" t="s">
        <v>179</v>
      </c>
      <c r="CK7" s="360"/>
      <c r="CL7" s="360"/>
      <c r="CM7" s="360" t="s">
        <v>180</v>
      </c>
      <c r="CN7" s="360"/>
      <c r="CO7" s="360"/>
      <c r="CP7" s="360" t="s">
        <v>220</v>
      </c>
      <c r="CQ7" s="360"/>
      <c r="CR7" s="360"/>
      <c r="CS7" s="360">
        <v>3633</v>
      </c>
      <c r="CT7" s="360"/>
      <c r="CU7" s="360"/>
      <c r="CV7" s="360">
        <v>1036</v>
      </c>
      <c r="CW7" s="360" t="s">
        <v>181</v>
      </c>
      <c r="CX7" s="360"/>
      <c r="CY7" s="360"/>
      <c r="CZ7" s="360" t="s">
        <v>182</v>
      </c>
      <c r="DA7" s="360"/>
      <c r="DB7" s="360"/>
      <c r="DC7" s="360">
        <v>3729</v>
      </c>
      <c r="DD7" s="360"/>
      <c r="DE7" s="360"/>
      <c r="DF7" s="360">
        <v>3744</v>
      </c>
      <c r="DG7" s="360">
        <v>3749</v>
      </c>
      <c r="DH7" s="360"/>
      <c r="DI7" s="360"/>
      <c r="DJ7" s="360"/>
      <c r="DK7" s="360" t="s">
        <v>297</v>
      </c>
      <c r="DL7" s="360" t="s">
        <v>720</v>
      </c>
      <c r="DM7" s="360" t="s">
        <v>721</v>
      </c>
      <c r="DN7" s="360" t="s">
        <v>1153</v>
      </c>
      <c r="DO7" s="360" t="s">
        <v>264</v>
      </c>
      <c r="DP7" s="360" t="s">
        <v>1115</v>
      </c>
      <c r="DQ7" s="360" t="s">
        <v>651</v>
      </c>
      <c r="DR7" s="360" t="s">
        <v>183</v>
      </c>
      <c r="DS7" s="360"/>
      <c r="DT7" s="360"/>
      <c r="DU7" s="360" t="s">
        <v>184</v>
      </c>
      <c r="DV7" s="360" t="s">
        <v>185</v>
      </c>
      <c r="DW7" s="363" t="s">
        <v>186</v>
      </c>
      <c r="DX7" s="109"/>
      <c r="DY7" s="341"/>
      <c r="DZ7" s="342"/>
      <c r="EA7" s="364" t="s">
        <v>186</v>
      </c>
    </row>
    <row r="8" spans="1:138" ht="17.25" customHeight="1" outlineLevel="1" x14ac:dyDescent="0.25">
      <c r="A8" s="238">
        <v>5011</v>
      </c>
      <c r="B8" s="205" t="s">
        <v>65</v>
      </c>
      <c r="C8" s="365">
        <v>26370000</v>
      </c>
      <c r="D8" s="365">
        <v>27925000</v>
      </c>
      <c r="E8" s="365">
        <v>27925000</v>
      </c>
      <c r="F8" s="365">
        <f>SUM(G8:O8)+SUM(S8:AB8)+AE8+AH8+SUM(AK8:AN8)+AQ8+AZ8+BF8+BI8+BL8+BO8+BR8+BU8+BV8+BY8+BZ8+CC8+SUM(CF8:CG8)+CP8+CS8+CV8+CW8+CZ8+DC8+DF8+DG8+SUM(DK8:DW8)+CJ8+CM8+R8</f>
        <v>27925000</v>
      </c>
      <c r="G8" s="366"/>
      <c r="H8" s="367"/>
      <c r="I8" s="367"/>
      <c r="J8" s="367"/>
      <c r="K8" s="367"/>
      <c r="L8" s="367"/>
      <c r="M8" s="367">
        <f>+'[1]RO 1.23'!$B$19</f>
        <v>0</v>
      </c>
      <c r="N8" s="367">
        <f>+'[1]RO 1.23'!$B$18</f>
        <v>0</v>
      </c>
      <c r="O8" s="367">
        <f>+P8+Q8</f>
        <v>17535000</v>
      </c>
      <c r="P8" s="368">
        <f>+'[1]RO 1.23'!$B$3+'[1]RO 1.23'!$B$13+'[1]RO 1.23'!$B$14+'[1]RO 1.23'!$B$16+'[1]RO 1.23'!$B$17</f>
        <v>17535000</v>
      </c>
      <c r="Q8" s="369"/>
      <c r="R8" s="367">
        <f>+'[1]RO 1.23'!$B$15</f>
        <v>1889000</v>
      </c>
      <c r="S8" s="370">
        <f>+'[1]RO 1.23'!$B$10</f>
        <v>0</v>
      </c>
      <c r="T8" s="367">
        <f>+'[1]RO 1.23'!$B$6</f>
        <v>1670000</v>
      </c>
      <c r="U8" s="367"/>
      <c r="V8" s="367">
        <f>+'[1]RO 1.23'!$B$4</f>
        <v>5325000</v>
      </c>
      <c r="W8" s="367">
        <f>+'[1]RO 1.23'!$B$7</f>
        <v>0</v>
      </c>
      <c r="X8" s="367"/>
      <c r="Y8" s="367">
        <f>+'[1]RO 1.23'!$B$8</f>
        <v>1506000</v>
      </c>
      <c r="Z8" s="367">
        <f>+'[1]RO 1.23'!$B$9</f>
        <v>0</v>
      </c>
      <c r="AA8" s="367"/>
      <c r="AB8" s="367"/>
      <c r="AC8" s="368"/>
      <c r="AD8" s="368"/>
      <c r="AE8" s="367">
        <f>+'[1]RO 1.23'!$B$11</f>
        <v>0</v>
      </c>
      <c r="AF8" s="368">
        <v>0</v>
      </c>
      <c r="AG8" s="368"/>
      <c r="AH8" s="367"/>
      <c r="AI8" s="368"/>
      <c r="AJ8" s="368"/>
      <c r="AK8" s="367">
        <f>+'[1]RO 1.23'!$B$5</f>
        <v>0</v>
      </c>
      <c r="AL8" s="367"/>
      <c r="AM8" s="367"/>
      <c r="AN8" s="367"/>
      <c r="AO8" s="368"/>
      <c r="AP8" s="368"/>
      <c r="AQ8" s="367"/>
      <c r="AR8" s="368"/>
      <c r="AS8" s="368"/>
      <c r="AT8" s="367"/>
      <c r="AU8" s="368"/>
      <c r="AV8" s="368"/>
      <c r="AW8" s="367"/>
      <c r="AX8" s="368"/>
      <c r="AY8" s="368"/>
      <c r="AZ8" s="367"/>
      <c r="BA8" s="368"/>
      <c r="BB8" s="368"/>
      <c r="BC8" s="367">
        <v>0</v>
      </c>
      <c r="BD8" s="368"/>
      <c r="BE8" s="368"/>
      <c r="BF8" s="367">
        <f>+'[1]RO 1.23'!$B$12</f>
        <v>0</v>
      </c>
      <c r="BG8" s="368">
        <v>0</v>
      </c>
      <c r="BH8" s="368"/>
      <c r="BI8" s="367"/>
      <c r="BJ8" s="368"/>
      <c r="BK8" s="368"/>
      <c r="BL8" s="367"/>
      <c r="BM8" s="368"/>
      <c r="BN8" s="368"/>
      <c r="BO8" s="367"/>
      <c r="BP8" s="368"/>
      <c r="BQ8" s="368"/>
      <c r="BR8" s="367"/>
      <c r="BS8" s="368"/>
      <c r="BT8" s="368"/>
      <c r="BU8" s="367"/>
      <c r="BV8" s="367"/>
      <c r="BW8" s="368"/>
      <c r="BX8" s="368"/>
      <c r="BY8" s="367"/>
      <c r="BZ8" s="367"/>
      <c r="CA8" s="368"/>
      <c r="CB8" s="368"/>
      <c r="CC8" s="367"/>
      <c r="CD8" s="368"/>
      <c r="CE8" s="368"/>
      <c r="CF8" s="367"/>
      <c r="CG8" s="367"/>
      <c r="CH8" s="368"/>
      <c r="CI8" s="368"/>
      <c r="CJ8" s="367"/>
      <c r="CK8" s="368"/>
      <c r="CL8" s="368"/>
      <c r="CM8" s="367"/>
      <c r="CN8" s="368"/>
      <c r="CO8" s="368"/>
      <c r="CP8" s="367"/>
      <c r="CQ8" s="368"/>
      <c r="CR8" s="368"/>
      <c r="CS8" s="367"/>
      <c r="CT8" s="368"/>
      <c r="CU8" s="368"/>
      <c r="CV8" s="367"/>
      <c r="CW8" s="367"/>
      <c r="CX8" s="368"/>
      <c r="CY8" s="368"/>
      <c r="CZ8" s="367"/>
      <c r="DA8" s="368"/>
      <c r="DB8" s="368"/>
      <c r="DC8" s="367"/>
      <c r="DD8" s="368"/>
      <c r="DE8" s="368"/>
      <c r="DF8" s="367"/>
      <c r="DG8" s="367"/>
      <c r="DH8" s="368"/>
      <c r="DI8" s="368"/>
      <c r="DJ8" s="368"/>
      <c r="DK8" s="367"/>
      <c r="DL8" s="367"/>
      <c r="DM8" s="367"/>
      <c r="DN8" s="367"/>
      <c r="DO8" s="367"/>
      <c r="DP8" s="367"/>
      <c r="DQ8" s="367"/>
      <c r="DR8" s="367"/>
      <c r="DS8" s="368"/>
      <c r="DT8" s="368"/>
      <c r="DU8" s="367"/>
      <c r="DV8" s="367"/>
      <c r="DW8" s="371"/>
      <c r="DX8" s="190">
        <f t="shared" ref="DX8" si="0">+G8+H8+I8+K8+M8+N8+O8+R8+S8+T8+U8+V8+W8+Y8+Z8+AA8+AB8+AE8+AH8+AK8+AL8+AM8+AN8+AQ8+AZ8+BF8+BI8+BL8+BO8+BR8+BU8+BV8+BY8+BZ8+CC8+CF8+CG8+CJ8+CM8+CP8+CS8+CV8+CW8+CZ8+DC8+DF8+DG8+DK8+DL8+DM8+DN8+DO8+DQ8+DR8+DU8+DV8+DW8+BC8+AW8+AT8+X8</f>
        <v>27925000</v>
      </c>
      <c r="DY8" s="341">
        <f t="shared" ref="DY8" si="1">DX8-F8</f>
        <v>0</v>
      </c>
      <c r="DZ8" s="342"/>
      <c r="EA8" s="372">
        <f>+Q8+AD8+AG8++AJ8+AP8+AS8+BB8+BH8+BK8+BN8+BQ8+BT8+BX8+CB8+CE8+CI8+CU8+CY8+DB8+DE8+DJ8</f>
        <v>0</v>
      </c>
      <c r="EC8" s="326"/>
      <c r="EG8" s="326"/>
      <c r="EH8" s="326"/>
    </row>
    <row r="9" spans="1:138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1676200</v>
      </c>
      <c r="E9" s="373">
        <v>1865000</v>
      </c>
      <c r="F9" s="373">
        <f t="shared" ref="F9:F14" si="2">SUM(G9:O9)+SUM(S9:AB9)+AE9+AH9+SUM(AK9:AN9)+AQ9+AZ9+BF9+BI9+BL9+BO9+BR9+BU9+BV9+BY9+BZ9+CC9+SUM(CF9:CG9)+CP9+CS9+CV9+CW9+CZ9+DC9+DF9+DG9+SUM(DK9:DW9)+CJ9+CM9+R9</f>
        <v>1865000</v>
      </c>
      <c r="G9" s="234"/>
      <c r="H9" s="155"/>
      <c r="I9" s="155"/>
      <c r="J9" s="155"/>
      <c r="K9" s="155"/>
      <c r="L9" s="155"/>
      <c r="M9" s="155">
        <f>+'[1]RO 1.23'!$C$19+'[1]RO 1.23'!$D$19</f>
        <v>0</v>
      </c>
      <c r="N9" s="155">
        <f>+'[1]RO 1.23'!$C$18+'[1]RO 1.23'!$D$18</f>
        <v>0</v>
      </c>
      <c r="O9" s="155">
        <f t="shared" ref="O9:O15" si="3">+P9+Q9</f>
        <v>1403000</v>
      </c>
      <c r="P9" s="374">
        <f>+'[1]RO 1.23'!$C$3+'[1]RO 1.23'!$D$3+'[1]RO 1.23'!$C$13+'[1]RO 1.23'!$D$13+'[1]RO 1.23'!$C$14+'[1]RO 1.23'!$D$14+'[1]RO 1.23'!$C$17+'[1]RO 1.23'!$D$17</f>
        <v>1403000</v>
      </c>
      <c r="Q9" s="375"/>
      <c r="R9" s="155">
        <f>+'[1]RO 1.23'!$C$15+'[1]RO 1.23'!$D$15</f>
        <v>0</v>
      </c>
      <c r="S9" s="376">
        <f>+'[1]RO 1.23'!$C$10+'[1]RO 1.23'!$D$10</f>
        <v>50000</v>
      </c>
      <c r="T9" s="155">
        <f>+'[1]RO 1.23'!$C$6+'[1]RO 1.23'!$D$6</f>
        <v>0</v>
      </c>
      <c r="U9" s="155"/>
      <c r="V9" s="155">
        <f>+'[1]RO 1.23'!$C$4+'[1]RO 1.23'!$D$4</f>
        <v>72000</v>
      </c>
      <c r="W9" s="155">
        <f>+'[1]RO 1.23'!$C$7+'[1]RO 1.23'!$D$7</f>
        <v>12000</v>
      </c>
      <c r="X9" s="155"/>
      <c r="Y9" s="155">
        <f>+'[1]RO 1.23'!$C$8+'[1]RO 1.23'!$D$8</f>
        <v>35000</v>
      </c>
      <c r="Z9" s="155">
        <f>+'[1]RO 1.23'!$C$9+'[1]RO 1.23'!$D$9</f>
        <v>188000</v>
      </c>
      <c r="AA9" s="155"/>
      <c r="AB9" s="155"/>
      <c r="AC9" s="374"/>
      <c r="AD9" s="374"/>
      <c r="AE9" s="155">
        <f>+'[1]RO 1.23'!$C$11+'[1]RO 1.23'!$D$11</f>
        <v>0</v>
      </c>
      <c r="AF9" s="374">
        <v>0</v>
      </c>
      <c r="AG9" s="374"/>
      <c r="AH9" s="155"/>
      <c r="AI9" s="374"/>
      <c r="AJ9" s="374"/>
      <c r="AK9" s="155">
        <f>+'[1]RO 1.23'!$C$5+'[1]RO 1.23'!$D$5</f>
        <v>105000</v>
      </c>
      <c r="AL9" s="155"/>
      <c r="AM9" s="155"/>
      <c r="AN9" s="155"/>
      <c r="AO9" s="374"/>
      <c r="AP9" s="374"/>
      <c r="AQ9" s="155"/>
      <c r="AR9" s="374"/>
      <c r="AS9" s="374"/>
      <c r="AT9" s="155"/>
      <c r="AU9" s="374"/>
      <c r="AV9" s="374"/>
      <c r="AW9" s="155"/>
      <c r="AX9" s="374"/>
      <c r="AY9" s="374"/>
      <c r="AZ9" s="155"/>
      <c r="BA9" s="374"/>
      <c r="BB9" s="374"/>
      <c r="BC9" s="155">
        <v>0</v>
      </c>
      <c r="BD9" s="374"/>
      <c r="BE9" s="374"/>
      <c r="BF9" s="155">
        <f>+'[1]RO 1.23'!$C$12+'[1]RO 1.23'!$D$12</f>
        <v>0</v>
      </c>
      <c r="BG9" s="374">
        <v>0</v>
      </c>
      <c r="BH9" s="374"/>
      <c r="BI9" s="155"/>
      <c r="BJ9" s="374"/>
      <c r="BK9" s="374"/>
      <c r="BL9" s="155"/>
      <c r="BM9" s="374"/>
      <c r="BN9" s="374"/>
      <c r="BO9" s="155"/>
      <c r="BP9" s="374"/>
      <c r="BQ9" s="374"/>
      <c r="BR9" s="155"/>
      <c r="BS9" s="374"/>
      <c r="BT9" s="374"/>
      <c r="BU9" s="155"/>
      <c r="BV9" s="155"/>
      <c r="BW9" s="374"/>
      <c r="BX9" s="374"/>
      <c r="BY9" s="155"/>
      <c r="BZ9" s="155"/>
      <c r="CA9" s="374"/>
      <c r="CB9" s="374"/>
      <c r="CC9" s="155"/>
      <c r="CD9" s="374"/>
      <c r="CE9" s="374"/>
      <c r="CF9" s="155"/>
      <c r="CG9" s="155"/>
      <c r="CH9" s="374"/>
      <c r="CI9" s="374"/>
      <c r="CJ9" s="155"/>
      <c r="CK9" s="374"/>
      <c r="CL9" s="374"/>
      <c r="CM9" s="155"/>
      <c r="CN9" s="374"/>
      <c r="CO9" s="374"/>
      <c r="CP9" s="155"/>
      <c r="CQ9" s="374"/>
      <c r="CR9" s="374"/>
      <c r="CS9" s="155"/>
      <c r="CT9" s="374"/>
      <c r="CU9" s="374"/>
      <c r="CV9" s="155"/>
      <c r="CW9" s="155"/>
      <c r="CX9" s="374"/>
      <c r="CY9" s="374"/>
      <c r="CZ9" s="155"/>
      <c r="DA9" s="374"/>
      <c r="DB9" s="374"/>
      <c r="DC9" s="155"/>
      <c r="DD9" s="374"/>
      <c r="DE9" s="374"/>
      <c r="DF9" s="155"/>
      <c r="DG9" s="155"/>
      <c r="DH9" s="374"/>
      <c r="DI9" s="374"/>
      <c r="DJ9" s="374"/>
      <c r="DK9" s="155"/>
      <c r="DL9" s="155"/>
      <c r="DM9" s="155"/>
      <c r="DN9" s="155"/>
      <c r="DO9" s="155"/>
      <c r="DP9" s="155"/>
      <c r="DQ9" s="155"/>
      <c r="DR9" s="155"/>
      <c r="DS9" s="374"/>
      <c r="DT9" s="374"/>
      <c r="DU9" s="155"/>
      <c r="DV9" s="155"/>
      <c r="DW9" s="377"/>
      <c r="DX9" s="190">
        <f t="shared" ref="DX9:DX15" si="4">+G9+H9+I9+K9+M9+N9+O9+R9+S9+T9+U9+V9+W9+Y9+Z9+AA9+AB9+AE9+AH9+AK9+AL9+AM9+AN9+AQ9+AZ9+BF9+BI9+BL9+BO9+BR9+BU9+BV9+BY9+BZ9+CC9+CF9+CG9+CJ9+CM9+CP9+CS9+CV9+CW9+CZ9+DC9+DF9+DG9+DK9+DL9+DM9+DN9+DO9+DQ9+DR9+DU9+DV9+DW9+BC9+AW9+AT9+X9</f>
        <v>1865000</v>
      </c>
      <c r="DY9" s="341">
        <f t="shared" ref="DY9:DY15" si="5">DX9-F9</f>
        <v>0</v>
      </c>
      <c r="DZ9" s="342"/>
      <c r="EA9" s="373">
        <f t="shared" ref="EA9:EA15" si="6">+Q9+AD9+AG9++AJ9+AP9+AS9+BB9+BH9+BK9+BN9+BQ9+BT9+BX9+CB9+CE9+CI9+CU9+CY9+DB9+DE9+DJ9</f>
        <v>0</v>
      </c>
      <c r="EC9" s="326"/>
      <c r="EG9" s="326"/>
      <c r="EH9" s="326"/>
    </row>
    <row r="10" spans="1:138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v>3020000</v>
      </c>
      <c r="F10" s="373">
        <f t="shared" si="2"/>
        <v>3020000</v>
      </c>
      <c r="G10" s="234" t="s">
        <v>584</v>
      </c>
      <c r="H10" s="155"/>
      <c r="I10" s="155"/>
      <c r="J10" s="155"/>
      <c r="K10" s="155"/>
      <c r="L10" s="155"/>
      <c r="M10" s="155">
        <f>+'[1]RO 1.23'!$E$19</f>
        <v>3020000</v>
      </c>
      <c r="N10" s="155">
        <f>+'[1]RO 1.23'!$E$18</f>
        <v>0</v>
      </c>
      <c r="O10" s="155">
        <f t="shared" si="3"/>
        <v>0</v>
      </c>
      <c r="P10" s="374">
        <f>+'[1]RO 1.23'!$E$3+'[1]RO 1.23'!$E$13+'[1]RO 1.23'!$E$14+'[1]RO 1.23'!$E$16+'[1]RO 1.23'!$E$17</f>
        <v>0</v>
      </c>
      <c r="Q10" s="375"/>
      <c r="R10" s="155">
        <f>+'[1]RO 1.23'!$E$15</f>
        <v>0</v>
      </c>
      <c r="S10" s="376">
        <f>+'[1]RO 1.23'!$E$10</f>
        <v>0</v>
      </c>
      <c r="T10" s="367">
        <f>+'[1]RO 1.23'!$E$6</f>
        <v>0</v>
      </c>
      <c r="U10" s="155"/>
      <c r="V10" s="367">
        <f>+'[1]RO 1.23'!$E$4</f>
        <v>0</v>
      </c>
      <c r="W10" s="367">
        <f>+'[1]RO 1.23'!$E$7</f>
        <v>0</v>
      </c>
      <c r="X10" s="367"/>
      <c r="Y10" s="367">
        <f>+'[1]RO 1.23'!$E$8</f>
        <v>0</v>
      </c>
      <c r="Z10" s="367">
        <f>+'[1]RO 1.23'!$E$9</f>
        <v>0</v>
      </c>
      <c r="AA10" s="155"/>
      <c r="AB10" s="155"/>
      <c r="AC10" s="374"/>
      <c r="AD10" s="374"/>
      <c r="AE10" s="367">
        <f>+'[1]RO 1.23'!$E$11</f>
        <v>0</v>
      </c>
      <c r="AF10" s="374">
        <v>0</v>
      </c>
      <c r="AG10" s="374"/>
      <c r="AH10" s="155"/>
      <c r="AI10" s="374"/>
      <c r="AJ10" s="374"/>
      <c r="AK10" s="367">
        <f>+'[1]RO 1.23'!$E$5</f>
        <v>0</v>
      </c>
      <c r="AL10" s="155"/>
      <c r="AM10" s="155"/>
      <c r="AN10" s="155"/>
      <c r="AO10" s="374"/>
      <c r="AP10" s="374"/>
      <c r="AQ10" s="155"/>
      <c r="AR10" s="374"/>
      <c r="AS10" s="374"/>
      <c r="AT10" s="155"/>
      <c r="AU10" s="374"/>
      <c r="AV10" s="374"/>
      <c r="AW10" s="155"/>
      <c r="AX10" s="374"/>
      <c r="AY10" s="374"/>
      <c r="AZ10" s="155"/>
      <c r="BA10" s="374"/>
      <c r="BB10" s="374"/>
      <c r="BC10" s="367">
        <v>0</v>
      </c>
      <c r="BD10" s="374"/>
      <c r="BE10" s="374"/>
      <c r="BF10" s="367">
        <f>+'[1]RO 1.23'!$E$12</f>
        <v>0</v>
      </c>
      <c r="BG10" s="374">
        <v>0</v>
      </c>
      <c r="BH10" s="374"/>
      <c r="BI10" s="155"/>
      <c r="BJ10" s="374"/>
      <c r="BK10" s="374"/>
      <c r="BL10" s="155"/>
      <c r="BM10" s="374"/>
      <c r="BN10" s="374"/>
      <c r="BO10" s="155"/>
      <c r="BP10" s="374"/>
      <c r="BQ10" s="374"/>
      <c r="BR10" s="155"/>
      <c r="BS10" s="374"/>
      <c r="BT10" s="374"/>
      <c r="BU10" s="155"/>
      <c r="BV10" s="155"/>
      <c r="BW10" s="374"/>
      <c r="BX10" s="374"/>
      <c r="BY10" s="155"/>
      <c r="BZ10" s="155"/>
      <c r="CA10" s="374"/>
      <c r="CB10" s="374"/>
      <c r="CC10" s="155"/>
      <c r="CD10" s="374"/>
      <c r="CE10" s="374"/>
      <c r="CF10" s="155"/>
      <c r="CG10" s="155"/>
      <c r="CH10" s="374"/>
      <c r="CI10" s="374"/>
      <c r="CJ10" s="155"/>
      <c r="CK10" s="374"/>
      <c r="CL10" s="374"/>
      <c r="CM10" s="155"/>
      <c r="CN10" s="374"/>
      <c r="CO10" s="374"/>
      <c r="CP10" s="155"/>
      <c r="CQ10" s="374"/>
      <c r="CR10" s="374"/>
      <c r="CS10" s="155"/>
      <c r="CT10" s="374"/>
      <c r="CU10" s="374"/>
      <c r="CV10" s="155"/>
      <c r="CW10" s="155"/>
      <c r="CX10" s="374"/>
      <c r="CY10" s="374"/>
      <c r="CZ10" s="155"/>
      <c r="DA10" s="374"/>
      <c r="DB10" s="374"/>
      <c r="DC10" s="155"/>
      <c r="DD10" s="374"/>
      <c r="DE10" s="374"/>
      <c r="DF10" s="155"/>
      <c r="DG10" s="155"/>
      <c r="DH10" s="374"/>
      <c r="DI10" s="374"/>
      <c r="DJ10" s="374"/>
      <c r="DK10" s="155"/>
      <c r="DL10" s="155"/>
      <c r="DM10" s="155"/>
      <c r="DN10" s="155"/>
      <c r="DO10" s="155"/>
      <c r="DP10" s="155"/>
      <c r="DQ10" s="155"/>
      <c r="DR10" s="155"/>
      <c r="DS10" s="374"/>
      <c r="DT10" s="374"/>
      <c r="DU10" s="155"/>
      <c r="DV10" s="155"/>
      <c r="DW10" s="377"/>
      <c r="DX10" s="190">
        <f>+M10</f>
        <v>3020000</v>
      </c>
      <c r="DY10" s="341">
        <f t="shared" si="5"/>
        <v>0</v>
      </c>
      <c r="DZ10" s="342"/>
      <c r="EA10" s="373">
        <f t="shared" si="6"/>
        <v>0</v>
      </c>
      <c r="EC10" s="326"/>
      <c r="EG10" s="326"/>
      <c r="EH10" s="326"/>
    </row>
    <row r="11" spans="1:138" ht="17.25" customHeight="1" outlineLevel="1" x14ac:dyDescent="0.25">
      <c r="A11" s="238">
        <v>5024</v>
      </c>
      <c r="B11" s="205" t="s">
        <v>738</v>
      </c>
      <c r="C11" s="373">
        <v>400000</v>
      </c>
      <c r="D11" s="373">
        <v>0</v>
      </c>
      <c r="E11" s="373">
        <v>0</v>
      </c>
      <c r="F11" s="373">
        <f t="shared" si="2"/>
        <v>0</v>
      </c>
      <c r="G11" s="234"/>
      <c r="H11" s="155"/>
      <c r="I11" s="155"/>
      <c r="J11" s="155"/>
      <c r="K11" s="155"/>
      <c r="L11" s="155"/>
      <c r="M11" s="155">
        <f>+'[1]RO 1.23'!$F$19</f>
        <v>0</v>
      </c>
      <c r="N11" s="155">
        <f>+'[1]RO 1.23'!$F$18</f>
        <v>0</v>
      </c>
      <c r="O11" s="155">
        <f t="shared" si="3"/>
        <v>0</v>
      </c>
      <c r="P11" s="374">
        <f>+'[1]RO 1.23'!$F$3+'[1]RO 1.23'!$F$13+'[1]RO 1.23'!$F$14+'[1]RO 1.23'!$F$16+'[1]RO 1.23'!$F$17</f>
        <v>0</v>
      </c>
      <c r="Q11" s="375"/>
      <c r="R11" s="155">
        <f>+'[1]RO 1.23'!$F$15</f>
        <v>0</v>
      </c>
      <c r="S11" s="376">
        <f>+'[1]RO 1.23'!$F$10</f>
        <v>0</v>
      </c>
      <c r="T11" s="367">
        <f>+'[1]RO 1.23'!$F$6</f>
        <v>0</v>
      </c>
      <c r="U11" s="155"/>
      <c r="V11" s="367">
        <f>+'[1]RO 1.23'!$F$4</f>
        <v>0</v>
      </c>
      <c r="W11" s="367">
        <f>+'[1]RO 1.23'!$F$7</f>
        <v>0</v>
      </c>
      <c r="X11" s="367"/>
      <c r="Y11" s="367">
        <f>+'[1]RO 1.23'!$F$8</f>
        <v>0</v>
      </c>
      <c r="Z11" s="367">
        <f>+'[1]RO 1.23'!$F$9</f>
        <v>0</v>
      </c>
      <c r="AA11" s="155"/>
      <c r="AB11" s="155"/>
      <c r="AC11" s="374"/>
      <c r="AD11" s="374"/>
      <c r="AE11" s="367">
        <f>+'[1]RO 1.23'!$F$11</f>
        <v>0</v>
      </c>
      <c r="AF11" s="374">
        <v>0</v>
      </c>
      <c r="AG11" s="374"/>
      <c r="AH11" s="155"/>
      <c r="AI11" s="374"/>
      <c r="AJ11" s="374"/>
      <c r="AK11" s="367">
        <f>+'[1]RO 1.23'!$F$5</f>
        <v>0</v>
      </c>
      <c r="AL11" s="155"/>
      <c r="AM11" s="155"/>
      <c r="AN11" s="155"/>
      <c r="AO11" s="374"/>
      <c r="AP11" s="374"/>
      <c r="AQ11" s="155"/>
      <c r="AR11" s="374"/>
      <c r="AS11" s="374"/>
      <c r="AT11" s="155"/>
      <c r="AU11" s="374"/>
      <c r="AV11" s="374"/>
      <c r="AW11" s="155"/>
      <c r="AX11" s="374"/>
      <c r="AY11" s="374"/>
      <c r="AZ11" s="155"/>
      <c r="BA11" s="374"/>
      <c r="BB11" s="374"/>
      <c r="BC11" s="367">
        <v>0</v>
      </c>
      <c r="BD11" s="374"/>
      <c r="BE11" s="374"/>
      <c r="BF11" s="367">
        <f>+'[1]RO 1.23'!$F$12</f>
        <v>0</v>
      </c>
      <c r="BG11" s="374">
        <v>0</v>
      </c>
      <c r="BH11" s="374"/>
      <c r="BI11" s="155"/>
      <c r="BJ11" s="374"/>
      <c r="BK11" s="374"/>
      <c r="BL11" s="155"/>
      <c r="BM11" s="374"/>
      <c r="BN11" s="374"/>
      <c r="BO11" s="155"/>
      <c r="BP11" s="374"/>
      <c r="BQ11" s="374"/>
      <c r="BR11" s="155"/>
      <c r="BS11" s="374"/>
      <c r="BT11" s="374"/>
      <c r="BU11" s="155"/>
      <c r="BV11" s="155"/>
      <c r="BW11" s="374"/>
      <c r="BX11" s="374"/>
      <c r="BY11" s="155"/>
      <c r="BZ11" s="155"/>
      <c r="CA11" s="374"/>
      <c r="CB11" s="374"/>
      <c r="CC11" s="155"/>
      <c r="CD11" s="374"/>
      <c r="CE11" s="374"/>
      <c r="CF11" s="155"/>
      <c r="CG11" s="155"/>
      <c r="CH11" s="374"/>
      <c r="CI11" s="374"/>
      <c r="CJ11" s="155"/>
      <c r="CK11" s="374"/>
      <c r="CL11" s="374"/>
      <c r="CM11" s="155"/>
      <c r="CN11" s="374"/>
      <c r="CO11" s="374"/>
      <c r="CP11" s="155"/>
      <c r="CQ11" s="374"/>
      <c r="CR11" s="374"/>
      <c r="CS11" s="155"/>
      <c r="CT11" s="374"/>
      <c r="CU11" s="374"/>
      <c r="CV11" s="155"/>
      <c r="CW11" s="155"/>
      <c r="CX11" s="374"/>
      <c r="CY11" s="374"/>
      <c r="CZ11" s="155"/>
      <c r="DA11" s="374"/>
      <c r="DB11" s="374"/>
      <c r="DC11" s="155"/>
      <c r="DD11" s="374"/>
      <c r="DE11" s="374"/>
      <c r="DF11" s="155"/>
      <c r="DG11" s="155"/>
      <c r="DH11" s="374"/>
      <c r="DI11" s="374"/>
      <c r="DJ11" s="374"/>
      <c r="DK11" s="155"/>
      <c r="DL11" s="155"/>
      <c r="DM11" s="155"/>
      <c r="DN11" s="155"/>
      <c r="DO11" s="155"/>
      <c r="DP11" s="155"/>
      <c r="DQ11" s="155"/>
      <c r="DR11" s="155"/>
      <c r="DS11" s="374"/>
      <c r="DT11" s="374"/>
      <c r="DU11" s="155"/>
      <c r="DV11" s="155"/>
      <c r="DW11" s="377"/>
      <c r="DX11" s="190">
        <f t="shared" si="4"/>
        <v>0</v>
      </c>
      <c r="DY11" s="341">
        <f t="shared" si="5"/>
        <v>0</v>
      </c>
      <c r="DZ11" s="342"/>
      <c r="EA11" s="373">
        <f t="shared" si="6"/>
        <v>0</v>
      </c>
      <c r="EC11" s="326"/>
      <c r="EG11" s="326"/>
      <c r="EH11" s="326"/>
    </row>
    <row r="12" spans="1:138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v>30000</v>
      </c>
      <c r="F12" s="373">
        <f>SUM(G12:O12)+SUM(S12:AB12)+AE12+AH12+SUM(AK12:AN12)+AQ12+AZ12+BF12+BI12+BL12+BO12+BR12+BU12+BV12+BY12+BZ12+CC12+SUM(CF12:CG12)+CP12+CS12+CV12+CW12+CZ12+DC12+DF12+DG12+SUM(DK12:DW12)+CJ12+CM12+R12</f>
        <v>30000</v>
      </c>
      <c r="G12" s="234"/>
      <c r="H12" s="155"/>
      <c r="I12" s="155"/>
      <c r="J12" s="155"/>
      <c r="K12" s="155"/>
      <c r="L12" s="155"/>
      <c r="M12" s="155">
        <f>+'[1]RO 1.23'!$G$19</f>
        <v>0</v>
      </c>
      <c r="N12" s="155">
        <f>+'[1]RO 1.23'!$G$18</f>
        <v>0</v>
      </c>
      <c r="O12" s="155">
        <f t="shared" si="3"/>
        <v>0</v>
      </c>
      <c r="P12" s="374">
        <f>+'[1]RO 1.23'!$G$16+'[1]RO 1.23'!$G$17+'[1]RO 1.23'!$G$13+'[1]RO 1.23'!$G$14+'[1]RO 1.23'!$G$3</f>
        <v>0</v>
      </c>
      <c r="Q12" s="375"/>
      <c r="R12" s="155">
        <f>+'[1]RO 1.23'!$G$15</f>
        <v>0</v>
      </c>
      <c r="S12" s="376">
        <f>+'[1]RO 1.23'!$G$10</f>
        <v>0</v>
      </c>
      <c r="T12" s="367">
        <f>+'[1]RO 1.23'!$G$6</f>
        <v>0</v>
      </c>
      <c r="U12" s="155"/>
      <c r="V12" s="367">
        <f>+'[1]RO 1.23'!$G$4</f>
        <v>0</v>
      </c>
      <c r="W12" s="367">
        <f>+'[1]RO 1.23'!$G$7</f>
        <v>0</v>
      </c>
      <c r="X12" s="367"/>
      <c r="Y12" s="367">
        <f>+'[1]RO 1.23'!$G$8</f>
        <v>0</v>
      </c>
      <c r="Z12" s="367">
        <f>+'[1]RO 1.23'!$G$9</f>
        <v>0</v>
      </c>
      <c r="AA12" s="155"/>
      <c r="AB12" s="155"/>
      <c r="AC12" s="374"/>
      <c r="AD12" s="374"/>
      <c r="AE12" s="367">
        <f>+'[1]RO 1.23'!$G$11</f>
        <v>0</v>
      </c>
      <c r="AF12" s="374">
        <v>0</v>
      </c>
      <c r="AG12" s="374"/>
      <c r="AH12" s="155"/>
      <c r="AI12" s="374"/>
      <c r="AJ12" s="374"/>
      <c r="AK12" s="367">
        <f>+'[1]RO 1.23'!$G$5</f>
        <v>30000</v>
      </c>
      <c r="AL12" s="155"/>
      <c r="AM12" s="155"/>
      <c r="AN12" s="155"/>
      <c r="AO12" s="374"/>
      <c r="AP12" s="374"/>
      <c r="AQ12" s="155"/>
      <c r="AR12" s="374"/>
      <c r="AS12" s="374"/>
      <c r="AT12" s="155"/>
      <c r="AU12" s="374"/>
      <c r="AV12" s="374"/>
      <c r="AW12" s="155"/>
      <c r="AX12" s="374"/>
      <c r="AY12" s="374"/>
      <c r="AZ12" s="155"/>
      <c r="BA12" s="374"/>
      <c r="BB12" s="374"/>
      <c r="BC12" s="367">
        <v>0</v>
      </c>
      <c r="BD12" s="374"/>
      <c r="BE12" s="374"/>
      <c r="BF12" s="367">
        <f>+'[1]RO 1.23'!$G$12</f>
        <v>0</v>
      </c>
      <c r="BG12" s="374">
        <v>0</v>
      </c>
      <c r="BH12" s="374"/>
      <c r="BI12" s="155"/>
      <c r="BJ12" s="374"/>
      <c r="BK12" s="374"/>
      <c r="BL12" s="155"/>
      <c r="BM12" s="374"/>
      <c r="BN12" s="374"/>
      <c r="BO12" s="155"/>
      <c r="BP12" s="374"/>
      <c r="BQ12" s="374"/>
      <c r="BR12" s="155"/>
      <c r="BS12" s="374"/>
      <c r="BT12" s="374"/>
      <c r="BU12" s="155"/>
      <c r="BV12" s="155"/>
      <c r="BW12" s="374"/>
      <c r="BX12" s="374"/>
      <c r="BY12" s="155"/>
      <c r="BZ12" s="155"/>
      <c r="CA12" s="374"/>
      <c r="CB12" s="374"/>
      <c r="CC12" s="155"/>
      <c r="CD12" s="374"/>
      <c r="CE12" s="374"/>
      <c r="CF12" s="155"/>
      <c r="CG12" s="155"/>
      <c r="CH12" s="374"/>
      <c r="CI12" s="374"/>
      <c r="CJ12" s="155"/>
      <c r="CK12" s="374"/>
      <c r="CL12" s="374"/>
      <c r="CM12" s="155"/>
      <c r="CN12" s="374"/>
      <c r="CO12" s="374"/>
      <c r="CP12" s="155"/>
      <c r="CQ12" s="374"/>
      <c r="CR12" s="374"/>
      <c r="CS12" s="155"/>
      <c r="CT12" s="374"/>
      <c r="CU12" s="374"/>
      <c r="CV12" s="155"/>
      <c r="CW12" s="155"/>
      <c r="CX12" s="374"/>
      <c r="CY12" s="374"/>
      <c r="CZ12" s="155"/>
      <c r="DA12" s="374"/>
      <c r="DB12" s="374"/>
      <c r="DC12" s="155"/>
      <c r="DD12" s="374"/>
      <c r="DE12" s="374"/>
      <c r="DF12" s="155"/>
      <c r="DG12" s="155"/>
      <c r="DH12" s="374"/>
      <c r="DI12" s="374"/>
      <c r="DJ12" s="374"/>
      <c r="DK12" s="155"/>
      <c r="DL12" s="155"/>
      <c r="DM12" s="155"/>
      <c r="DN12" s="155"/>
      <c r="DO12" s="155"/>
      <c r="DP12" s="155"/>
      <c r="DQ12" s="155"/>
      <c r="DR12" s="155"/>
      <c r="DS12" s="374"/>
      <c r="DT12" s="374"/>
      <c r="DU12" s="155"/>
      <c r="DV12" s="155"/>
      <c r="DW12" s="377"/>
      <c r="DX12" s="190">
        <f t="shared" si="4"/>
        <v>30000</v>
      </c>
      <c r="DY12" s="341">
        <f t="shared" si="5"/>
        <v>0</v>
      </c>
      <c r="DZ12" s="342"/>
      <c r="EA12" s="373">
        <f t="shared" si="6"/>
        <v>0</v>
      </c>
      <c r="EC12" s="326"/>
      <c r="EG12" s="326"/>
      <c r="EH12" s="326"/>
    </row>
    <row r="13" spans="1:138" ht="17.25" customHeight="1" outlineLevel="1" x14ac:dyDescent="0.25">
      <c r="A13" s="238">
        <v>5031</v>
      </c>
      <c r="B13" s="205" t="s">
        <v>68</v>
      </c>
      <c r="C13" s="373">
        <v>7641500</v>
      </c>
      <c r="D13" s="373">
        <v>8013550</v>
      </c>
      <c r="E13" s="373">
        <v>8112500</v>
      </c>
      <c r="F13" s="373">
        <f t="shared" si="2"/>
        <v>8112500</v>
      </c>
      <c r="G13" s="234"/>
      <c r="H13" s="155"/>
      <c r="I13" s="155"/>
      <c r="J13" s="155"/>
      <c r="K13" s="155"/>
      <c r="L13" s="155"/>
      <c r="M13" s="155">
        <f>+'[1]RO 1.23'!$H$19</f>
        <v>755000</v>
      </c>
      <c r="N13" s="155">
        <f>+'[1]RO 1.23'!$H$18</f>
        <v>0</v>
      </c>
      <c r="O13" s="155">
        <f t="shared" si="3"/>
        <v>4710750</v>
      </c>
      <c r="P13" s="374">
        <f>+'[1]RO 1.23'!$H$3+'[1]RO 1.23'!$H$13+'[1]RO 1.23'!$H$14+'[1]RO 1.23'!$H$16+'[1]RO 1.23'!$H$17</f>
        <v>4710750</v>
      </c>
      <c r="Q13" s="375"/>
      <c r="R13" s="155">
        <f>+'[1]RO 1.23'!$H$15</f>
        <v>472250</v>
      </c>
      <c r="S13" s="376">
        <f>+'[1]RO 1.23'!$H$10</f>
        <v>0</v>
      </c>
      <c r="T13" s="367">
        <f>+'[1]RO 1.23'!$H$6</f>
        <v>417500</v>
      </c>
      <c r="U13" s="155"/>
      <c r="V13" s="367">
        <f>+'[1]RO 1.23'!$H$4</f>
        <v>1349250</v>
      </c>
      <c r="W13" s="367">
        <f>+'[1]RO 1.23'!$H$7</f>
        <v>3000</v>
      </c>
      <c r="X13" s="367"/>
      <c r="Y13" s="367">
        <f>+'[1]RO 1.23'!$H$8</f>
        <v>376500</v>
      </c>
      <c r="Z13" s="367">
        <f>+'[1]RO 1.23'!$H$9</f>
        <v>2000</v>
      </c>
      <c r="AA13" s="155"/>
      <c r="AB13" s="155"/>
      <c r="AC13" s="374"/>
      <c r="AD13" s="374"/>
      <c r="AE13" s="367">
        <f>+'[1]RO 1.23'!$H$11</f>
        <v>0</v>
      </c>
      <c r="AF13" s="374">
        <v>0</v>
      </c>
      <c r="AG13" s="374"/>
      <c r="AH13" s="155"/>
      <c r="AI13" s="374"/>
      <c r="AJ13" s="374"/>
      <c r="AK13" s="367">
        <f>+'[1]RO 1.23'!$H$5</f>
        <v>26250</v>
      </c>
      <c r="AL13" s="155"/>
      <c r="AM13" s="155"/>
      <c r="AN13" s="155"/>
      <c r="AO13" s="374"/>
      <c r="AP13" s="374"/>
      <c r="AQ13" s="155"/>
      <c r="AR13" s="374"/>
      <c r="AS13" s="374"/>
      <c r="AT13" s="155"/>
      <c r="AU13" s="374"/>
      <c r="AV13" s="374"/>
      <c r="AW13" s="155"/>
      <c r="AX13" s="374"/>
      <c r="AY13" s="374"/>
      <c r="AZ13" s="155"/>
      <c r="BA13" s="374"/>
      <c r="BB13" s="374"/>
      <c r="BC13" s="367">
        <v>0</v>
      </c>
      <c r="BD13" s="374"/>
      <c r="BE13" s="374"/>
      <c r="BF13" s="367">
        <f>+'[1]RO 1.23'!$H$12</f>
        <v>0</v>
      </c>
      <c r="BG13" s="374">
        <v>0</v>
      </c>
      <c r="BH13" s="374"/>
      <c r="BI13" s="155"/>
      <c r="BJ13" s="374"/>
      <c r="BK13" s="374"/>
      <c r="BL13" s="155"/>
      <c r="BM13" s="374"/>
      <c r="BN13" s="374"/>
      <c r="BO13" s="155"/>
      <c r="BP13" s="374"/>
      <c r="BQ13" s="374"/>
      <c r="BR13" s="155"/>
      <c r="BS13" s="374"/>
      <c r="BT13" s="374"/>
      <c r="BU13" s="155"/>
      <c r="BV13" s="155"/>
      <c r="BW13" s="374"/>
      <c r="BX13" s="374"/>
      <c r="BY13" s="155"/>
      <c r="BZ13" s="155"/>
      <c r="CA13" s="374"/>
      <c r="CB13" s="374"/>
      <c r="CC13" s="155"/>
      <c r="CD13" s="374"/>
      <c r="CE13" s="374"/>
      <c r="CF13" s="155"/>
      <c r="CG13" s="155"/>
      <c r="CH13" s="374"/>
      <c r="CI13" s="374"/>
      <c r="CJ13" s="155"/>
      <c r="CK13" s="374"/>
      <c r="CL13" s="374"/>
      <c r="CM13" s="155"/>
      <c r="CN13" s="374"/>
      <c r="CO13" s="374"/>
      <c r="CP13" s="155"/>
      <c r="CQ13" s="374"/>
      <c r="CR13" s="374"/>
      <c r="CS13" s="155"/>
      <c r="CT13" s="374"/>
      <c r="CU13" s="374"/>
      <c r="CV13" s="155"/>
      <c r="CW13" s="155"/>
      <c r="CX13" s="374"/>
      <c r="CY13" s="374"/>
      <c r="CZ13" s="155"/>
      <c r="DA13" s="374"/>
      <c r="DB13" s="374"/>
      <c r="DC13" s="155"/>
      <c r="DD13" s="374"/>
      <c r="DE13" s="374"/>
      <c r="DF13" s="155"/>
      <c r="DG13" s="155"/>
      <c r="DH13" s="374"/>
      <c r="DI13" s="374"/>
      <c r="DJ13" s="374"/>
      <c r="DK13" s="155"/>
      <c r="DL13" s="155"/>
      <c r="DM13" s="155"/>
      <c r="DN13" s="155"/>
      <c r="DO13" s="155"/>
      <c r="DP13" s="155"/>
      <c r="DQ13" s="155"/>
      <c r="DR13" s="155"/>
      <c r="DS13" s="374"/>
      <c r="DT13" s="374"/>
      <c r="DU13" s="155"/>
      <c r="DV13" s="155"/>
      <c r="DW13" s="377"/>
      <c r="DX13" s="190">
        <f t="shared" si="4"/>
        <v>8112500</v>
      </c>
      <c r="DY13" s="341">
        <f t="shared" si="5"/>
        <v>0</v>
      </c>
      <c r="DZ13" s="342"/>
      <c r="EA13" s="373">
        <f t="shared" si="6"/>
        <v>0</v>
      </c>
      <c r="EC13" s="326"/>
      <c r="EG13" s="326"/>
      <c r="EH13" s="326"/>
    </row>
    <row r="14" spans="1:138" ht="17.25" customHeight="1" outlineLevel="1" x14ac:dyDescent="0.25">
      <c r="A14" s="238">
        <v>5032</v>
      </c>
      <c r="B14" s="205" t="s">
        <v>69</v>
      </c>
      <c r="C14" s="373">
        <v>2750940</v>
      </c>
      <c r="D14" s="373">
        <v>2884878</v>
      </c>
      <c r="E14" s="373">
        <v>2920500</v>
      </c>
      <c r="F14" s="373">
        <f t="shared" si="2"/>
        <v>2920500</v>
      </c>
      <c r="G14" s="234"/>
      <c r="H14" s="155"/>
      <c r="I14" s="155"/>
      <c r="J14" s="155"/>
      <c r="K14" s="155"/>
      <c r="L14" s="155"/>
      <c r="M14" s="155">
        <f>+'[1]RO 1.23'!$I$19</f>
        <v>271800</v>
      </c>
      <c r="N14" s="155">
        <f>+'[1]RO 1.23'!$I$18</f>
        <v>0</v>
      </c>
      <c r="O14" s="155">
        <f t="shared" si="3"/>
        <v>1695870</v>
      </c>
      <c r="P14" s="374">
        <f>+'[1]RO 1.23'!$I$3+'[1]RO 1.23'!$I$13+'[1]RO 1.23'!$I$14+'[1]RO 1.23'!$I$16+'[1]RO 1.23'!$I$17</f>
        <v>1695870</v>
      </c>
      <c r="Q14" s="375"/>
      <c r="R14" s="155">
        <f>+'[1]RO 1.23'!$I$15</f>
        <v>170010</v>
      </c>
      <c r="S14" s="376">
        <f>+'[1]RO 1.23'!$I$10</f>
        <v>0</v>
      </c>
      <c r="T14" s="367">
        <f>+'[1]RO 1.23'!$I$6</f>
        <v>150300</v>
      </c>
      <c r="U14" s="155"/>
      <c r="V14" s="367">
        <f>+'[1]RO 1.23'!$I$4</f>
        <v>485730</v>
      </c>
      <c r="W14" s="367">
        <f>+'[1]RO 1.23'!$I$7</f>
        <v>1080</v>
      </c>
      <c r="X14" s="367"/>
      <c r="Y14" s="367">
        <f>+'[1]RO 1.23'!$I$8</f>
        <v>135540</v>
      </c>
      <c r="Z14" s="367">
        <f>+'[1]RO 1.23'!$I$9</f>
        <v>720</v>
      </c>
      <c r="AA14" s="155"/>
      <c r="AB14" s="155"/>
      <c r="AC14" s="374"/>
      <c r="AD14" s="374"/>
      <c r="AE14" s="367">
        <f>+'[1]RO 1.23'!$I$11</f>
        <v>0</v>
      </c>
      <c r="AF14" s="374">
        <v>0</v>
      </c>
      <c r="AG14" s="374"/>
      <c r="AH14" s="155"/>
      <c r="AI14" s="374"/>
      <c r="AJ14" s="374"/>
      <c r="AK14" s="367">
        <f>+'[1]RO 1.23'!$I$5</f>
        <v>9450</v>
      </c>
      <c r="AL14" s="155"/>
      <c r="AM14" s="155"/>
      <c r="AN14" s="155"/>
      <c r="AO14" s="374"/>
      <c r="AP14" s="374"/>
      <c r="AQ14" s="155"/>
      <c r="AR14" s="374"/>
      <c r="AS14" s="374"/>
      <c r="AT14" s="155"/>
      <c r="AU14" s="374"/>
      <c r="AV14" s="374"/>
      <c r="AW14" s="155"/>
      <c r="AX14" s="374"/>
      <c r="AY14" s="374"/>
      <c r="AZ14" s="155"/>
      <c r="BA14" s="374"/>
      <c r="BB14" s="374"/>
      <c r="BC14" s="367">
        <v>0</v>
      </c>
      <c r="BD14" s="374"/>
      <c r="BE14" s="374"/>
      <c r="BF14" s="367">
        <f>+'[1]RO 1.23'!$I$12</f>
        <v>0</v>
      </c>
      <c r="BG14" s="374">
        <v>0</v>
      </c>
      <c r="BH14" s="374"/>
      <c r="BI14" s="155"/>
      <c r="BJ14" s="374"/>
      <c r="BK14" s="374"/>
      <c r="BL14" s="155"/>
      <c r="BM14" s="374"/>
      <c r="BN14" s="374"/>
      <c r="BO14" s="155"/>
      <c r="BP14" s="374"/>
      <c r="BQ14" s="374"/>
      <c r="BR14" s="155"/>
      <c r="BS14" s="374"/>
      <c r="BT14" s="374"/>
      <c r="BU14" s="155"/>
      <c r="BV14" s="155"/>
      <c r="BW14" s="374"/>
      <c r="BX14" s="374"/>
      <c r="BY14" s="155"/>
      <c r="BZ14" s="155"/>
      <c r="CA14" s="374"/>
      <c r="CB14" s="374"/>
      <c r="CC14" s="155"/>
      <c r="CD14" s="374"/>
      <c r="CE14" s="374"/>
      <c r="CF14" s="155"/>
      <c r="CG14" s="155"/>
      <c r="CH14" s="374"/>
      <c r="CI14" s="374"/>
      <c r="CJ14" s="155"/>
      <c r="CK14" s="374"/>
      <c r="CL14" s="374"/>
      <c r="CM14" s="155"/>
      <c r="CN14" s="374"/>
      <c r="CO14" s="374"/>
      <c r="CP14" s="155"/>
      <c r="CQ14" s="374"/>
      <c r="CR14" s="374"/>
      <c r="CS14" s="155"/>
      <c r="CT14" s="374"/>
      <c r="CU14" s="374"/>
      <c r="CV14" s="155"/>
      <c r="CW14" s="155"/>
      <c r="CX14" s="374"/>
      <c r="CY14" s="374"/>
      <c r="CZ14" s="155"/>
      <c r="DA14" s="374"/>
      <c r="DB14" s="374"/>
      <c r="DC14" s="155"/>
      <c r="DD14" s="374"/>
      <c r="DE14" s="374"/>
      <c r="DF14" s="155"/>
      <c r="DG14" s="155"/>
      <c r="DH14" s="374"/>
      <c r="DI14" s="374"/>
      <c r="DJ14" s="374"/>
      <c r="DK14" s="155"/>
      <c r="DL14" s="155"/>
      <c r="DM14" s="155"/>
      <c r="DN14" s="155"/>
      <c r="DO14" s="155"/>
      <c r="DP14" s="155"/>
      <c r="DQ14" s="155"/>
      <c r="DR14" s="155"/>
      <c r="DS14" s="374"/>
      <c r="DT14" s="374"/>
      <c r="DU14" s="155"/>
      <c r="DV14" s="155"/>
      <c r="DW14" s="377"/>
      <c r="DX14" s="190">
        <f t="shared" si="4"/>
        <v>2920500</v>
      </c>
      <c r="DY14" s="341">
        <f t="shared" si="5"/>
        <v>0</v>
      </c>
      <c r="DZ14" s="342"/>
      <c r="EA14" s="373">
        <f t="shared" si="6"/>
        <v>0</v>
      </c>
      <c r="EC14" s="326"/>
      <c r="EG14" s="326"/>
      <c r="EH14" s="326"/>
    </row>
    <row r="15" spans="1:138" ht="17.25" customHeight="1" outlineLevel="1" x14ac:dyDescent="0.25">
      <c r="A15" s="238">
        <v>5038</v>
      </c>
      <c r="B15" s="205" t="s">
        <v>70</v>
      </c>
      <c r="C15" s="373">
        <v>128377.2</v>
      </c>
      <c r="D15" s="373">
        <v>134627.63999999998</v>
      </c>
      <c r="E15" s="373">
        <v>136289.99999999997</v>
      </c>
      <c r="F15" s="373">
        <f>SUM(G15:O15)+SUM(S15:AB15)+AE15+AH15+SUM(AK15:AN15)+AQ15+AZ15+BF15+BI15+BL15+BO15+BR15+BU15+BV15+BY15+BZ15+CC15+SUM(CF15:CG15)+CP15+CS15+CV15+CW15+CZ15+DC15+DF15+DG15+SUM(DK15:DW15)+CJ15+CM15+R15</f>
        <v>136289.99999999997</v>
      </c>
      <c r="G15" s="234"/>
      <c r="H15" s="155"/>
      <c r="I15" s="155"/>
      <c r="J15" s="155"/>
      <c r="K15" s="155"/>
      <c r="L15" s="155"/>
      <c r="M15" s="155">
        <f>+'[1]RO 1.23'!$J$19</f>
        <v>12684</v>
      </c>
      <c r="N15" s="155">
        <f>+'[1]RO 1.23'!$J$18</f>
        <v>0</v>
      </c>
      <c r="O15" s="155">
        <f t="shared" si="3"/>
        <v>79140.599999999991</v>
      </c>
      <c r="P15" s="374">
        <f>+'[1]RO 1.23'!$J$3+'[1]RO 1.23'!$J$13+'[1]RO 1.23'!$J$14+'[1]RO 1.23'!$J$16+'[1]RO 1.23'!$J$17</f>
        <v>79140.599999999991</v>
      </c>
      <c r="Q15" s="375"/>
      <c r="R15" s="155">
        <f>+'[1]RO 1.23'!$J$15</f>
        <v>7933.7999999999993</v>
      </c>
      <c r="S15" s="376">
        <f>+'[1]RO 1.23'!$J$10</f>
        <v>0</v>
      </c>
      <c r="T15" s="367">
        <f>+'[1]RO 1.23'!$J$6</f>
        <v>7014</v>
      </c>
      <c r="U15" s="155"/>
      <c r="V15" s="367">
        <f>+'[1]RO 1.23'!$J$4</f>
        <v>22667.4</v>
      </c>
      <c r="W15" s="367">
        <f>+'[1]RO 1.23'!$J$7</f>
        <v>50.4</v>
      </c>
      <c r="X15" s="367"/>
      <c r="Y15" s="367">
        <f>+'[1]RO 1.23'!$J$8</f>
        <v>6325.2</v>
      </c>
      <c r="Z15" s="367">
        <f>+'[1]RO 1.23'!$J$9</f>
        <v>33.6</v>
      </c>
      <c r="AA15" s="155"/>
      <c r="AB15" s="155"/>
      <c r="AC15" s="374"/>
      <c r="AD15" s="374"/>
      <c r="AE15" s="367">
        <f>+'[1]RO 1.23'!$J$11</f>
        <v>0</v>
      </c>
      <c r="AF15" s="374">
        <v>0</v>
      </c>
      <c r="AG15" s="374"/>
      <c r="AH15" s="155"/>
      <c r="AI15" s="374"/>
      <c r="AJ15" s="374"/>
      <c r="AK15" s="367">
        <f>+'[1]RO 1.23'!$J$5</f>
        <v>441</v>
      </c>
      <c r="AL15" s="155"/>
      <c r="AM15" s="155"/>
      <c r="AN15" s="155"/>
      <c r="AO15" s="374"/>
      <c r="AP15" s="374"/>
      <c r="AQ15" s="155"/>
      <c r="AR15" s="374"/>
      <c r="AS15" s="374"/>
      <c r="AT15" s="155"/>
      <c r="AU15" s="374"/>
      <c r="AV15" s="374"/>
      <c r="AW15" s="155"/>
      <c r="AX15" s="374"/>
      <c r="AY15" s="374"/>
      <c r="AZ15" s="155"/>
      <c r="BA15" s="374"/>
      <c r="BB15" s="374"/>
      <c r="BC15" s="367">
        <v>0</v>
      </c>
      <c r="BD15" s="374"/>
      <c r="BE15" s="374"/>
      <c r="BF15" s="367">
        <f>+'[1]RO 1.23'!$J$12</f>
        <v>0</v>
      </c>
      <c r="BG15" s="374">
        <v>0</v>
      </c>
      <c r="BH15" s="374"/>
      <c r="BI15" s="155"/>
      <c r="BJ15" s="374"/>
      <c r="BK15" s="374"/>
      <c r="BL15" s="155"/>
      <c r="BM15" s="374"/>
      <c r="BN15" s="374"/>
      <c r="BO15" s="155"/>
      <c r="BP15" s="374"/>
      <c r="BQ15" s="374"/>
      <c r="BR15" s="155"/>
      <c r="BS15" s="374"/>
      <c r="BT15" s="374"/>
      <c r="BU15" s="155"/>
      <c r="BV15" s="155"/>
      <c r="BW15" s="374"/>
      <c r="BX15" s="374"/>
      <c r="BY15" s="155"/>
      <c r="BZ15" s="155"/>
      <c r="CA15" s="374"/>
      <c r="CB15" s="374"/>
      <c r="CC15" s="155"/>
      <c r="CD15" s="374"/>
      <c r="CE15" s="374"/>
      <c r="CF15" s="155"/>
      <c r="CG15" s="155"/>
      <c r="CH15" s="374"/>
      <c r="CI15" s="374"/>
      <c r="CJ15" s="155"/>
      <c r="CK15" s="374"/>
      <c r="CL15" s="374"/>
      <c r="CM15" s="155"/>
      <c r="CN15" s="374"/>
      <c r="CO15" s="374"/>
      <c r="CP15" s="155"/>
      <c r="CQ15" s="374"/>
      <c r="CR15" s="374"/>
      <c r="CS15" s="155"/>
      <c r="CT15" s="374"/>
      <c r="CU15" s="374"/>
      <c r="CV15" s="155"/>
      <c r="CW15" s="155"/>
      <c r="CX15" s="374"/>
      <c r="CY15" s="374"/>
      <c r="CZ15" s="155"/>
      <c r="DA15" s="374"/>
      <c r="DB15" s="374"/>
      <c r="DC15" s="155"/>
      <c r="DD15" s="374"/>
      <c r="DE15" s="374"/>
      <c r="DF15" s="155"/>
      <c r="DG15" s="155"/>
      <c r="DH15" s="374"/>
      <c r="DI15" s="374"/>
      <c r="DJ15" s="374"/>
      <c r="DK15" s="155"/>
      <c r="DL15" s="155"/>
      <c r="DM15" s="155"/>
      <c r="DN15" s="155"/>
      <c r="DO15" s="155"/>
      <c r="DP15" s="155"/>
      <c r="DQ15" s="155"/>
      <c r="DR15" s="155"/>
      <c r="DS15" s="374"/>
      <c r="DT15" s="374"/>
      <c r="DU15" s="155"/>
      <c r="DV15" s="155"/>
      <c r="DW15" s="377"/>
      <c r="DX15" s="190">
        <f t="shared" si="4"/>
        <v>136290</v>
      </c>
      <c r="DY15" s="341">
        <f t="shared" si="5"/>
        <v>0</v>
      </c>
      <c r="DZ15" s="342"/>
      <c r="EA15" s="373">
        <f t="shared" si="6"/>
        <v>0</v>
      </c>
      <c r="EC15" s="326"/>
      <c r="EG15" s="326"/>
      <c r="EH15" s="326"/>
    </row>
    <row r="16" spans="1:138" ht="15.75" customHeight="1" thickBot="1" x14ac:dyDescent="0.3">
      <c r="A16" s="213" t="s">
        <v>71</v>
      </c>
      <c r="B16" s="214" t="s">
        <v>122</v>
      </c>
      <c r="C16" s="378">
        <f t="shared" ref="C16:Q16" si="7">SUM(C8:C15)</f>
        <v>41773817.200000003</v>
      </c>
      <c r="D16" s="378">
        <v>43454255.640000001</v>
      </c>
      <c r="E16" s="378">
        <v>44009290</v>
      </c>
      <c r="F16" s="378">
        <f t="shared" si="7"/>
        <v>44009290</v>
      </c>
      <c r="G16" s="219">
        <f t="shared" si="7"/>
        <v>0</v>
      </c>
      <c r="H16" s="217">
        <f t="shared" si="7"/>
        <v>0</v>
      </c>
      <c r="I16" s="217">
        <f t="shared" si="7"/>
        <v>0</v>
      </c>
      <c r="J16" s="217">
        <f t="shared" si="7"/>
        <v>0</v>
      </c>
      <c r="K16" s="217">
        <f t="shared" si="7"/>
        <v>0</v>
      </c>
      <c r="L16" s="217">
        <f t="shared" si="7"/>
        <v>0</v>
      </c>
      <c r="M16" s="217">
        <f t="shared" si="7"/>
        <v>4059484</v>
      </c>
      <c r="N16" s="217">
        <f t="shared" ref="N16" si="8">SUM(N8:N15)</f>
        <v>0</v>
      </c>
      <c r="O16" s="217">
        <f t="shared" si="7"/>
        <v>25423760.600000001</v>
      </c>
      <c r="P16" s="379">
        <f t="shared" si="7"/>
        <v>25423760.600000001</v>
      </c>
      <c r="Q16" s="380">
        <f t="shared" si="7"/>
        <v>0</v>
      </c>
      <c r="R16" s="217">
        <f t="shared" ref="R16" si="9">SUM(R8:R15)</f>
        <v>2539193.7999999998</v>
      </c>
      <c r="S16" s="381">
        <f t="shared" ref="S16:AB16" si="10">SUM(S8:S15)</f>
        <v>50000</v>
      </c>
      <c r="T16" s="217">
        <f t="shared" si="10"/>
        <v>2244814</v>
      </c>
      <c r="U16" s="217">
        <f t="shared" si="10"/>
        <v>0</v>
      </c>
      <c r="V16" s="217">
        <f t="shared" si="10"/>
        <v>7254647.4000000004</v>
      </c>
      <c r="W16" s="217">
        <f>SUM(W9:W15)</f>
        <v>16130.4</v>
      </c>
      <c r="X16" s="217">
        <f t="shared" ref="X16" si="11">SUM(X8:X15)</f>
        <v>0</v>
      </c>
      <c r="Y16" s="217">
        <f t="shared" si="10"/>
        <v>2059365.2</v>
      </c>
      <c r="Z16" s="217">
        <f t="shared" si="10"/>
        <v>190753.6</v>
      </c>
      <c r="AA16" s="217">
        <f t="shared" si="10"/>
        <v>0</v>
      </c>
      <c r="AB16" s="217">
        <f t="shared" si="10"/>
        <v>0</v>
      </c>
      <c r="AC16" s="379">
        <f t="shared" ref="AC16:CY16" si="12">SUM(AC8:AC15)</f>
        <v>0</v>
      </c>
      <c r="AD16" s="379">
        <f t="shared" si="12"/>
        <v>0</v>
      </c>
      <c r="AE16" s="217">
        <f t="shared" si="12"/>
        <v>0</v>
      </c>
      <c r="AF16" s="379">
        <f t="shared" si="12"/>
        <v>0</v>
      </c>
      <c r="AG16" s="379">
        <f t="shared" si="12"/>
        <v>0</v>
      </c>
      <c r="AH16" s="217">
        <f t="shared" si="12"/>
        <v>0</v>
      </c>
      <c r="AI16" s="379">
        <f t="shared" si="12"/>
        <v>0</v>
      </c>
      <c r="AJ16" s="379">
        <f t="shared" si="12"/>
        <v>0</v>
      </c>
      <c r="AK16" s="217">
        <f t="shared" si="12"/>
        <v>171141</v>
      </c>
      <c r="AL16" s="217">
        <f t="shared" si="12"/>
        <v>0</v>
      </c>
      <c r="AM16" s="217">
        <f t="shared" si="12"/>
        <v>0</v>
      </c>
      <c r="AN16" s="217">
        <f t="shared" si="12"/>
        <v>0</v>
      </c>
      <c r="AO16" s="379">
        <f t="shared" si="12"/>
        <v>0</v>
      </c>
      <c r="AP16" s="379">
        <f t="shared" si="12"/>
        <v>0</v>
      </c>
      <c r="AQ16" s="217">
        <f t="shared" si="12"/>
        <v>0</v>
      </c>
      <c r="AR16" s="379">
        <f t="shared" si="12"/>
        <v>0</v>
      </c>
      <c r="AS16" s="379">
        <f t="shared" si="12"/>
        <v>0</v>
      </c>
      <c r="AT16" s="217">
        <f t="shared" ref="AT16:AV16" si="13">SUM(AT8:AT15)</f>
        <v>0</v>
      </c>
      <c r="AU16" s="379">
        <f t="shared" si="13"/>
        <v>0</v>
      </c>
      <c r="AV16" s="379">
        <f t="shared" si="13"/>
        <v>0</v>
      </c>
      <c r="AW16" s="217">
        <f t="shared" ref="AW16:AY16" si="14">SUM(AW8:AW15)</f>
        <v>0</v>
      </c>
      <c r="AX16" s="379">
        <f t="shared" si="14"/>
        <v>0</v>
      </c>
      <c r="AY16" s="379">
        <f t="shared" si="14"/>
        <v>0</v>
      </c>
      <c r="AZ16" s="217">
        <f t="shared" si="12"/>
        <v>0</v>
      </c>
      <c r="BA16" s="379">
        <f t="shared" si="12"/>
        <v>0</v>
      </c>
      <c r="BB16" s="379">
        <f t="shared" si="12"/>
        <v>0</v>
      </c>
      <c r="BC16" s="217">
        <f t="shared" ref="BC16:BE16" si="15">SUM(BC8:BC15)</f>
        <v>0</v>
      </c>
      <c r="BD16" s="379">
        <f t="shared" si="15"/>
        <v>0</v>
      </c>
      <c r="BE16" s="379">
        <f t="shared" si="15"/>
        <v>0</v>
      </c>
      <c r="BF16" s="217">
        <f t="shared" si="12"/>
        <v>0</v>
      </c>
      <c r="BG16" s="379">
        <f t="shared" si="12"/>
        <v>0</v>
      </c>
      <c r="BH16" s="379">
        <f t="shared" si="12"/>
        <v>0</v>
      </c>
      <c r="BI16" s="217">
        <f t="shared" si="12"/>
        <v>0</v>
      </c>
      <c r="BJ16" s="379">
        <f t="shared" si="12"/>
        <v>0</v>
      </c>
      <c r="BK16" s="379">
        <f t="shared" si="12"/>
        <v>0</v>
      </c>
      <c r="BL16" s="217">
        <f t="shared" si="12"/>
        <v>0</v>
      </c>
      <c r="BM16" s="379">
        <f t="shared" si="12"/>
        <v>0</v>
      </c>
      <c r="BN16" s="379">
        <f t="shared" si="12"/>
        <v>0</v>
      </c>
      <c r="BO16" s="217">
        <f t="shared" si="12"/>
        <v>0</v>
      </c>
      <c r="BP16" s="379">
        <f t="shared" si="12"/>
        <v>0</v>
      </c>
      <c r="BQ16" s="379">
        <f t="shared" si="12"/>
        <v>0</v>
      </c>
      <c r="BR16" s="217">
        <f t="shared" si="12"/>
        <v>0</v>
      </c>
      <c r="BS16" s="379">
        <f t="shared" si="12"/>
        <v>0</v>
      </c>
      <c r="BT16" s="379">
        <f t="shared" si="12"/>
        <v>0</v>
      </c>
      <c r="BU16" s="217">
        <f t="shared" si="12"/>
        <v>0</v>
      </c>
      <c r="BV16" s="217">
        <f t="shared" si="12"/>
        <v>0</v>
      </c>
      <c r="BW16" s="379">
        <f t="shared" si="12"/>
        <v>0</v>
      </c>
      <c r="BX16" s="379">
        <f t="shared" si="12"/>
        <v>0</v>
      </c>
      <c r="BY16" s="217">
        <f t="shared" si="12"/>
        <v>0</v>
      </c>
      <c r="BZ16" s="217">
        <f t="shared" si="12"/>
        <v>0</v>
      </c>
      <c r="CA16" s="379">
        <f t="shared" si="12"/>
        <v>0</v>
      </c>
      <c r="CB16" s="379">
        <f t="shared" si="12"/>
        <v>0</v>
      </c>
      <c r="CC16" s="217">
        <f t="shared" si="12"/>
        <v>0</v>
      </c>
      <c r="CD16" s="379">
        <f t="shared" si="12"/>
        <v>0</v>
      </c>
      <c r="CE16" s="379">
        <f t="shared" si="12"/>
        <v>0</v>
      </c>
      <c r="CF16" s="217">
        <f t="shared" si="12"/>
        <v>0</v>
      </c>
      <c r="CG16" s="217">
        <f t="shared" si="12"/>
        <v>0</v>
      </c>
      <c r="CH16" s="379">
        <f t="shared" si="12"/>
        <v>0</v>
      </c>
      <c r="CI16" s="379">
        <f t="shared" si="12"/>
        <v>0</v>
      </c>
      <c r="CJ16" s="217">
        <f t="shared" si="12"/>
        <v>0</v>
      </c>
      <c r="CK16" s="379">
        <f t="shared" si="12"/>
        <v>0</v>
      </c>
      <c r="CL16" s="379">
        <f t="shared" si="12"/>
        <v>0</v>
      </c>
      <c r="CM16" s="217">
        <f t="shared" si="12"/>
        <v>0</v>
      </c>
      <c r="CN16" s="379">
        <f t="shared" ref="CN16:CO16" si="16">SUM(CN8:CN15)</f>
        <v>0</v>
      </c>
      <c r="CO16" s="379">
        <f t="shared" si="16"/>
        <v>0</v>
      </c>
      <c r="CP16" s="217">
        <f t="shared" si="12"/>
        <v>0</v>
      </c>
      <c r="CQ16" s="379">
        <f t="shared" si="12"/>
        <v>0</v>
      </c>
      <c r="CR16" s="379">
        <f t="shared" si="12"/>
        <v>0</v>
      </c>
      <c r="CS16" s="217">
        <f t="shared" si="12"/>
        <v>0</v>
      </c>
      <c r="CT16" s="379">
        <f t="shared" si="12"/>
        <v>0</v>
      </c>
      <c r="CU16" s="379">
        <f t="shared" si="12"/>
        <v>0</v>
      </c>
      <c r="CV16" s="217">
        <f t="shared" si="12"/>
        <v>0</v>
      </c>
      <c r="CW16" s="217">
        <f t="shared" si="12"/>
        <v>0</v>
      </c>
      <c r="CX16" s="379">
        <f t="shared" si="12"/>
        <v>0</v>
      </c>
      <c r="CY16" s="379">
        <f t="shared" si="12"/>
        <v>0</v>
      </c>
      <c r="CZ16" s="217">
        <f t="shared" ref="CZ16:DW16" si="17">SUM(CZ8:CZ15)</f>
        <v>0</v>
      </c>
      <c r="DA16" s="379">
        <f t="shared" si="17"/>
        <v>0</v>
      </c>
      <c r="DB16" s="379">
        <f t="shared" si="17"/>
        <v>0</v>
      </c>
      <c r="DC16" s="217">
        <f t="shared" si="17"/>
        <v>0</v>
      </c>
      <c r="DD16" s="379">
        <f t="shared" si="17"/>
        <v>0</v>
      </c>
      <c r="DE16" s="379">
        <f t="shared" si="17"/>
        <v>0</v>
      </c>
      <c r="DF16" s="217">
        <f t="shared" si="17"/>
        <v>0</v>
      </c>
      <c r="DG16" s="217">
        <f t="shared" si="17"/>
        <v>0</v>
      </c>
      <c r="DH16" s="379">
        <f t="shared" si="17"/>
        <v>0</v>
      </c>
      <c r="DI16" s="379">
        <f t="shared" si="17"/>
        <v>0</v>
      </c>
      <c r="DJ16" s="379">
        <f t="shared" si="17"/>
        <v>0</v>
      </c>
      <c r="DK16" s="217">
        <f t="shared" si="17"/>
        <v>0</v>
      </c>
      <c r="DL16" s="217">
        <f t="shared" si="17"/>
        <v>0</v>
      </c>
      <c r="DM16" s="217">
        <f t="shared" si="17"/>
        <v>0</v>
      </c>
      <c r="DN16" s="217">
        <f t="shared" ref="DN16" si="18">SUM(DN8:DN15)</f>
        <v>0</v>
      </c>
      <c r="DO16" s="217">
        <f t="shared" si="17"/>
        <v>0</v>
      </c>
      <c r="DP16" s="217">
        <f t="shared" si="17"/>
        <v>0</v>
      </c>
      <c r="DQ16" s="217">
        <f t="shared" si="17"/>
        <v>0</v>
      </c>
      <c r="DR16" s="217">
        <f t="shared" si="17"/>
        <v>0</v>
      </c>
      <c r="DS16" s="379">
        <f t="shared" ref="DS16:DT16" si="19">SUM(DS8:DS15)</f>
        <v>0</v>
      </c>
      <c r="DT16" s="379">
        <f t="shared" si="19"/>
        <v>0</v>
      </c>
      <c r="DU16" s="217">
        <f t="shared" si="17"/>
        <v>0</v>
      </c>
      <c r="DV16" s="217">
        <f t="shared" si="17"/>
        <v>0</v>
      </c>
      <c r="DW16" s="382">
        <f t="shared" si="17"/>
        <v>0</v>
      </c>
      <c r="DX16" s="190"/>
      <c r="DY16" s="341"/>
      <c r="DZ16" s="342"/>
      <c r="EA16" s="378">
        <f>SUM(EA8:EA15)</f>
        <v>0</v>
      </c>
      <c r="EC16" s="326"/>
    </row>
    <row r="17" spans="1:133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v>0</v>
      </c>
      <c r="F17" s="372">
        <f t="shared" ref="F17:F18" si="20">SUM(G17:O17)+SUM(T17:AB17)+AE17+AH17+SUM(AK17:AN17)+AQ17+AZ17+BF17+BI17+BL17+BO17+BR17+BU17+BV17+BY17+BZ17+CC17+SUM(CF17:CG17)+CP17+CS17+CV17+CW17+CZ17+DC17+DF17+DG17+SUM(DK17:DW17)+CJ17+CM17</f>
        <v>0</v>
      </c>
      <c r="G17" s="366"/>
      <c r="H17" s="367"/>
      <c r="I17" s="367"/>
      <c r="J17" s="367"/>
      <c r="K17" s="367"/>
      <c r="L17" s="367"/>
      <c r="M17" s="367"/>
      <c r="N17" s="367"/>
      <c r="O17" s="367">
        <f>+P17+Q17</f>
        <v>0</v>
      </c>
      <c r="P17" s="368"/>
      <c r="Q17" s="369"/>
      <c r="R17" s="367"/>
      <c r="S17" s="383"/>
      <c r="T17" s="367"/>
      <c r="U17" s="367"/>
      <c r="V17" s="367"/>
      <c r="W17" s="367"/>
      <c r="X17" s="367"/>
      <c r="Y17" s="367"/>
      <c r="Z17" s="367"/>
      <c r="AA17" s="367"/>
      <c r="AB17" s="367">
        <f>+AC17+AD17</f>
        <v>0</v>
      </c>
      <c r="AC17" s="368"/>
      <c r="AD17" s="368"/>
      <c r="AE17" s="367">
        <f>+AF17+AG17</f>
        <v>0</v>
      </c>
      <c r="AF17" s="368"/>
      <c r="AG17" s="368"/>
      <c r="AH17" s="367">
        <f>+AI17+AJ17</f>
        <v>0</v>
      </c>
      <c r="AI17" s="368"/>
      <c r="AJ17" s="368"/>
      <c r="AK17" s="367"/>
      <c r="AL17" s="367"/>
      <c r="AM17" s="367"/>
      <c r="AN17" s="367">
        <f>+AO17+AP17</f>
        <v>0</v>
      </c>
      <c r="AO17" s="368"/>
      <c r="AP17" s="368"/>
      <c r="AQ17" s="367">
        <f>+AR17+AS17</f>
        <v>0</v>
      </c>
      <c r="AR17" s="368"/>
      <c r="AS17" s="368"/>
      <c r="AT17" s="367">
        <f>+AU17+AV17</f>
        <v>0</v>
      </c>
      <c r="AU17" s="368"/>
      <c r="AV17" s="368"/>
      <c r="AW17" s="367">
        <f>+AX17+AY17</f>
        <v>0</v>
      </c>
      <c r="AX17" s="368"/>
      <c r="AY17" s="368"/>
      <c r="AZ17" s="367">
        <f>+BA17+BB17</f>
        <v>0</v>
      </c>
      <c r="BA17" s="368"/>
      <c r="BB17" s="368"/>
      <c r="BC17" s="367">
        <f>+BD17+BE17</f>
        <v>0</v>
      </c>
      <c r="BD17" s="368"/>
      <c r="BE17" s="368"/>
      <c r="BF17" s="367">
        <f>+BG17+BH17</f>
        <v>0</v>
      </c>
      <c r="BG17" s="368"/>
      <c r="BH17" s="368"/>
      <c r="BI17" s="367">
        <f>+BJ17+BK17</f>
        <v>0</v>
      </c>
      <c r="BJ17" s="368"/>
      <c r="BK17" s="368"/>
      <c r="BL17" s="367">
        <f>+BM17+BN17</f>
        <v>0</v>
      </c>
      <c r="BM17" s="368"/>
      <c r="BN17" s="368"/>
      <c r="BO17" s="367">
        <f>+BP17+BQ17</f>
        <v>0</v>
      </c>
      <c r="BP17" s="368"/>
      <c r="BQ17" s="368"/>
      <c r="BR17" s="367">
        <f>+BS17+BT17</f>
        <v>0</v>
      </c>
      <c r="BS17" s="368"/>
      <c r="BT17" s="368"/>
      <c r="BU17" s="367"/>
      <c r="BV17" s="367">
        <f>+BW17+BX17</f>
        <v>0</v>
      </c>
      <c r="BW17" s="368"/>
      <c r="BX17" s="368"/>
      <c r="BY17" s="367"/>
      <c r="BZ17" s="367">
        <f>+CA17+CB17</f>
        <v>0</v>
      </c>
      <c r="CA17" s="368"/>
      <c r="CB17" s="368"/>
      <c r="CC17" s="367">
        <f>+CD17+CE17</f>
        <v>0</v>
      </c>
      <c r="CD17" s="368"/>
      <c r="CE17" s="368"/>
      <c r="CF17" s="367"/>
      <c r="CG17" s="367">
        <f>+CH17+CI17</f>
        <v>0</v>
      </c>
      <c r="CH17" s="368"/>
      <c r="CI17" s="368"/>
      <c r="CJ17" s="367"/>
      <c r="CK17" s="368"/>
      <c r="CL17" s="368"/>
      <c r="CM17" s="367"/>
      <c r="CN17" s="368"/>
      <c r="CO17" s="368"/>
      <c r="CP17" s="367"/>
      <c r="CQ17" s="368"/>
      <c r="CR17" s="368"/>
      <c r="CS17" s="367">
        <f>+CT17+CU17</f>
        <v>0</v>
      </c>
      <c r="CT17" s="368"/>
      <c r="CU17" s="368"/>
      <c r="CV17" s="367"/>
      <c r="CW17" s="367">
        <f>+CX17+CY17</f>
        <v>0</v>
      </c>
      <c r="CX17" s="368"/>
      <c r="CY17" s="368"/>
      <c r="CZ17" s="367">
        <f>+DA17+DB17</f>
        <v>0</v>
      </c>
      <c r="DA17" s="368"/>
      <c r="DB17" s="368"/>
      <c r="DC17" s="367">
        <f>+DD17+DE17</f>
        <v>0</v>
      </c>
      <c r="DD17" s="368"/>
      <c r="DE17" s="368"/>
      <c r="DF17" s="367"/>
      <c r="DG17" s="367">
        <f>+DH17+DI17+DJ17</f>
        <v>0</v>
      </c>
      <c r="DH17" s="368"/>
      <c r="DI17" s="368"/>
      <c r="DJ17" s="368"/>
      <c r="DK17" s="367"/>
      <c r="DL17" s="367"/>
      <c r="DM17" s="367"/>
      <c r="DN17" s="367"/>
      <c r="DO17" s="367"/>
      <c r="DP17" s="367"/>
      <c r="DQ17" s="367"/>
      <c r="DR17" s="367"/>
      <c r="DS17" s="368"/>
      <c r="DT17" s="368"/>
      <c r="DU17" s="367"/>
      <c r="DV17" s="367"/>
      <c r="DW17" s="371"/>
      <c r="DX17" s="190">
        <f>+G17+H17+I17+K17+M17+N17+O17+R17+S17+T17+U17+V17+W17+Y17+Z17+AA17+AB17+AE17+AH17+AK17+AL17+AM17+AN17+AQ17+AZ17+BF17+BI17+BL17+BO17+BR17+BU17+BV17+BY17+BZ17+CC17+CF17+CG17+CJ17+CM17+CP17+CS17+CV17+CW17+CZ17+DC17+DF17+DG17+DK17+DL17+DM17+DN17+DO17+DQ17+DR17+DU17+DV17+DW17-S17</f>
        <v>0</v>
      </c>
      <c r="DY17" s="341">
        <f t="shared" ref="DY17:DY39" si="21">DX17-F17</f>
        <v>0</v>
      </c>
      <c r="DZ17" s="342"/>
      <c r="EA17" s="372">
        <f t="shared" ref="EA17:EA50" si="22">+Q17+AD17+AG17++AJ17+AP17+AS17+BB17+BH17+BK17+BN17+BQ17+BT17+BX17+CB17+CE17+CI17+CU17+CY17+DB17+DE17+DJ17</f>
        <v>0</v>
      </c>
      <c r="EC17" s="326"/>
    </row>
    <row r="18" spans="1:133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v>0</v>
      </c>
      <c r="F18" s="373">
        <f t="shared" si="20"/>
        <v>0</v>
      </c>
      <c r="G18" s="234"/>
      <c r="H18" s="155"/>
      <c r="I18" s="155"/>
      <c r="J18" s="155"/>
      <c r="K18" s="155"/>
      <c r="L18" s="155"/>
      <c r="M18" s="155"/>
      <c r="N18" s="155"/>
      <c r="O18" s="155">
        <f t="shared" ref="O18:O51" si="23">+P18+Q18</f>
        <v>0</v>
      </c>
      <c r="P18" s="374"/>
      <c r="Q18" s="375"/>
      <c r="R18" s="155"/>
      <c r="S18" s="384"/>
      <c r="T18" s="155"/>
      <c r="U18" s="155"/>
      <c r="V18" s="155"/>
      <c r="W18" s="155"/>
      <c r="X18" s="155"/>
      <c r="Y18" s="155"/>
      <c r="Z18" s="155"/>
      <c r="AA18" s="155"/>
      <c r="AB18" s="155">
        <f t="shared" ref="AB18:AB50" si="24">+AC18+AD18</f>
        <v>0</v>
      </c>
      <c r="AC18" s="374"/>
      <c r="AD18" s="374"/>
      <c r="AE18" s="155">
        <f t="shared" ref="AE18:AE50" si="25">+AF18+AG18</f>
        <v>0</v>
      </c>
      <c r="AF18" s="374"/>
      <c r="AG18" s="374"/>
      <c r="AH18" s="155">
        <f t="shared" ref="AH18:AH50" si="26">+AI18+AJ18</f>
        <v>0</v>
      </c>
      <c r="AI18" s="374"/>
      <c r="AJ18" s="374"/>
      <c r="AK18" s="155"/>
      <c r="AL18" s="155"/>
      <c r="AM18" s="155"/>
      <c r="AN18" s="155">
        <f t="shared" ref="AN18:AN50" si="27">+AO18+AP18</f>
        <v>0</v>
      </c>
      <c r="AO18" s="374"/>
      <c r="AP18" s="374"/>
      <c r="AQ18" s="155">
        <f t="shared" ref="AQ18:AQ50" si="28">+AR18+AS18</f>
        <v>0</v>
      </c>
      <c r="AR18" s="374"/>
      <c r="AS18" s="374"/>
      <c r="AT18" s="155">
        <f t="shared" ref="AT18:AT22" si="29">+AU18+AV18</f>
        <v>0</v>
      </c>
      <c r="AU18" s="374"/>
      <c r="AV18" s="374"/>
      <c r="AW18" s="155">
        <f t="shared" ref="AW18:AW22" si="30">+AX18+AY18</f>
        <v>0</v>
      </c>
      <c r="AX18" s="374"/>
      <c r="AY18" s="374"/>
      <c r="AZ18" s="155">
        <f t="shared" ref="AZ18:AZ50" si="31">+BA18+BB18</f>
        <v>0</v>
      </c>
      <c r="BA18" s="374"/>
      <c r="BB18" s="374"/>
      <c r="BC18" s="155">
        <f t="shared" ref="BC18:BC46" si="32">+BD18+BE18</f>
        <v>0</v>
      </c>
      <c r="BD18" s="374"/>
      <c r="BE18" s="374"/>
      <c r="BF18" s="155">
        <f t="shared" ref="BF18:BF50" si="33">+BG18+BH18</f>
        <v>0</v>
      </c>
      <c r="BG18" s="374"/>
      <c r="BH18" s="374"/>
      <c r="BI18" s="155">
        <f t="shared" ref="BI18:BI50" si="34">+BJ18+BK18</f>
        <v>0</v>
      </c>
      <c r="BJ18" s="374"/>
      <c r="BK18" s="374"/>
      <c r="BL18" s="155">
        <f t="shared" ref="BL18:BL50" si="35">+BM18+BN18</f>
        <v>0</v>
      </c>
      <c r="BM18" s="374"/>
      <c r="BN18" s="374"/>
      <c r="BO18" s="155">
        <f t="shared" ref="BO18:BO50" si="36">+BP18+BQ18</f>
        <v>0</v>
      </c>
      <c r="BP18" s="374"/>
      <c r="BQ18" s="374"/>
      <c r="BR18" s="155">
        <f t="shared" ref="BR18:BR50" si="37">+BS18+BT18</f>
        <v>0</v>
      </c>
      <c r="BS18" s="374"/>
      <c r="BT18" s="374"/>
      <c r="BU18" s="155"/>
      <c r="BV18" s="155">
        <f t="shared" ref="BV18:BV50" si="38">+BW18+BX18</f>
        <v>0</v>
      </c>
      <c r="BW18" s="374"/>
      <c r="BX18" s="374"/>
      <c r="BY18" s="155"/>
      <c r="BZ18" s="155">
        <f t="shared" ref="BZ18:BZ50" si="39">+CA18+CB18</f>
        <v>0</v>
      </c>
      <c r="CA18" s="374"/>
      <c r="CB18" s="374"/>
      <c r="CC18" s="155">
        <f t="shared" ref="CC18:CC50" si="40">+CD18+CE18</f>
        <v>0</v>
      </c>
      <c r="CD18" s="374"/>
      <c r="CE18" s="374"/>
      <c r="CF18" s="155"/>
      <c r="CG18" s="155">
        <f t="shared" ref="CG18:CG50" si="41">+CH18+CI18</f>
        <v>0</v>
      </c>
      <c r="CH18" s="374"/>
      <c r="CI18" s="374"/>
      <c r="CJ18" s="155"/>
      <c r="CK18" s="374"/>
      <c r="CL18" s="374"/>
      <c r="CM18" s="155"/>
      <c r="CN18" s="374"/>
      <c r="CO18" s="374"/>
      <c r="CP18" s="155"/>
      <c r="CQ18" s="374"/>
      <c r="CR18" s="374"/>
      <c r="CS18" s="155">
        <f t="shared" ref="CS18:CS50" si="42">+CT18+CU18</f>
        <v>0</v>
      </c>
      <c r="CT18" s="374"/>
      <c r="CU18" s="374"/>
      <c r="CV18" s="155"/>
      <c r="CW18" s="155">
        <f t="shared" ref="CW18:CW50" si="43">+CX18+CY18</f>
        <v>0</v>
      </c>
      <c r="CX18" s="374"/>
      <c r="CY18" s="374"/>
      <c r="CZ18" s="155">
        <f t="shared" ref="CZ18:CZ50" si="44">+DA18+DB18</f>
        <v>0</v>
      </c>
      <c r="DA18" s="374"/>
      <c r="DB18" s="374"/>
      <c r="DC18" s="155">
        <f t="shared" ref="DC18:DC50" si="45">+DD18+DE18</f>
        <v>0</v>
      </c>
      <c r="DD18" s="374"/>
      <c r="DE18" s="374"/>
      <c r="DF18" s="155"/>
      <c r="DG18" s="155">
        <f t="shared" ref="DG18:DG50" si="46">+DH18+DI18+DJ18</f>
        <v>0</v>
      </c>
      <c r="DH18" s="374"/>
      <c r="DI18" s="374"/>
      <c r="DJ18" s="374"/>
      <c r="DK18" s="155"/>
      <c r="DL18" s="155"/>
      <c r="DM18" s="155"/>
      <c r="DN18" s="155"/>
      <c r="DO18" s="155"/>
      <c r="DP18" s="155"/>
      <c r="DQ18" s="155"/>
      <c r="DR18" s="155"/>
      <c r="DS18" s="374"/>
      <c r="DT18" s="374"/>
      <c r="DU18" s="155"/>
      <c r="DV18" s="155"/>
      <c r="DW18" s="377"/>
      <c r="DX18" s="190">
        <f t="shared" ref="DX18:DX73" si="47">+G18+H18+I18+K18+M18+N18+O18+R18+S18+T18+U18+V18+W18+Y18+Z18+AA18+AB18+AE18+AH18+AK18+AL18+AM18+AN18+AQ18+AZ18+BF18+BI18+BL18+BO18+BR18+BU18+BV18+BY18+BZ18+CC18+CF18+CG18+CJ18+CM18+CP18+CS18+CV18+CW18+CZ18+DC18+DF18+DG18+DK18+DL18+DM18+DN18+DO18+DQ18+DR18+DU18+DV18+DW18-S18</f>
        <v>0</v>
      </c>
      <c r="DY18" s="341">
        <f t="shared" si="21"/>
        <v>0</v>
      </c>
      <c r="DZ18" s="342"/>
      <c r="EA18" s="373">
        <f t="shared" si="22"/>
        <v>0</v>
      </c>
      <c r="EC18" s="326"/>
    </row>
    <row r="19" spans="1:133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v>195000</v>
      </c>
      <c r="F19" s="373">
        <f t="shared" ref="F19:F51" si="48">SUM(G19:O19)+SUM(T19:AB19)+AE19+AH19+SUM(AK19:AN19)+AQ19+AZ19+BF19+BI19+BL19+BO19+BR19+BU19+BV19+BY19+BZ19+CC19+SUM(CF19:CG19)+CP19+CS19+CV19+CW19+CZ19+DC19+DF19+DG19+SUM(DK19:DR19)+CJ19+CM19+SUM(DU19:DW19)+R19+AT19+AW19+BC19</f>
        <v>195000</v>
      </c>
      <c r="G19" s="234"/>
      <c r="H19" s="155"/>
      <c r="I19" s="155"/>
      <c r="J19" s="155"/>
      <c r="K19" s="155"/>
      <c r="L19" s="155"/>
      <c r="M19" s="155"/>
      <c r="N19" s="155"/>
      <c r="O19" s="155">
        <f t="shared" si="23"/>
        <v>0</v>
      </c>
      <c r="P19" s="374"/>
      <c r="Q19" s="375"/>
      <c r="R19" s="155"/>
      <c r="S19" s="384">
        <f t="shared" ref="S19:S21" si="49">+Q19+AP19+CE19+CB19+BX19+DJ19+AD19+AJ19+AS19+BB19+BH19+BK19+BN19+BQ19+BT19+CI19+CU19+CY19+DB19+DE19+AG19+DT19</f>
        <v>0</v>
      </c>
      <c r="T19" s="155">
        <f>'[2]Pečovatelská služba'!$B$4</f>
        <v>20000</v>
      </c>
      <c r="U19" s="155"/>
      <c r="V19" s="155">
        <f>'[2]Městská policie'!$B$4</f>
        <v>95000</v>
      </c>
      <c r="W19" s="155"/>
      <c r="X19" s="155"/>
      <c r="Y19" s="155"/>
      <c r="Z19" s="155"/>
      <c r="AA19" s="155"/>
      <c r="AB19" s="155">
        <f t="shared" si="24"/>
        <v>0</v>
      </c>
      <c r="AC19" s="374"/>
      <c r="AD19" s="374"/>
      <c r="AE19" s="155">
        <f t="shared" si="25"/>
        <v>0</v>
      </c>
      <c r="AF19" s="374"/>
      <c r="AG19" s="374"/>
      <c r="AH19" s="155">
        <f t="shared" si="26"/>
        <v>0</v>
      </c>
      <c r="AI19" s="374"/>
      <c r="AJ19" s="374"/>
      <c r="AK19" s="155">
        <f>[2]Hasiči!$B$4</f>
        <v>80000</v>
      </c>
      <c r="AL19" s="155"/>
      <c r="AM19" s="155"/>
      <c r="AN19" s="155">
        <f t="shared" si="27"/>
        <v>0</v>
      </c>
      <c r="AO19" s="374"/>
      <c r="AP19" s="374"/>
      <c r="AQ19" s="155">
        <f t="shared" si="28"/>
        <v>0</v>
      </c>
      <c r="AR19" s="374"/>
      <c r="AS19" s="374"/>
      <c r="AT19" s="155">
        <f t="shared" si="29"/>
        <v>0</v>
      </c>
      <c r="AU19" s="374"/>
      <c r="AV19" s="374"/>
      <c r="AW19" s="155">
        <f t="shared" si="30"/>
        <v>0</v>
      </c>
      <c r="AX19" s="374"/>
      <c r="AY19" s="374"/>
      <c r="AZ19" s="155">
        <f t="shared" si="31"/>
        <v>0</v>
      </c>
      <c r="BA19" s="374"/>
      <c r="BB19" s="374"/>
      <c r="BC19" s="155">
        <f t="shared" si="32"/>
        <v>0</v>
      </c>
      <c r="BD19" s="374"/>
      <c r="BE19" s="374"/>
      <c r="BF19" s="155">
        <f t="shared" si="33"/>
        <v>0</v>
      </c>
      <c r="BG19" s="374"/>
      <c r="BH19" s="374"/>
      <c r="BI19" s="155">
        <f t="shared" si="34"/>
        <v>0</v>
      </c>
      <c r="BJ19" s="374"/>
      <c r="BK19" s="374"/>
      <c r="BL19" s="155">
        <f t="shared" si="35"/>
        <v>0</v>
      </c>
      <c r="BM19" s="374"/>
      <c r="BN19" s="374"/>
      <c r="BO19" s="155">
        <f t="shared" si="36"/>
        <v>0</v>
      </c>
      <c r="BP19" s="374"/>
      <c r="BQ19" s="374"/>
      <c r="BR19" s="155">
        <f t="shared" si="37"/>
        <v>0</v>
      </c>
      <c r="BS19" s="374"/>
      <c r="BT19" s="374"/>
      <c r="BU19" s="155"/>
      <c r="BV19" s="155">
        <f t="shared" si="38"/>
        <v>0</v>
      </c>
      <c r="BW19" s="374"/>
      <c r="BX19" s="374"/>
      <c r="BY19" s="155"/>
      <c r="BZ19" s="155">
        <f t="shared" si="39"/>
        <v>0</v>
      </c>
      <c r="CA19" s="374"/>
      <c r="CB19" s="374"/>
      <c r="CC19" s="155">
        <f t="shared" si="40"/>
        <v>0</v>
      </c>
      <c r="CD19" s="374"/>
      <c r="CE19" s="374"/>
      <c r="CF19" s="155"/>
      <c r="CG19" s="155">
        <f t="shared" si="41"/>
        <v>0</v>
      </c>
      <c r="CH19" s="374"/>
      <c r="CI19" s="374"/>
      <c r="CJ19" s="155"/>
      <c r="CK19" s="374"/>
      <c r="CL19" s="374"/>
      <c r="CM19" s="155"/>
      <c r="CN19" s="374"/>
      <c r="CO19" s="374"/>
      <c r="CP19" s="155"/>
      <c r="CQ19" s="374"/>
      <c r="CR19" s="374"/>
      <c r="CS19" s="155">
        <f t="shared" si="42"/>
        <v>0</v>
      </c>
      <c r="CT19" s="374"/>
      <c r="CU19" s="374"/>
      <c r="CV19" s="155"/>
      <c r="CW19" s="155">
        <f t="shared" si="43"/>
        <v>0</v>
      </c>
      <c r="CX19" s="374"/>
      <c r="CY19" s="374"/>
      <c r="CZ19" s="155">
        <f t="shared" si="44"/>
        <v>0</v>
      </c>
      <c r="DA19" s="374"/>
      <c r="DB19" s="374"/>
      <c r="DC19" s="155">
        <f t="shared" si="45"/>
        <v>0</v>
      </c>
      <c r="DD19" s="374"/>
      <c r="DE19" s="374"/>
      <c r="DF19" s="155"/>
      <c r="DG19" s="155">
        <f t="shared" si="46"/>
        <v>0</v>
      </c>
      <c r="DI19" s="374"/>
      <c r="DJ19" s="374"/>
      <c r="DK19" s="155"/>
      <c r="DL19" s="155"/>
      <c r="DM19" s="155"/>
      <c r="DN19" s="155"/>
      <c r="DO19" s="155"/>
      <c r="DP19" s="155"/>
      <c r="DQ19" s="155"/>
      <c r="DR19" s="155"/>
      <c r="DS19" s="374"/>
      <c r="DT19" s="374"/>
      <c r="DU19" s="155"/>
      <c r="DV19" s="155"/>
      <c r="DW19" s="377"/>
      <c r="DX19" s="190">
        <f>+G19+H19+I19+K19+M19+N19+O19+R19+S19+T19+U19+V19+W19+Y19+Z19+AA19+AB19+AE19+AH19+AK19+AL19+AM19+AN19+AQ19+AZ19+BF19+BI19+BL19+BO19+BR19+BU19+BV19+BY19+BZ19+CC19+CF19+CG19+CJ19+CM19+CP19+CS19+CV19+CW19+CZ19+DC19+DF19+DG19+DK19+DL19+DM19+DN19+DO19+DQ19+DR19+DU19+DV19+DW19+BC19+AW19+AT19+X19-S19</f>
        <v>195000</v>
      </c>
      <c r="DY19" s="341">
        <f t="shared" si="21"/>
        <v>0</v>
      </c>
      <c r="DZ19" s="342"/>
      <c r="EA19" s="373">
        <f t="shared" si="22"/>
        <v>0</v>
      </c>
      <c r="EC19" s="326"/>
    </row>
    <row r="20" spans="1:133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313000</v>
      </c>
      <c r="E20" s="373">
        <v>313000</v>
      </c>
      <c r="F20" s="373">
        <f t="shared" si="48"/>
        <v>313000</v>
      </c>
      <c r="G20" s="234"/>
      <c r="H20" s="155"/>
      <c r="I20" s="155"/>
      <c r="J20" s="155"/>
      <c r="K20" s="155"/>
      <c r="L20" s="155"/>
      <c r="M20" s="155">
        <f>[2]Zastupitelé!$B$4</f>
        <v>8000</v>
      </c>
      <c r="N20" s="155"/>
      <c r="O20" s="155">
        <f t="shared" si="23"/>
        <v>45000</v>
      </c>
      <c r="P20" s="374">
        <f>[2]Správa!$D$4</f>
        <v>45000</v>
      </c>
      <c r="Q20" s="375">
        <f>[2]Správa!$E$4</f>
        <v>0</v>
      </c>
      <c r="R20" s="155"/>
      <c r="S20" s="384">
        <f t="shared" si="49"/>
        <v>0</v>
      </c>
      <c r="T20" s="155"/>
      <c r="U20" s="155"/>
      <c r="V20" s="155">
        <f>'[2]Městská policie'!$B$11</f>
        <v>5000</v>
      </c>
      <c r="W20" s="155">
        <f>[2]Kronika!$B$4</f>
        <v>5000</v>
      </c>
      <c r="X20" s="155"/>
      <c r="Y20" s="155">
        <f>[2]Knihovna!$B$4</f>
        <v>250000</v>
      </c>
      <c r="Z20" s="155"/>
      <c r="AA20" s="155"/>
      <c r="AB20" s="155">
        <f t="shared" si="24"/>
        <v>0</v>
      </c>
      <c r="AC20" s="374"/>
      <c r="AD20" s="374"/>
      <c r="AE20" s="155">
        <f t="shared" si="25"/>
        <v>0</v>
      </c>
      <c r="AF20" s="374"/>
      <c r="AG20" s="374"/>
      <c r="AH20" s="155">
        <f t="shared" si="26"/>
        <v>0</v>
      </c>
      <c r="AI20" s="374"/>
      <c r="AJ20" s="374"/>
      <c r="AK20" s="155"/>
      <c r="AL20" s="155"/>
      <c r="AM20" s="155"/>
      <c r="AN20" s="155">
        <f t="shared" si="27"/>
        <v>0</v>
      </c>
      <c r="AO20" s="374"/>
      <c r="AP20" s="374"/>
      <c r="AQ20" s="155">
        <f t="shared" si="28"/>
        <v>0</v>
      </c>
      <c r="AR20" s="374"/>
      <c r="AS20" s="374"/>
      <c r="AT20" s="155">
        <f t="shared" si="29"/>
        <v>0</v>
      </c>
      <c r="AU20" s="374"/>
      <c r="AV20" s="374"/>
      <c r="AW20" s="155">
        <f t="shared" si="30"/>
        <v>0</v>
      </c>
      <c r="AX20" s="374"/>
      <c r="AY20" s="374"/>
      <c r="AZ20" s="155">
        <f t="shared" si="31"/>
        <v>0</v>
      </c>
      <c r="BA20" s="374"/>
      <c r="BB20" s="374"/>
      <c r="BC20" s="155">
        <f t="shared" si="32"/>
        <v>0</v>
      </c>
      <c r="BD20" s="374"/>
      <c r="BE20" s="374"/>
      <c r="BF20" s="155">
        <f t="shared" si="33"/>
        <v>0</v>
      </c>
      <c r="BG20" s="374"/>
      <c r="BH20" s="374"/>
      <c r="BI20" s="155">
        <f t="shared" si="34"/>
        <v>0</v>
      </c>
      <c r="BJ20" s="374"/>
      <c r="BK20" s="374"/>
      <c r="BL20" s="155">
        <f t="shared" si="35"/>
        <v>0</v>
      </c>
      <c r="BM20" s="374"/>
      <c r="BN20" s="374"/>
      <c r="BO20" s="155">
        <f t="shared" si="36"/>
        <v>0</v>
      </c>
      <c r="BP20" s="374"/>
      <c r="BQ20" s="374"/>
      <c r="BR20" s="155">
        <f t="shared" si="37"/>
        <v>0</v>
      </c>
      <c r="BS20" s="374"/>
      <c r="BT20" s="374"/>
      <c r="BU20" s="155"/>
      <c r="BV20" s="155">
        <f t="shared" si="38"/>
        <v>0</v>
      </c>
      <c r="BW20" s="374"/>
      <c r="BX20" s="374"/>
      <c r="BY20" s="155"/>
      <c r="BZ20" s="155">
        <f t="shared" si="39"/>
        <v>0</v>
      </c>
      <c r="CA20" s="374"/>
      <c r="CB20" s="374"/>
      <c r="CC20" s="155">
        <f t="shared" si="40"/>
        <v>0</v>
      </c>
      <c r="CD20" s="374"/>
      <c r="CE20" s="374"/>
      <c r="CF20" s="155"/>
      <c r="CG20" s="155">
        <f t="shared" si="41"/>
        <v>0</v>
      </c>
      <c r="CH20" s="374"/>
      <c r="CI20" s="374"/>
      <c r="CJ20" s="155"/>
      <c r="CK20" s="374"/>
      <c r="CL20" s="374"/>
      <c r="CM20" s="155"/>
      <c r="CN20" s="374"/>
      <c r="CO20" s="374"/>
      <c r="CP20" s="155"/>
      <c r="CQ20" s="374"/>
      <c r="CR20" s="374"/>
      <c r="CS20" s="155">
        <f t="shared" si="42"/>
        <v>0</v>
      </c>
      <c r="CT20" s="374"/>
      <c r="CU20" s="374"/>
      <c r="CV20" s="155"/>
      <c r="CW20" s="155">
        <f t="shared" si="43"/>
        <v>0</v>
      </c>
      <c r="CX20" s="374"/>
      <c r="CY20" s="374"/>
      <c r="CZ20" s="155">
        <f t="shared" si="44"/>
        <v>0</v>
      </c>
      <c r="DA20" s="374"/>
      <c r="DB20" s="374"/>
      <c r="DC20" s="155">
        <f t="shared" si="45"/>
        <v>0</v>
      </c>
      <c r="DD20" s="374"/>
      <c r="DE20" s="374"/>
      <c r="DF20" s="155"/>
      <c r="DG20" s="155">
        <f t="shared" si="46"/>
        <v>0</v>
      </c>
      <c r="DH20" s="374"/>
      <c r="DI20" s="374"/>
      <c r="DJ20" s="374"/>
      <c r="DK20" s="155"/>
      <c r="DL20" s="155"/>
      <c r="DM20" s="155"/>
      <c r="DN20" s="155"/>
      <c r="DO20" s="155"/>
      <c r="DP20" s="155"/>
      <c r="DQ20" s="155"/>
      <c r="DR20" s="155"/>
      <c r="DS20" s="374"/>
      <c r="DT20" s="374"/>
      <c r="DU20" s="155"/>
      <c r="DV20" s="155"/>
      <c r="DW20" s="377"/>
      <c r="DX20" s="190">
        <f t="shared" ref="DX20:DX51" si="50">+G20+H20+I20+K20+M20+N20+O20+R20+S20+T20+U20+V20+W20+Y20+Z20+AA20+AB20+AE20+AH20+AK20+AL20+AM20+AN20+AQ20+AZ20+BF20+BI20+BL20+BO20+BR20+BU20+BV20+BY20+BZ20+CC20+CF20+CG20+CJ20+CM20+CP20+CS20+CV20+CW20+CZ20+DC20+DF20+DG20+DK20+DL20+DM20+DN20+DO20+DQ20+DR20+DU20+DV20+DW20+BC20+AW20+AT20+X20-S20</f>
        <v>313000</v>
      </c>
      <c r="DY20" s="341">
        <f t="shared" si="21"/>
        <v>0</v>
      </c>
      <c r="DZ20" s="342"/>
      <c r="EA20" s="373">
        <f t="shared" si="22"/>
        <v>0</v>
      </c>
      <c r="EC20" s="326"/>
    </row>
    <row r="21" spans="1:133" ht="13.5" customHeight="1" outlineLevel="1" x14ac:dyDescent="0.25">
      <c r="A21" s="222">
        <v>5137</v>
      </c>
      <c r="B21" s="205" t="s">
        <v>76</v>
      </c>
      <c r="C21" s="373">
        <v>1665000</v>
      </c>
      <c r="D21" s="373">
        <v>2110000</v>
      </c>
      <c r="E21" s="373">
        <v>2110000</v>
      </c>
      <c r="F21" s="373">
        <f t="shared" si="48"/>
        <v>2110000</v>
      </c>
      <c r="G21" s="234"/>
      <c r="H21" s="155"/>
      <c r="I21" s="155"/>
      <c r="J21" s="155"/>
      <c r="K21" s="155"/>
      <c r="L21" s="155">
        <f>'[2]Participativní rozpočet'!$B$4+'[3]Particitivní rozpočet'!$B$4</f>
        <v>0</v>
      </c>
      <c r="M21" s="155">
        <f>[2]Zastupitelé!$B$10</f>
        <v>50000</v>
      </c>
      <c r="N21" s="155">
        <f>'[4]Volby '!$B$11</f>
        <v>0</v>
      </c>
      <c r="O21" s="155">
        <f t="shared" si="23"/>
        <v>850000</v>
      </c>
      <c r="P21" s="374">
        <f>[2]Správa!$D$11</f>
        <v>850000</v>
      </c>
      <c r="Q21" s="375">
        <f>[2]Správa!$E$11</f>
        <v>0</v>
      </c>
      <c r="R21" s="155"/>
      <c r="S21" s="384">
        <f t="shared" si="49"/>
        <v>0</v>
      </c>
      <c r="T21" s="155">
        <f>'[2]Pečovatelská služba'!$B$11</f>
        <v>50000</v>
      </c>
      <c r="U21" s="155"/>
      <c r="V21" s="155">
        <f>'[2]Městská policie'!$B$18</f>
        <v>150000</v>
      </c>
      <c r="W21" s="155"/>
      <c r="X21" s="155">
        <f>'[3]Hotel Budka'!$B$4</f>
        <v>0</v>
      </c>
      <c r="Y21" s="155">
        <f>[2]Knihovna!$B$11</f>
        <v>120000</v>
      </c>
      <c r="Z21" s="155"/>
      <c r="AA21" s="155">
        <f>[2]Kultura!$B$4</f>
        <v>120000</v>
      </c>
      <c r="AB21" s="155">
        <f t="shared" si="24"/>
        <v>100000</v>
      </c>
      <c r="AC21" s="374">
        <f>[3]Byty!$D$4</f>
        <v>100000</v>
      </c>
      <c r="AD21" s="374">
        <f>+[3]Byty!$E$4</f>
        <v>0</v>
      </c>
      <c r="AE21" s="155">
        <f t="shared" si="25"/>
        <v>20000</v>
      </c>
      <c r="AF21" s="374">
        <f>+[3]DPS!$D$4</f>
        <v>20000</v>
      </c>
      <c r="AG21" s="374">
        <f>+[3]DPS!$E$4</f>
        <v>0</v>
      </c>
      <c r="AH21" s="155">
        <f t="shared" si="26"/>
        <v>0</v>
      </c>
      <c r="AI21" s="374"/>
      <c r="AJ21" s="374"/>
      <c r="AK21" s="155">
        <f>[2]Hasiči!$B$11</f>
        <v>500000</v>
      </c>
      <c r="AL21" s="155"/>
      <c r="AM21" s="155"/>
      <c r="AN21" s="155">
        <f t="shared" si="27"/>
        <v>0</v>
      </c>
      <c r="AO21" s="374"/>
      <c r="AP21" s="374"/>
      <c r="AQ21" s="155">
        <f t="shared" si="28"/>
        <v>0</v>
      </c>
      <c r="AR21" s="374"/>
      <c r="AS21" s="374"/>
      <c r="AT21" s="155">
        <f t="shared" si="29"/>
        <v>0</v>
      </c>
      <c r="AU21" s="374"/>
      <c r="AV21" s="374"/>
      <c r="AW21" s="155">
        <f t="shared" si="30"/>
        <v>0</v>
      </c>
      <c r="AX21" s="374"/>
      <c r="AY21" s="374"/>
      <c r="AZ21" s="155">
        <f t="shared" si="31"/>
        <v>0</v>
      </c>
      <c r="BA21" s="374"/>
      <c r="BB21" s="374"/>
      <c r="BC21" s="155">
        <f t="shared" si="32"/>
        <v>0</v>
      </c>
      <c r="BD21" s="374"/>
      <c r="BE21" s="374"/>
      <c r="BF21" s="155">
        <f t="shared" si="33"/>
        <v>50000</v>
      </c>
      <c r="BG21" s="374">
        <f>[2]č.p.65!$D$4</f>
        <v>50000</v>
      </c>
      <c r="BH21" s="374">
        <f>[2]č.p.65!$E$4</f>
        <v>0</v>
      </c>
      <c r="BI21" s="155">
        <f t="shared" si="34"/>
        <v>0</v>
      </c>
      <c r="BJ21" s="374"/>
      <c r="BK21" s="374"/>
      <c r="BL21" s="155">
        <f t="shared" si="35"/>
        <v>0</v>
      </c>
      <c r="BM21" s="374"/>
      <c r="BN21" s="374"/>
      <c r="BO21" s="155">
        <f t="shared" si="36"/>
        <v>0</v>
      </c>
      <c r="BP21" s="374"/>
      <c r="BQ21" s="374"/>
      <c r="BR21" s="155">
        <f t="shared" si="37"/>
        <v>0</v>
      </c>
      <c r="BS21" s="374"/>
      <c r="BT21" s="374"/>
      <c r="BU21" s="155"/>
      <c r="BV21" s="155">
        <f t="shared" si="38"/>
        <v>0</v>
      </c>
      <c r="BW21" s="374"/>
      <c r="BX21" s="374"/>
      <c r="BY21" s="155"/>
      <c r="BZ21" s="155">
        <f t="shared" si="39"/>
        <v>0</v>
      </c>
      <c r="CA21" s="374"/>
      <c r="CB21" s="374"/>
      <c r="CC21" s="155">
        <f t="shared" si="40"/>
        <v>100000</v>
      </c>
      <c r="CD21" s="374">
        <f>+[3]Silnice!$D$4</f>
        <v>100000</v>
      </c>
      <c r="CE21" s="374">
        <f>+[3]Silnice!$E$4</f>
        <v>0</v>
      </c>
      <c r="CF21" s="155"/>
      <c r="CG21" s="155">
        <f t="shared" si="41"/>
        <v>0</v>
      </c>
      <c r="CH21" s="374"/>
      <c r="CI21" s="374"/>
      <c r="CJ21" s="155"/>
      <c r="CK21" s="374"/>
      <c r="CL21" s="374"/>
      <c r="CM21" s="155"/>
      <c r="CN21" s="374"/>
      <c r="CO21" s="374"/>
      <c r="CP21" s="155"/>
      <c r="CQ21" s="374"/>
      <c r="CR21" s="374"/>
      <c r="CS21" s="155">
        <f t="shared" si="42"/>
        <v>0</v>
      </c>
      <c r="CT21" s="374"/>
      <c r="CU21" s="374"/>
      <c r="CV21" s="155"/>
      <c r="CW21" s="155">
        <f t="shared" si="43"/>
        <v>0</v>
      </c>
      <c r="CX21" s="374"/>
      <c r="CY21" s="374"/>
      <c r="CZ21" s="155">
        <f t="shared" si="44"/>
        <v>0</v>
      </c>
      <c r="DA21" s="374"/>
      <c r="DB21" s="374"/>
      <c r="DC21" s="155">
        <f t="shared" si="45"/>
        <v>0</v>
      </c>
      <c r="DD21" s="374"/>
      <c r="DE21" s="374"/>
      <c r="DF21" s="155"/>
      <c r="DG21" s="155">
        <f t="shared" si="46"/>
        <v>0</v>
      </c>
      <c r="DH21" s="374"/>
      <c r="DI21" s="374"/>
      <c r="DJ21" s="374"/>
      <c r="DK21" s="155"/>
      <c r="DL21" s="155"/>
      <c r="DM21" s="155"/>
      <c r="DN21" s="155"/>
      <c r="DO21" s="155"/>
      <c r="DP21" s="155"/>
      <c r="DQ21" s="155"/>
      <c r="DR21" s="155"/>
      <c r="DS21" s="374"/>
      <c r="DT21" s="374"/>
      <c r="DU21" s="155"/>
      <c r="DV21" s="155"/>
      <c r="DW21" s="377"/>
      <c r="DX21" s="190">
        <f t="shared" si="50"/>
        <v>2110000</v>
      </c>
      <c r="DY21" s="341">
        <f t="shared" si="21"/>
        <v>0</v>
      </c>
      <c r="DZ21" s="342"/>
      <c r="EA21" s="373">
        <f t="shared" si="22"/>
        <v>0</v>
      </c>
      <c r="EC21" s="326"/>
    </row>
    <row r="22" spans="1:133" ht="13.5" customHeight="1" outlineLevel="1" x14ac:dyDescent="0.25">
      <c r="A22" s="222">
        <v>5139</v>
      </c>
      <c r="B22" s="205" t="s">
        <v>77</v>
      </c>
      <c r="C22" s="373">
        <v>2188000</v>
      </c>
      <c r="D22" s="373">
        <v>2069000</v>
      </c>
      <c r="E22" s="373">
        <v>2119000</v>
      </c>
      <c r="F22" s="2601">
        <f>SUM(G22:O22)+SUM(T22:AB22)+AE22+AH22+SUM(AK22:AN22)+AQ22+AZ22+BF22+BI22+BL22+BO22+BR22+BU22+BV22+BY22+BZ22+CC22+SUM(CF22:CG22)+CP22+CS22+CV22+CW22+CZ22+DC22+DF22+DG22+SUM(DK22:DR22)+CJ22+CM22+SUM(DU22:DW22)+R22+AT22+AW22+BC22</f>
        <v>2269000</v>
      </c>
      <c r="G22" s="234"/>
      <c r="H22" s="155"/>
      <c r="I22" s="155"/>
      <c r="J22" s="155"/>
      <c r="K22" s="155"/>
      <c r="L22" s="155">
        <f>+'[2]Participativní rozpočet'!$B$11+'[3]Particitivní rozpočet'!$B$11</f>
        <v>0</v>
      </c>
      <c r="M22" s="155">
        <f>[2]Zastupitelé!$B$17</f>
        <v>55000</v>
      </c>
      <c r="N22" s="155">
        <f>'[4]Volby '!$B$18</f>
        <v>0</v>
      </c>
      <c r="O22" s="155">
        <f t="shared" si="23"/>
        <v>720000</v>
      </c>
      <c r="P22" s="374">
        <f>[2]Správa!$D$18</f>
        <v>650000</v>
      </c>
      <c r="Q22" s="375">
        <f>[2]Správa!$E$18</f>
        <v>70000</v>
      </c>
      <c r="R22" s="155"/>
      <c r="S22" s="385">
        <f>+Q22+AP22+CE22+CB22+BX22+DJ22+AD22+AJ22+AS22+BB22+BH22+BK22+BN22+BQ22+BT22+CI22+CU22+CY22+DB22+DE22+AG22+DT22</f>
        <v>90000</v>
      </c>
      <c r="T22" s="155">
        <f>'[2]Pečovatelská služba'!$B$18</f>
        <v>70000</v>
      </c>
      <c r="U22" s="155"/>
      <c r="V22" s="155">
        <f>'[2]Městská policie'!$B$28</f>
        <v>30000</v>
      </c>
      <c r="W22" s="155">
        <f>[2]Kronika!$B$11</f>
        <v>4000</v>
      </c>
      <c r="X22" s="155">
        <f>'[3]Hotel Budka'!$B$11</f>
        <v>0</v>
      </c>
      <c r="Y22" s="155">
        <f>[2]Knihovna!$B$19</f>
        <v>40000</v>
      </c>
      <c r="Z22" s="155"/>
      <c r="AA22" s="155">
        <f>[2]Kultura!$B$13</f>
        <v>100000</v>
      </c>
      <c r="AB22" s="155">
        <f t="shared" si="24"/>
        <v>50000</v>
      </c>
      <c r="AC22" s="374">
        <f>+[3]Byty!$D$11</f>
        <v>50000</v>
      </c>
      <c r="AD22" s="374">
        <f>+[3]Byty!$E$11</f>
        <v>0</v>
      </c>
      <c r="AE22" s="155">
        <f t="shared" si="25"/>
        <v>100000</v>
      </c>
      <c r="AF22" s="374">
        <f>+[3]DPS!$D$12</f>
        <v>100000</v>
      </c>
      <c r="AG22" s="374">
        <f>+[3]DPS!$E$12</f>
        <v>0</v>
      </c>
      <c r="AH22" s="155">
        <f t="shared" si="26"/>
        <v>0</v>
      </c>
      <c r="AI22" s="374"/>
      <c r="AJ22" s="374"/>
      <c r="AK22" s="155">
        <f>+[3]Hasiči!$B$4+[2]Hasiči!$B$19</f>
        <v>70000</v>
      </c>
      <c r="AL22" s="155"/>
      <c r="AM22" s="155"/>
      <c r="AN22" s="155">
        <f t="shared" ref="AN22" si="51">+AO22+AP22</f>
        <v>50000</v>
      </c>
      <c r="AO22" s="374">
        <f>+[3]Hřbitov!$D$4</f>
        <v>30000</v>
      </c>
      <c r="AP22" s="374">
        <f>+[3]Hřbitov!$E$4</f>
        <v>20000</v>
      </c>
      <c r="AQ22" s="155">
        <f t="shared" si="28"/>
        <v>0</v>
      </c>
      <c r="AR22" s="374"/>
      <c r="AS22" s="374"/>
      <c r="AT22" s="155">
        <f t="shared" si="29"/>
        <v>0</v>
      </c>
      <c r="AU22" s="374"/>
      <c r="AV22" s="374"/>
      <c r="AW22" s="155">
        <f t="shared" si="30"/>
        <v>0</v>
      </c>
      <c r="AX22" s="374"/>
      <c r="AY22" s="374"/>
      <c r="AZ22" s="155">
        <f t="shared" si="31"/>
        <v>0</v>
      </c>
      <c r="BA22" s="374"/>
      <c r="BB22" s="374"/>
      <c r="BC22" s="155">
        <f t="shared" si="32"/>
        <v>0</v>
      </c>
      <c r="BD22" s="374"/>
      <c r="BE22" s="374"/>
      <c r="BF22" s="155">
        <f t="shared" si="33"/>
        <v>30000</v>
      </c>
      <c r="BG22" s="374">
        <f>[2]č.p.65!$D$11</f>
        <v>30000</v>
      </c>
      <c r="BH22" s="374">
        <f>[2]č.p.65!$E$11</f>
        <v>0</v>
      </c>
      <c r="BI22" s="155">
        <f t="shared" si="34"/>
        <v>0</v>
      </c>
      <c r="BJ22" s="374"/>
      <c r="BK22" s="374"/>
      <c r="BL22" s="155">
        <f t="shared" si="35"/>
        <v>0</v>
      </c>
      <c r="BM22" s="374"/>
      <c r="BN22" s="374"/>
      <c r="BO22" s="155">
        <f t="shared" si="36"/>
        <v>0</v>
      </c>
      <c r="BP22" s="374"/>
      <c r="BQ22" s="374"/>
      <c r="BR22" s="155">
        <f t="shared" si="37"/>
        <v>0</v>
      </c>
      <c r="BS22" s="374"/>
      <c r="BT22" s="374"/>
      <c r="BU22" s="155"/>
      <c r="BV22" s="155">
        <f t="shared" si="38"/>
        <v>0</v>
      </c>
      <c r="BW22" s="374"/>
      <c r="BX22" s="374"/>
      <c r="BY22" s="155"/>
      <c r="BZ22" s="155">
        <f t="shared" si="39"/>
        <v>150000</v>
      </c>
      <c r="CA22" s="374">
        <f>+[3]VO!$D$4</f>
        <v>150000</v>
      </c>
      <c r="CB22" s="374">
        <f>+[3]VO!$E$4</f>
        <v>0</v>
      </c>
      <c r="CC22" s="155">
        <f t="shared" si="40"/>
        <v>550000</v>
      </c>
      <c r="CD22" s="374">
        <f>'[5]Silnice nákup materiálu'!$D$3</f>
        <v>550000</v>
      </c>
      <c r="CE22" s="374">
        <f>'[5]Silnice nákup materiálu'!$E$3</f>
        <v>0</v>
      </c>
      <c r="CF22" s="155"/>
      <c r="CG22" s="155">
        <f t="shared" si="41"/>
        <v>0</v>
      </c>
      <c r="CH22" s="374"/>
      <c r="CI22" s="374"/>
      <c r="CJ22" s="155"/>
      <c r="CK22" s="374"/>
      <c r="CL22" s="374"/>
      <c r="CM22" s="155"/>
      <c r="CN22" s="374"/>
      <c r="CO22" s="374"/>
      <c r="CP22" s="155"/>
      <c r="CQ22" s="374"/>
      <c r="CR22" s="374"/>
      <c r="CS22" s="155">
        <f t="shared" si="42"/>
        <v>0</v>
      </c>
      <c r="CT22" s="374"/>
      <c r="CU22" s="374"/>
      <c r="CV22" s="155"/>
      <c r="CW22" s="155">
        <f t="shared" si="43"/>
        <v>0</v>
      </c>
      <c r="CX22" s="374"/>
      <c r="CY22" s="374"/>
      <c r="CZ22" s="155">
        <f t="shared" si="44"/>
        <v>0</v>
      </c>
      <c r="DA22" s="374"/>
      <c r="DB22" s="374"/>
      <c r="DC22" s="155">
        <f t="shared" si="45"/>
        <v>0</v>
      </c>
      <c r="DD22" s="374"/>
      <c r="DE22" s="374"/>
      <c r="DF22" s="155"/>
      <c r="DG22" s="340">
        <f>+DH22+DI22+DJ22</f>
        <v>250000</v>
      </c>
      <c r="DH22" s="374">
        <f>'[6]Příroda 3749'!$D$4</f>
        <v>250000</v>
      </c>
      <c r="DI22" s="374"/>
      <c r="DJ22" s="386">
        <f>'[6]Příroda 3749'!$E$4</f>
        <v>0</v>
      </c>
      <c r="DK22" s="155"/>
      <c r="DL22" s="155"/>
      <c r="DM22" s="155"/>
      <c r="DN22" s="155"/>
      <c r="DO22" s="155">
        <v>0</v>
      </c>
      <c r="DP22" s="155"/>
      <c r="DQ22" s="155"/>
      <c r="DR22" s="155"/>
      <c r="DS22" s="374"/>
      <c r="DT22" s="386"/>
      <c r="DU22" s="155"/>
      <c r="DV22" s="155"/>
      <c r="DW22" s="377"/>
      <c r="DX22" s="190">
        <f t="shared" si="50"/>
        <v>2269000</v>
      </c>
      <c r="DY22" s="341">
        <f t="shared" si="21"/>
        <v>0</v>
      </c>
      <c r="DZ22" s="885"/>
      <c r="EA22" s="373">
        <f t="shared" si="22"/>
        <v>90000</v>
      </c>
      <c r="EC22" s="326"/>
    </row>
    <row r="23" spans="1:133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710000</v>
      </c>
      <c r="E23" s="373">
        <v>710000</v>
      </c>
      <c r="F23" s="373">
        <f t="shared" si="48"/>
        <v>710000</v>
      </c>
      <c r="G23" s="234"/>
      <c r="H23" s="155"/>
      <c r="I23" s="155"/>
      <c r="J23" s="155"/>
      <c r="K23" s="155"/>
      <c r="L23" s="155"/>
      <c r="M23" s="155"/>
      <c r="N23" s="155"/>
      <c r="O23" s="155">
        <f t="shared" si="23"/>
        <v>35000</v>
      </c>
      <c r="P23" s="374">
        <f>[4]Správa!$B$4</f>
        <v>35000</v>
      </c>
      <c r="Q23" s="375"/>
      <c r="R23" s="155"/>
      <c r="S23" s="384">
        <f t="shared" ref="S23:S50" si="52">+Q23+AP23+CE23+CB23+BX23+DJ23+AD23+AJ23+AS23+BB23+BH23+BK23+BN23+BQ23+BT23+CI23+CU23+CY23+DB23+DE23+AG23+DT23</f>
        <v>0</v>
      </c>
      <c r="T23" s="155"/>
      <c r="U23" s="155"/>
      <c r="V23" s="155"/>
      <c r="W23" s="155"/>
      <c r="X23" s="155">
        <f>'[4]Hotel Budka'!$B$4</f>
        <v>32000</v>
      </c>
      <c r="Y23" s="155">
        <f>[4]Knihovna!$B$4</f>
        <v>5000</v>
      </c>
      <c r="Z23" s="155"/>
      <c r="AA23" s="155"/>
      <c r="AB23" s="155">
        <f t="shared" si="24"/>
        <v>30000</v>
      </c>
      <c r="AC23" s="374">
        <f>[4]Byty!$B$4</f>
        <v>30000</v>
      </c>
      <c r="AD23" s="374"/>
      <c r="AE23" s="155">
        <f t="shared" si="25"/>
        <v>500000</v>
      </c>
      <c r="AF23" s="374">
        <f>[4]DPS!$B$4</f>
        <v>500000</v>
      </c>
      <c r="AG23" s="374"/>
      <c r="AH23" s="155">
        <f t="shared" si="26"/>
        <v>30000</v>
      </c>
      <c r="AI23" s="374">
        <f>[4]Nebyty!$B$4</f>
        <v>30000</v>
      </c>
      <c r="AJ23" s="374"/>
      <c r="AK23" s="155">
        <f>[4]Hasiči!$B$4</f>
        <v>3000</v>
      </c>
      <c r="AL23" s="155"/>
      <c r="AM23" s="155"/>
      <c r="AN23" s="155">
        <f t="shared" si="27"/>
        <v>10000</v>
      </c>
      <c r="AO23" s="374">
        <f>+[3]Hřbitov!$B$11</f>
        <v>10000</v>
      </c>
      <c r="AP23" s="374"/>
      <c r="AQ23" s="155">
        <f>+AR23+AS23</f>
        <v>0</v>
      </c>
      <c r="AR23" s="374"/>
      <c r="AS23" s="374"/>
      <c r="AT23" s="155">
        <f>+AU23+AV23</f>
        <v>0</v>
      </c>
      <c r="AU23" s="374"/>
      <c r="AV23" s="374"/>
      <c r="AW23" s="155">
        <f>+AX23+AY23</f>
        <v>0</v>
      </c>
      <c r="AX23" s="374"/>
      <c r="AY23" s="374"/>
      <c r="AZ23" s="155">
        <f t="shared" si="31"/>
        <v>30000</v>
      </c>
      <c r="BA23" s="374">
        <f>[4]ZŠ!$B$4</f>
        <v>30000</v>
      </c>
      <c r="BB23" s="374"/>
      <c r="BC23" s="155">
        <f t="shared" si="32"/>
        <v>0</v>
      </c>
      <c r="BD23" s="374">
        <f>[4]SŠ!$B$4</f>
        <v>0</v>
      </c>
      <c r="BE23" s="374"/>
      <c r="BF23" s="155">
        <f t="shared" si="33"/>
        <v>20000</v>
      </c>
      <c r="BG23" s="374">
        <f>[4]č.p.65!$B$4</f>
        <v>20000</v>
      </c>
      <c r="BH23" s="374"/>
      <c r="BI23" s="155">
        <f t="shared" si="34"/>
        <v>0</v>
      </c>
      <c r="BJ23" s="374"/>
      <c r="BK23" s="374"/>
      <c r="BL23" s="155">
        <f t="shared" si="35"/>
        <v>0</v>
      </c>
      <c r="BM23" s="374"/>
      <c r="BN23" s="374"/>
      <c r="BO23" s="155">
        <f t="shared" si="36"/>
        <v>0</v>
      </c>
      <c r="BP23" s="374"/>
      <c r="BQ23" s="374"/>
      <c r="BR23" s="155">
        <f t="shared" si="37"/>
        <v>0</v>
      </c>
      <c r="BS23" s="374"/>
      <c r="BT23" s="374"/>
      <c r="BU23" s="155"/>
      <c r="BV23" s="155">
        <f t="shared" si="38"/>
        <v>0</v>
      </c>
      <c r="BW23" s="374"/>
      <c r="BX23" s="374"/>
      <c r="BY23" s="155"/>
      <c r="BZ23" s="155">
        <f t="shared" si="39"/>
        <v>0</v>
      </c>
      <c r="CA23" s="374"/>
      <c r="CB23" s="374"/>
      <c r="CC23" s="155">
        <f t="shared" si="40"/>
        <v>15000</v>
      </c>
      <c r="CD23" s="374">
        <f>[4]Silnice!$D$4</f>
        <v>15000</v>
      </c>
      <c r="CE23" s="374">
        <f>[4]Silnice!$E$4</f>
        <v>0</v>
      </c>
      <c r="CF23" s="155"/>
      <c r="CG23" s="155">
        <f t="shared" si="41"/>
        <v>0</v>
      </c>
      <c r="CH23" s="374"/>
      <c r="CI23" s="374"/>
      <c r="CJ23" s="155"/>
      <c r="CK23" s="374"/>
      <c r="CL23" s="374"/>
      <c r="CM23" s="155"/>
      <c r="CN23" s="374"/>
      <c r="CO23" s="374"/>
      <c r="CP23" s="155"/>
      <c r="CQ23" s="374"/>
      <c r="CR23" s="374"/>
      <c r="CS23" s="155">
        <f t="shared" si="42"/>
        <v>0</v>
      </c>
      <c r="CT23" s="374"/>
      <c r="CU23" s="374"/>
      <c r="CV23" s="155"/>
      <c r="CW23" s="155">
        <f t="shared" si="43"/>
        <v>0</v>
      </c>
      <c r="CX23" s="374"/>
      <c r="CY23" s="374"/>
      <c r="CZ23" s="155">
        <f t="shared" si="44"/>
        <v>0</v>
      </c>
      <c r="DA23" s="374"/>
      <c r="DB23" s="374"/>
      <c r="DC23" s="155">
        <f t="shared" si="45"/>
        <v>0</v>
      </c>
      <c r="DD23" s="374"/>
      <c r="DE23" s="374"/>
      <c r="DF23" s="155"/>
      <c r="DG23" s="155">
        <f t="shared" si="46"/>
        <v>0</v>
      </c>
      <c r="DH23" s="374"/>
      <c r="DI23" s="374"/>
      <c r="DJ23" s="374"/>
      <c r="DK23" s="155"/>
      <c r="DL23" s="155"/>
      <c r="DM23" s="155"/>
      <c r="DN23" s="155"/>
      <c r="DO23" s="155"/>
      <c r="DP23" s="155"/>
      <c r="DQ23" s="155"/>
      <c r="DR23" s="155"/>
      <c r="DS23" s="374"/>
      <c r="DT23" s="374"/>
      <c r="DU23" s="155"/>
      <c r="DV23" s="155"/>
      <c r="DW23" s="377"/>
      <c r="DX23" s="190">
        <f t="shared" si="50"/>
        <v>710000</v>
      </c>
      <c r="DY23" s="341">
        <f t="shared" si="21"/>
        <v>0</v>
      </c>
      <c r="DZ23" s="342"/>
      <c r="EA23" s="373">
        <f t="shared" si="22"/>
        <v>0</v>
      </c>
      <c r="EC23" s="326"/>
    </row>
    <row r="24" spans="1:133" s="441" customFormat="1" ht="13.5" customHeight="1" outlineLevel="1" x14ac:dyDescent="0.25">
      <c r="A24" s="222">
        <v>5153</v>
      </c>
      <c r="B24" s="205" t="s">
        <v>79</v>
      </c>
      <c r="C24" s="373">
        <v>4334000</v>
      </c>
      <c r="D24" s="373">
        <v>7263500</v>
      </c>
      <c r="E24" s="373">
        <v>5440450</v>
      </c>
      <c r="F24" s="373">
        <f t="shared" si="48"/>
        <v>5440450</v>
      </c>
      <c r="G24" s="234"/>
      <c r="H24" s="155"/>
      <c r="I24" s="155"/>
      <c r="J24" s="155"/>
      <c r="K24" s="155"/>
      <c r="L24" s="155"/>
      <c r="M24" s="155"/>
      <c r="N24" s="155"/>
      <c r="O24" s="155">
        <f t="shared" si="23"/>
        <v>546000</v>
      </c>
      <c r="P24" s="374">
        <f>[4]Správa!$B$11</f>
        <v>546000</v>
      </c>
      <c r="Q24" s="375"/>
      <c r="R24" s="155"/>
      <c r="S24" s="384">
        <f t="shared" si="52"/>
        <v>0</v>
      </c>
      <c r="T24" s="155"/>
      <c r="U24" s="155"/>
      <c r="V24" s="155"/>
      <c r="W24" s="155"/>
      <c r="X24" s="155">
        <f>'[4]Hotel Budka'!$B$11</f>
        <v>343200</v>
      </c>
      <c r="Y24" s="155">
        <f>[4]Knihovna!$B$11</f>
        <v>9750</v>
      </c>
      <c r="Z24" s="155"/>
      <c r="AA24" s="155"/>
      <c r="AB24" s="155">
        <f t="shared" si="24"/>
        <v>234000</v>
      </c>
      <c r="AC24" s="374">
        <f>[4]Byty!$B$11</f>
        <v>234000</v>
      </c>
      <c r="AD24" s="374"/>
      <c r="AE24" s="155">
        <f t="shared" si="25"/>
        <v>1815000</v>
      </c>
      <c r="AF24" s="374">
        <f>[4]DPS!$B$11</f>
        <v>1815000</v>
      </c>
      <c r="AG24" s="374"/>
      <c r="AH24" s="155">
        <f t="shared" si="26"/>
        <v>975000</v>
      </c>
      <c r="AI24" s="374">
        <f>[4]Nebyty!$B$11</f>
        <v>975000</v>
      </c>
      <c r="AJ24" s="374"/>
      <c r="AK24" s="155">
        <f>[4]Hasiči!$B$11</f>
        <v>97500</v>
      </c>
      <c r="AL24" s="155"/>
      <c r="AM24" s="155"/>
      <c r="AN24" s="155">
        <f t="shared" si="27"/>
        <v>0</v>
      </c>
      <c r="AO24" s="374"/>
      <c r="AP24" s="374"/>
      <c r="AQ24" s="155">
        <f t="shared" si="28"/>
        <v>0</v>
      </c>
      <c r="AR24" s="374"/>
      <c r="AS24" s="374"/>
      <c r="AT24" s="155">
        <f t="shared" ref="AT24:AT46" si="53">+AU24+AV24</f>
        <v>0</v>
      </c>
      <c r="AU24" s="374"/>
      <c r="AV24" s="374"/>
      <c r="AW24" s="155">
        <f t="shared" ref="AW24:AW46" si="54">+AX24+AY24</f>
        <v>0</v>
      </c>
      <c r="AX24" s="374"/>
      <c r="AY24" s="374"/>
      <c r="AZ24" s="155">
        <f t="shared" si="31"/>
        <v>1225000</v>
      </c>
      <c r="BA24" s="374">
        <f>[4]ZŠ!$B$11</f>
        <v>1225000</v>
      </c>
      <c r="BB24" s="374"/>
      <c r="BC24" s="155">
        <f t="shared" si="32"/>
        <v>0</v>
      </c>
      <c r="BD24" s="374">
        <f>[4]SŠ!$B$11</f>
        <v>0</v>
      </c>
      <c r="BE24" s="374"/>
      <c r="BF24" s="155">
        <f t="shared" si="33"/>
        <v>195000</v>
      </c>
      <c r="BG24" s="374">
        <f>[4]č.p.65!$B$11</f>
        <v>195000</v>
      </c>
      <c r="BH24" s="374"/>
      <c r="BI24" s="155">
        <f t="shared" si="34"/>
        <v>0</v>
      </c>
      <c r="BJ24" s="374"/>
      <c r="BK24" s="374"/>
      <c r="BL24" s="155">
        <f t="shared" si="35"/>
        <v>0</v>
      </c>
      <c r="BM24" s="374"/>
      <c r="BN24" s="374"/>
      <c r="BO24" s="155">
        <f t="shared" si="36"/>
        <v>0</v>
      </c>
      <c r="BP24" s="374"/>
      <c r="BQ24" s="374"/>
      <c r="BR24" s="155">
        <f t="shared" si="37"/>
        <v>0</v>
      </c>
      <c r="BS24" s="374"/>
      <c r="BT24" s="374"/>
      <c r="BU24" s="155"/>
      <c r="BV24" s="155">
        <f t="shared" si="38"/>
        <v>0</v>
      </c>
      <c r="BW24" s="374"/>
      <c r="BX24" s="374"/>
      <c r="BY24" s="155"/>
      <c r="BZ24" s="155">
        <f t="shared" si="39"/>
        <v>0</v>
      </c>
      <c r="CA24" s="374"/>
      <c r="CB24" s="374"/>
      <c r="CC24" s="155">
        <f t="shared" si="40"/>
        <v>0</v>
      </c>
      <c r="CD24" s="374"/>
      <c r="CE24" s="374"/>
      <c r="CF24" s="155"/>
      <c r="CG24" s="155">
        <f t="shared" si="41"/>
        <v>0</v>
      </c>
      <c r="CH24" s="374"/>
      <c r="CI24" s="374"/>
      <c r="CJ24" s="155"/>
      <c r="CK24" s="374"/>
      <c r="CL24" s="374"/>
      <c r="CM24" s="155"/>
      <c r="CN24" s="374"/>
      <c r="CO24" s="374"/>
      <c r="CP24" s="155"/>
      <c r="CQ24" s="374"/>
      <c r="CR24" s="374"/>
      <c r="CS24" s="155">
        <f t="shared" si="42"/>
        <v>0</v>
      </c>
      <c r="CT24" s="374"/>
      <c r="CU24" s="374"/>
      <c r="CV24" s="155"/>
      <c r="CW24" s="155">
        <f t="shared" si="43"/>
        <v>0</v>
      </c>
      <c r="CX24" s="374"/>
      <c r="CY24" s="374"/>
      <c r="CZ24" s="155">
        <f t="shared" si="44"/>
        <v>0</v>
      </c>
      <c r="DA24" s="374"/>
      <c r="DB24" s="374"/>
      <c r="DC24" s="155">
        <f t="shared" si="45"/>
        <v>0</v>
      </c>
      <c r="DD24" s="374"/>
      <c r="DE24" s="374"/>
      <c r="DF24" s="155"/>
      <c r="DG24" s="155">
        <f t="shared" si="46"/>
        <v>0</v>
      </c>
      <c r="DH24" s="374"/>
      <c r="DI24" s="374"/>
      <c r="DJ24" s="374"/>
      <c r="DK24" s="155"/>
      <c r="DL24" s="155"/>
      <c r="DM24" s="155"/>
      <c r="DN24" s="155"/>
      <c r="DO24" s="155"/>
      <c r="DP24" s="155"/>
      <c r="DQ24" s="155"/>
      <c r="DR24" s="155"/>
      <c r="DS24" s="374"/>
      <c r="DT24" s="374"/>
      <c r="DU24" s="155"/>
      <c r="DV24" s="155"/>
      <c r="DW24" s="377"/>
      <c r="DX24" s="190">
        <f t="shared" si="50"/>
        <v>5440450</v>
      </c>
      <c r="DY24" s="341">
        <f t="shared" si="21"/>
        <v>0</v>
      </c>
      <c r="DZ24" s="342"/>
      <c r="EA24" s="373">
        <f t="shared" si="22"/>
        <v>0</v>
      </c>
      <c r="EC24" s="326"/>
    </row>
    <row r="25" spans="1:133" ht="13.5" customHeight="1" outlineLevel="1" x14ac:dyDescent="0.25">
      <c r="A25" s="222">
        <v>5154</v>
      </c>
      <c r="B25" s="205" t="s">
        <v>80</v>
      </c>
      <c r="C25" s="373">
        <v>4778397</v>
      </c>
      <c r="D25" s="373">
        <v>8314000</v>
      </c>
      <c r="E25" s="373">
        <v>7444800</v>
      </c>
      <c r="F25" s="373">
        <f t="shared" si="48"/>
        <v>7444800</v>
      </c>
      <c r="G25" s="234"/>
      <c r="H25" s="155"/>
      <c r="I25" s="155"/>
      <c r="J25" s="155"/>
      <c r="K25" s="155"/>
      <c r="L25" s="155"/>
      <c r="M25" s="155"/>
      <c r="N25" s="155"/>
      <c r="O25" s="155">
        <f t="shared" si="23"/>
        <v>884000</v>
      </c>
      <c r="P25" s="374">
        <f>[4]Správa!$B$18</f>
        <v>884000</v>
      </c>
      <c r="Q25" s="375"/>
      <c r="R25" s="155"/>
      <c r="S25" s="384">
        <f t="shared" si="52"/>
        <v>0</v>
      </c>
      <c r="T25" s="155"/>
      <c r="U25" s="155"/>
      <c r="V25" s="155"/>
      <c r="W25" s="155"/>
      <c r="X25" s="155">
        <f>'[4]Hotel Budka'!$B$18</f>
        <v>260000</v>
      </c>
      <c r="Y25" s="155">
        <f>[4]Knihovna!$B$18</f>
        <v>230100</v>
      </c>
      <c r="Z25" s="155"/>
      <c r="AA25" s="155"/>
      <c r="AB25" s="155">
        <f t="shared" si="24"/>
        <v>195000</v>
      </c>
      <c r="AC25" s="374">
        <f>[4]Byty!$B$18</f>
        <v>195000</v>
      </c>
      <c r="AD25" s="374"/>
      <c r="AE25" s="155">
        <f t="shared" si="25"/>
        <v>585000</v>
      </c>
      <c r="AF25" s="374">
        <f>[4]DPS!$B$18</f>
        <v>585000</v>
      </c>
      <c r="AG25" s="374"/>
      <c r="AH25" s="155">
        <f t="shared" si="26"/>
        <v>605800</v>
      </c>
      <c r="AI25" s="374">
        <f>[4]Nebyty!$B$18</f>
        <v>605800</v>
      </c>
      <c r="AJ25" s="374"/>
      <c r="AK25" s="155">
        <f>[4]Hasiči!$B$18</f>
        <v>106400</v>
      </c>
      <c r="AL25" s="155"/>
      <c r="AM25" s="155">
        <f>[4]TESKO!$B$4</f>
        <v>0</v>
      </c>
      <c r="AN25" s="155">
        <f t="shared" si="27"/>
        <v>0</v>
      </c>
      <c r="AO25" s="374"/>
      <c r="AP25" s="374"/>
      <c r="AQ25" s="155">
        <f t="shared" si="28"/>
        <v>0</v>
      </c>
      <c r="AR25" s="374">
        <f>[4]Koupaliště!$B$4</f>
        <v>0</v>
      </c>
      <c r="AS25" s="374"/>
      <c r="AT25" s="155">
        <f t="shared" si="53"/>
        <v>60000</v>
      </c>
      <c r="AU25" s="374">
        <f>[4]Hřiště!$B$4</f>
        <v>60000</v>
      </c>
      <c r="AV25" s="374"/>
      <c r="AW25" s="155">
        <f t="shared" si="54"/>
        <v>0</v>
      </c>
      <c r="AX25" s="374"/>
      <c r="AY25" s="374"/>
      <c r="AZ25" s="155">
        <f t="shared" si="31"/>
        <v>643500</v>
      </c>
      <c r="BA25" s="374">
        <f>[4]ZŠ!$B$18</f>
        <v>643500</v>
      </c>
      <c r="BB25" s="374"/>
      <c r="BC25" s="155">
        <f t="shared" si="32"/>
        <v>0</v>
      </c>
      <c r="BD25" s="374">
        <f>[4]SŠ!$B$18</f>
        <v>0</v>
      </c>
      <c r="BE25" s="374"/>
      <c r="BF25" s="155">
        <f t="shared" si="33"/>
        <v>195000</v>
      </c>
      <c r="BG25" s="374">
        <f>[4]č.p.65!$B$18</f>
        <v>195000</v>
      </c>
      <c r="BH25" s="374"/>
      <c r="BI25" s="155">
        <f t="shared" si="34"/>
        <v>0</v>
      </c>
      <c r="BJ25" s="374"/>
      <c r="BK25" s="374"/>
      <c r="BL25" s="155">
        <f t="shared" si="35"/>
        <v>0</v>
      </c>
      <c r="BM25" s="374"/>
      <c r="BN25" s="374"/>
      <c r="BO25" s="155">
        <f t="shared" si="36"/>
        <v>0</v>
      </c>
      <c r="BP25" s="374"/>
      <c r="BQ25" s="374"/>
      <c r="BR25" s="155">
        <f t="shared" si="37"/>
        <v>0</v>
      </c>
      <c r="BS25" s="374"/>
      <c r="BT25" s="374"/>
      <c r="BU25" s="155"/>
      <c r="BV25" s="155">
        <f t="shared" si="38"/>
        <v>0</v>
      </c>
      <c r="BW25" s="374"/>
      <c r="BX25" s="374"/>
      <c r="BY25" s="155"/>
      <c r="BZ25" s="155">
        <f t="shared" si="39"/>
        <v>3030000</v>
      </c>
      <c r="CA25" s="374">
        <f>+[3]VO!$D$12</f>
        <v>3030000</v>
      </c>
      <c r="CB25" s="374">
        <f>+[3]VO!$E$12</f>
        <v>0</v>
      </c>
      <c r="CC25" s="155">
        <f t="shared" si="40"/>
        <v>200000</v>
      </c>
      <c r="CD25" s="374">
        <f>+[3]Silnice!$D$11</f>
        <v>200000</v>
      </c>
      <c r="CE25" s="374">
        <f>+[3]Silnice!$E$11</f>
        <v>0</v>
      </c>
      <c r="CF25" s="155">
        <f>[5]Doprava!$B$4</f>
        <v>50000</v>
      </c>
      <c r="CG25" s="155">
        <f t="shared" si="41"/>
        <v>320000</v>
      </c>
      <c r="CH25" s="374">
        <f>+[3]Vodovod!$D$4</f>
        <v>320000</v>
      </c>
      <c r="CI25" s="374">
        <f>+[3]Vodovod!$E$4</f>
        <v>0</v>
      </c>
      <c r="CJ25" s="155"/>
      <c r="CK25" s="374"/>
      <c r="CL25" s="374"/>
      <c r="CM25" s="155">
        <f>+CN25+CO25</f>
        <v>80000</v>
      </c>
      <c r="CN25" s="374">
        <f>+[3]Kanalizace!$D$4</f>
        <v>80000</v>
      </c>
      <c r="CO25" s="374">
        <f>+[3]Kanalizace!$E$4</f>
        <v>0</v>
      </c>
      <c r="CP25" s="155"/>
      <c r="CQ25" s="374"/>
      <c r="CR25" s="374"/>
      <c r="CS25" s="155">
        <f t="shared" si="42"/>
        <v>0</v>
      </c>
      <c r="CT25" s="374"/>
      <c r="CU25" s="374"/>
      <c r="CV25" s="155"/>
      <c r="CW25" s="155">
        <f t="shared" si="43"/>
        <v>0</v>
      </c>
      <c r="CX25" s="374"/>
      <c r="CY25" s="374"/>
      <c r="CZ25" s="155">
        <f t="shared" si="44"/>
        <v>0</v>
      </c>
      <c r="DA25" s="374"/>
      <c r="DB25" s="374"/>
      <c r="DC25" s="155">
        <f t="shared" si="45"/>
        <v>0</v>
      </c>
      <c r="DD25" s="374"/>
      <c r="DE25" s="374"/>
      <c r="DF25" s="155"/>
      <c r="DG25" s="155">
        <f t="shared" si="46"/>
        <v>0</v>
      </c>
      <c r="DH25" s="374"/>
      <c r="DI25" s="374"/>
      <c r="DJ25" s="374"/>
      <c r="DK25" s="155"/>
      <c r="DL25" s="155"/>
      <c r="DM25" s="155"/>
      <c r="DN25" s="155"/>
      <c r="DO25" s="155"/>
      <c r="DP25" s="155"/>
      <c r="DQ25" s="155"/>
      <c r="DR25" s="155">
        <f>+DS25+DT25</f>
        <v>0</v>
      </c>
      <c r="DS25" s="374">
        <f>'[6]TSÚ-Sběrný dvůr 3722-36'!$D$4</f>
        <v>0</v>
      </c>
      <c r="DT25" s="374">
        <f>'[6]TSÚ-Sběrný dvůr 3722-36'!$E$4</f>
        <v>0</v>
      </c>
      <c r="DU25" s="155"/>
      <c r="DV25" s="155"/>
      <c r="DW25" s="377"/>
      <c r="DX25" s="190">
        <f t="shared" si="50"/>
        <v>7444800</v>
      </c>
      <c r="DY25" s="341">
        <f t="shared" si="21"/>
        <v>0</v>
      </c>
      <c r="DZ25" s="342"/>
      <c r="EA25" s="373">
        <f t="shared" si="22"/>
        <v>0</v>
      </c>
      <c r="EC25" s="326"/>
    </row>
    <row r="26" spans="1:133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640000</v>
      </c>
      <c r="E26" s="373">
        <v>640000</v>
      </c>
      <c r="F26" s="373">
        <f t="shared" si="48"/>
        <v>640000</v>
      </c>
      <c r="G26" s="234"/>
      <c r="H26" s="155"/>
      <c r="I26" s="155"/>
      <c r="J26" s="155"/>
      <c r="K26" s="155"/>
      <c r="L26" s="155">
        <f>+'[3]Particitivní rozpočet'!$B$18+'[2]Participativní rozpočet'!$B$18</f>
        <v>0</v>
      </c>
      <c r="M26" s="155">
        <f>[2]Zastupitelé!$B$24</f>
        <v>75000</v>
      </c>
      <c r="N26" s="155"/>
      <c r="O26" s="155">
        <f t="shared" si="23"/>
        <v>75000</v>
      </c>
      <c r="P26" s="374">
        <f>[2]Správa!$D$25</f>
        <v>75000</v>
      </c>
      <c r="Q26" s="375">
        <f>[2]Správa!$E$25</f>
        <v>0</v>
      </c>
      <c r="R26" s="155"/>
      <c r="S26" s="384">
        <f t="shared" si="52"/>
        <v>0</v>
      </c>
      <c r="T26" s="155">
        <f>'[2]Pečovatelská služba'!$B$25</f>
        <v>200000</v>
      </c>
      <c r="U26" s="155"/>
      <c r="V26" s="155">
        <f>'[2]Městská policie'!$B$35</f>
        <v>240000</v>
      </c>
      <c r="W26" s="155"/>
      <c r="X26" s="155"/>
      <c r="Y26" s="155"/>
      <c r="Z26" s="155"/>
      <c r="AA26" s="155"/>
      <c r="AB26" s="155">
        <f t="shared" si="24"/>
        <v>0</v>
      </c>
      <c r="AC26" s="374"/>
      <c r="AD26" s="374"/>
      <c r="AE26" s="155">
        <f t="shared" si="25"/>
        <v>0</v>
      </c>
      <c r="AF26" s="374"/>
      <c r="AG26" s="374"/>
      <c r="AH26" s="155">
        <f t="shared" si="26"/>
        <v>0</v>
      </c>
      <c r="AI26" s="374"/>
      <c r="AJ26" s="374"/>
      <c r="AK26" s="155">
        <f>+[3]Hasiči!$B$11</f>
        <v>50000</v>
      </c>
      <c r="AL26" s="155"/>
      <c r="AM26" s="155"/>
      <c r="AN26" s="155">
        <f t="shared" si="27"/>
        <v>0</v>
      </c>
      <c r="AO26" s="374"/>
      <c r="AP26" s="374"/>
      <c r="AQ26" s="155">
        <f t="shared" si="28"/>
        <v>0</v>
      </c>
      <c r="AR26" s="374"/>
      <c r="AS26" s="374"/>
      <c r="AT26" s="155">
        <f t="shared" si="53"/>
        <v>0</v>
      </c>
      <c r="AU26" s="374"/>
      <c r="AV26" s="374"/>
      <c r="AW26" s="155">
        <f t="shared" si="54"/>
        <v>0</v>
      </c>
      <c r="AX26" s="374"/>
      <c r="AY26" s="374"/>
      <c r="AZ26" s="155">
        <f t="shared" si="31"/>
        <v>0</v>
      </c>
      <c r="BA26" s="374"/>
      <c r="BB26" s="374"/>
      <c r="BC26" s="155">
        <f t="shared" si="32"/>
        <v>0</v>
      </c>
      <c r="BD26" s="374"/>
      <c r="BE26" s="374"/>
      <c r="BF26" s="155">
        <f t="shared" si="33"/>
        <v>0</v>
      </c>
      <c r="BG26" s="374"/>
      <c r="BH26" s="374"/>
      <c r="BI26" s="155">
        <f t="shared" si="34"/>
        <v>0</v>
      </c>
      <c r="BJ26" s="374"/>
      <c r="BK26" s="374"/>
      <c r="BL26" s="155">
        <f t="shared" si="35"/>
        <v>0</v>
      </c>
      <c r="BM26" s="374"/>
      <c r="BN26" s="374"/>
      <c r="BO26" s="155">
        <f t="shared" si="36"/>
        <v>0</v>
      </c>
      <c r="BP26" s="374"/>
      <c r="BQ26" s="374"/>
      <c r="BR26" s="155">
        <f t="shared" si="37"/>
        <v>0</v>
      </c>
      <c r="BS26" s="374"/>
      <c r="BT26" s="374"/>
      <c r="BU26" s="155"/>
      <c r="BV26" s="155">
        <f t="shared" si="38"/>
        <v>0</v>
      </c>
      <c r="BW26" s="374"/>
      <c r="BX26" s="374"/>
      <c r="BY26" s="155"/>
      <c r="BZ26" s="155">
        <f t="shared" si="39"/>
        <v>0</v>
      </c>
      <c r="CA26" s="374"/>
      <c r="CB26" s="374"/>
      <c r="CC26" s="155">
        <f t="shared" si="40"/>
        <v>0</v>
      </c>
      <c r="CD26" s="374"/>
      <c r="CE26" s="374"/>
      <c r="CF26" s="155"/>
      <c r="CG26" s="155">
        <f t="shared" si="41"/>
        <v>0</v>
      </c>
      <c r="CH26" s="374"/>
      <c r="CI26" s="374"/>
      <c r="CJ26" s="155"/>
      <c r="CK26" s="374"/>
      <c r="CL26" s="374"/>
      <c r="CM26" s="155"/>
      <c r="CN26" s="374"/>
      <c r="CO26" s="374"/>
      <c r="CP26" s="155"/>
      <c r="CQ26" s="374"/>
      <c r="CR26" s="374"/>
      <c r="CS26" s="155">
        <f t="shared" si="42"/>
        <v>0</v>
      </c>
      <c r="CT26" s="374"/>
      <c r="CU26" s="374"/>
      <c r="CV26" s="155"/>
      <c r="CW26" s="155">
        <f t="shared" si="43"/>
        <v>0</v>
      </c>
      <c r="CX26" s="374"/>
      <c r="CY26" s="374"/>
      <c r="CZ26" s="155">
        <f t="shared" si="44"/>
        <v>0</v>
      </c>
      <c r="DA26" s="374"/>
      <c r="DB26" s="374"/>
      <c r="DC26" s="155">
        <f t="shared" si="45"/>
        <v>0</v>
      </c>
      <c r="DD26" s="374"/>
      <c r="DE26" s="374"/>
      <c r="DF26" s="155"/>
      <c r="DG26" s="155">
        <f t="shared" si="46"/>
        <v>0</v>
      </c>
      <c r="DH26" s="374"/>
      <c r="DI26" s="374"/>
      <c r="DJ26" s="374"/>
      <c r="DK26" s="155"/>
      <c r="DL26" s="155"/>
      <c r="DM26" s="155"/>
      <c r="DN26" s="155"/>
      <c r="DO26" s="155"/>
      <c r="DP26" s="155"/>
      <c r="DQ26" s="155"/>
      <c r="DR26" s="155"/>
      <c r="DS26" s="374"/>
      <c r="DT26" s="374"/>
      <c r="DU26" s="155"/>
      <c r="DV26" s="155"/>
      <c r="DW26" s="377"/>
      <c r="DX26" s="190">
        <f t="shared" si="50"/>
        <v>640000</v>
      </c>
      <c r="DY26" s="341">
        <f t="shared" si="21"/>
        <v>0</v>
      </c>
      <c r="DZ26" s="342"/>
      <c r="EA26" s="373">
        <f t="shared" si="22"/>
        <v>0</v>
      </c>
      <c r="EC26" s="326"/>
    </row>
    <row r="27" spans="1:133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v>695000</v>
      </c>
      <c r="F27" s="373">
        <f t="shared" si="48"/>
        <v>695000</v>
      </c>
      <c r="G27" s="234"/>
      <c r="H27" s="155"/>
      <c r="I27" s="155"/>
      <c r="J27" s="155"/>
      <c r="K27" s="155"/>
      <c r="L27" s="155">
        <f>+'[3]Particitivní rozpočet'!$B$25+'[2]Participativní rozpočet'!$B$25</f>
        <v>0</v>
      </c>
      <c r="M27" s="155"/>
      <c r="N27" s="155"/>
      <c r="O27" s="155">
        <f t="shared" si="23"/>
        <v>650000</v>
      </c>
      <c r="P27" s="374">
        <f>[2]Správa!$D$32</f>
        <v>650000</v>
      </c>
      <c r="Q27" s="375">
        <f>[2]Správa!$E$32</f>
        <v>0</v>
      </c>
      <c r="R27" s="155"/>
      <c r="S27" s="384">
        <f t="shared" si="52"/>
        <v>0</v>
      </c>
      <c r="T27" s="155"/>
      <c r="U27" s="155"/>
      <c r="V27" s="155"/>
      <c r="W27" s="155"/>
      <c r="X27" s="155"/>
      <c r="Y27" s="155">
        <f>[2]Knihovna!$B$26</f>
        <v>5000</v>
      </c>
      <c r="Z27" s="155">
        <f>'[2]Život Úval'!$B$4</f>
        <v>40000</v>
      </c>
      <c r="AA27" s="155"/>
      <c r="AB27" s="155">
        <f t="shared" si="24"/>
        <v>0</v>
      </c>
      <c r="AC27" s="374"/>
      <c r="AD27" s="374"/>
      <c r="AE27" s="155">
        <f t="shared" si="25"/>
        <v>0</v>
      </c>
      <c r="AF27" s="374"/>
      <c r="AG27" s="374"/>
      <c r="AH27" s="155">
        <f t="shared" si="26"/>
        <v>0</v>
      </c>
      <c r="AI27" s="374"/>
      <c r="AJ27" s="374"/>
      <c r="AK27" s="155"/>
      <c r="AL27" s="155"/>
      <c r="AM27" s="155"/>
      <c r="AN27" s="155">
        <f t="shared" si="27"/>
        <v>0</v>
      </c>
      <c r="AO27" s="374"/>
      <c r="AP27" s="374"/>
      <c r="AQ27" s="155">
        <f t="shared" si="28"/>
        <v>0</v>
      </c>
      <c r="AR27" s="374"/>
      <c r="AS27" s="374"/>
      <c r="AT27" s="155">
        <f t="shared" si="53"/>
        <v>0</v>
      </c>
      <c r="AU27" s="374"/>
      <c r="AV27" s="374"/>
      <c r="AW27" s="155">
        <f t="shared" si="54"/>
        <v>0</v>
      </c>
      <c r="AX27" s="374"/>
      <c r="AY27" s="374"/>
      <c r="AZ27" s="155">
        <f t="shared" si="31"/>
        <v>0</v>
      </c>
      <c r="BA27" s="374"/>
      <c r="BB27" s="374"/>
      <c r="BC27" s="155">
        <f t="shared" si="32"/>
        <v>0</v>
      </c>
      <c r="BD27" s="374"/>
      <c r="BE27" s="374"/>
      <c r="BF27" s="155">
        <f t="shared" si="33"/>
        <v>0</v>
      </c>
      <c r="BG27" s="374"/>
      <c r="BH27" s="374"/>
      <c r="BI27" s="155">
        <f t="shared" si="34"/>
        <v>0</v>
      </c>
      <c r="BJ27" s="374"/>
      <c r="BK27" s="374"/>
      <c r="BL27" s="155">
        <f t="shared" si="35"/>
        <v>0</v>
      </c>
      <c r="BM27" s="374"/>
      <c r="BN27" s="374"/>
      <c r="BO27" s="155">
        <f t="shared" si="36"/>
        <v>0</v>
      </c>
      <c r="BP27" s="374"/>
      <c r="BQ27" s="374"/>
      <c r="BR27" s="155">
        <f t="shared" si="37"/>
        <v>0</v>
      </c>
      <c r="BS27" s="374"/>
      <c r="BT27" s="374"/>
      <c r="BU27" s="155"/>
      <c r="BV27" s="155">
        <f t="shared" si="38"/>
        <v>0</v>
      </c>
      <c r="BW27" s="374"/>
      <c r="BX27" s="374"/>
      <c r="BY27" s="155"/>
      <c r="BZ27" s="155">
        <f t="shared" si="39"/>
        <v>0</v>
      </c>
      <c r="CA27" s="374"/>
      <c r="CB27" s="374"/>
      <c r="CC27" s="155">
        <f t="shared" si="40"/>
        <v>0</v>
      </c>
      <c r="CD27" s="374"/>
      <c r="CE27" s="374"/>
      <c r="CF27" s="155"/>
      <c r="CG27" s="155">
        <f t="shared" si="41"/>
        <v>0</v>
      </c>
      <c r="CH27" s="374"/>
      <c r="CI27" s="374"/>
      <c r="CJ27" s="155"/>
      <c r="CK27" s="374"/>
      <c r="CL27" s="374"/>
      <c r="CM27" s="155"/>
      <c r="CN27" s="374"/>
      <c r="CO27" s="374"/>
      <c r="CP27" s="155"/>
      <c r="CQ27" s="374"/>
      <c r="CR27" s="374"/>
      <c r="CS27" s="155">
        <f t="shared" si="42"/>
        <v>0</v>
      </c>
      <c r="CT27" s="374"/>
      <c r="CU27" s="374"/>
      <c r="CV27" s="155"/>
      <c r="CW27" s="155">
        <f t="shared" si="43"/>
        <v>0</v>
      </c>
      <c r="CX27" s="374"/>
      <c r="CY27" s="374"/>
      <c r="CZ27" s="155">
        <f t="shared" si="44"/>
        <v>0</v>
      </c>
      <c r="DA27" s="374"/>
      <c r="DB27" s="374"/>
      <c r="DC27" s="155">
        <f t="shared" si="45"/>
        <v>0</v>
      </c>
      <c r="DD27" s="374"/>
      <c r="DE27" s="374"/>
      <c r="DF27" s="155"/>
      <c r="DG27" s="155">
        <f t="shared" si="46"/>
        <v>0</v>
      </c>
      <c r="DH27" s="374"/>
      <c r="DI27" s="374"/>
      <c r="DJ27" s="374"/>
      <c r="DK27" s="155"/>
      <c r="DL27" s="155"/>
      <c r="DM27" s="155"/>
      <c r="DN27" s="155"/>
      <c r="DO27" s="155"/>
      <c r="DP27" s="155"/>
      <c r="DQ27" s="155"/>
      <c r="DR27" s="155"/>
      <c r="DS27" s="374"/>
      <c r="DT27" s="374"/>
      <c r="DU27" s="155"/>
      <c r="DV27" s="155"/>
      <c r="DW27" s="377"/>
      <c r="DX27" s="190">
        <f t="shared" si="50"/>
        <v>695000</v>
      </c>
      <c r="DY27" s="341">
        <f t="shared" si="21"/>
        <v>0</v>
      </c>
      <c r="DZ27" s="342"/>
      <c r="EA27" s="373">
        <f t="shared" si="22"/>
        <v>0</v>
      </c>
      <c r="EC27" s="326"/>
    </row>
    <row r="28" spans="1:133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>
        <v>564000</v>
      </c>
      <c r="F28" s="373">
        <f t="shared" si="48"/>
        <v>564000</v>
      </c>
      <c r="G28" s="234"/>
      <c r="H28" s="155"/>
      <c r="I28" s="155"/>
      <c r="J28" s="155"/>
      <c r="K28" s="155"/>
      <c r="L28" s="155">
        <f>+'[3]Particitivní rozpočet'!$B$32+'[2]Participativní rozpočet'!$B$32</f>
        <v>0</v>
      </c>
      <c r="M28" s="155">
        <f>[2]Zastupitelé!$B$31</f>
        <v>50000</v>
      </c>
      <c r="N28" s="155"/>
      <c r="O28" s="155">
        <f t="shared" si="23"/>
        <v>300000</v>
      </c>
      <c r="P28" s="374">
        <f>[2]Správa!$D$39</f>
        <v>300000</v>
      </c>
      <c r="Q28" s="375">
        <f>[2]Správa!$E$39</f>
        <v>0</v>
      </c>
      <c r="R28" s="155"/>
      <c r="S28" s="384">
        <f t="shared" si="52"/>
        <v>0</v>
      </c>
      <c r="T28" s="155">
        <f>'[2]Pečovatelská služba'!$B$32</f>
        <v>12000</v>
      </c>
      <c r="U28" s="155"/>
      <c r="V28" s="155">
        <f>'[2]Městská policie'!$B$49</f>
        <v>80000</v>
      </c>
      <c r="W28" s="155"/>
      <c r="X28" s="155"/>
      <c r="Y28" s="155">
        <f>[2]Knihovna!$B$33</f>
        <v>12000</v>
      </c>
      <c r="Z28" s="155"/>
      <c r="AA28" s="155"/>
      <c r="AB28" s="155">
        <f t="shared" si="24"/>
        <v>0</v>
      </c>
      <c r="AC28" s="374"/>
      <c r="AD28" s="374"/>
      <c r="AE28" s="155">
        <f t="shared" si="25"/>
        <v>60000</v>
      </c>
      <c r="AF28" s="374">
        <f>+[3]DPS!$D$19</f>
        <v>60000</v>
      </c>
      <c r="AG28" s="374">
        <f>+[3]DPS!$E$19</f>
        <v>0</v>
      </c>
      <c r="AH28" s="155">
        <f t="shared" si="26"/>
        <v>0</v>
      </c>
      <c r="AI28" s="374"/>
      <c r="AJ28" s="374"/>
      <c r="AK28" s="155">
        <f>[2]Hasiči!$B$33</f>
        <v>40000</v>
      </c>
      <c r="AL28" s="155"/>
      <c r="AM28" s="155"/>
      <c r="AN28" s="155">
        <f t="shared" si="27"/>
        <v>0</v>
      </c>
      <c r="AO28" s="374"/>
      <c r="AP28" s="374"/>
      <c r="AQ28" s="155">
        <f t="shared" si="28"/>
        <v>0</v>
      </c>
      <c r="AR28" s="374"/>
      <c r="AS28" s="374"/>
      <c r="AT28" s="155">
        <f t="shared" si="53"/>
        <v>0</v>
      </c>
      <c r="AU28" s="374"/>
      <c r="AV28" s="374"/>
      <c r="AW28" s="155">
        <f t="shared" si="54"/>
        <v>0</v>
      </c>
      <c r="AX28" s="374"/>
      <c r="AY28" s="374"/>
      <c r="AZ28" s="155">
        <f t="shared" si="31"/>
        <v>0</v>
      </c>
      <c r="BA28" s="374"/>
      <c r="BB28" s="374"/>
      <c r="BC28" s="155">
        <f t="shared" si="32"/>
        <v>0</v>
      </c>
      <c r="BD28" s="374"/>
      <c r="BE28" s="374"/>
      <c r="BF28" s="155">
        <f t="shared" si="33"/>
        <v>10000</v>
      </c>
      <c r="BG28" s="374">
        <f>[2]č.p.65!$D$18</f>
        <v>10000</v>
      </c>
      <c r="BH28" s="374">
        <f>[2]č.p.65!$E$18</f>
        <v>0</v>
      </c>
      <c r="BI28" s="155">
        <f t="shared" si="34"/>
        <v>0</v>
      </c>
      <c r="BJ28" s="374"/>
      <c r="BK28" s="374"/>
      <c r="BL28" s="155">
        <f t="shared" si="35"/>
        <v>0</v>
      </c>
      <c r="BM28" s="374"/>
      <c r="BN28" s="374"/>
      <c r="BO28" s="155">
        <f t="shared" si="36"/>
        <v>0</v>
      </c>
      <c r="BP28" s="374"/>
      <c r="BQ28" s="374"/>
      <c r="BR28" s="155">
        <f t="shared" si="37"/>
        <v>0</v>
      </c>
      <c r="BS28" s="374"/>
      <c r="BT28" s="374"/>
      <c r="BU28" s="155"/>
      <c r="BV28" s="155">
        <f t="shared" si="38"/>
        <v>0</v>
      </c>
      <c r="BW28" s="374"/>
      <c r="BX28" s="374"/>
      <c r="BY28" s="155"/>
      <c r="BZ28" s="155">
        <f t="shared" si="39"/>
        <v>0</v>
      </c>
      <c r="CA28" s="374"/>
      <c r="CB28" s="374"/>
      <c r="CC28" s="155">
        <f t="shared" si="40"/>
        <v>0</v>
      </c>
      <c r="CD28" s="374"/>
      <c r="CE28" s="374"/>
      <c r="CF28" s="155"/>
      <c r="CG28" s="155">
        <f t="shared" si="41"/>
        <v>0</v>
      </c>
      <c r="CH28" s="374"/>
      <c r="CI28" s="374"/>
      <c r="CJ28" s="155"/>
      <c r="CK28" s="374"/>
      <c r="CL28" s="374"/>
      <c r="CM28" s="155"/>
      <c r="CN28" s="374"/>
      <c r="CO28" s="374"/>
      <c r="CP28" s="155"/>
      <c r="CQ28" s="374"/>
      <c r="CR28" s="374"/>
      <c r="CS28" s="155">
        <f t="shared" si="42"/>
        <v>0</v>
      </c>
      <c r="CT28" s="374"/>
      <c r="CU28" s="374"/>
      <c r="CV28" s="155"/>
      <c r="CW28" s="155">
        <f t="shared" si="43"/>
        <v>0</v>
      </c>
      <c r="CX28" s="374"/>
      <c r="CY28" s="374"/>
      <c r="CZ28" s="155">
        <f t="shared" si="44"/>
        <v>0</v>
      </c>
      <c r="DA28" s="374"/>
      <c r="DB28" s="374"/>
      <c r="DC28" s="155">
        <f t="shared" si="45"/>
        <v>0</v>
      </c>
      <c r="DD28" s="374"/>
      <c r="DE28" s="374"/>
      <c r="DF28" s="155"/>
      <c r="DG28" s="155">
        <f t="shared" si="46"/>
        <v>0</v>
      </c>
      <c r="DH28" s="374"/>
      <c r="DI28" s="374"/>
      <c r="DJ28" s="374"/>
      <c r="DK28" s="155"/>
      <c r="DL28" s="155"/>
      <c r="DM28" s="155"/>
      <c r="DN28" s="155"/>
      <c r="DO28" s="155"/>
      <c r="DP28" s="155"/>
      <c r="DQ28" s="155"/>
      <c r="DR28" s="155"/>
      <c r="DS28" s="374"/>
      <c r="DT28" s="374"/>
      <c r="DU28" s="155"/>
      <c r="DV28" s="155"/>
      <c r="DW28" s="377"/>
      <c r="DX28" s="190">
        <f t="shared" si="50"/>
        <v>564000</v>
      </c>
      <c r="DY28" s="341">
        <f t="shared" si="21"/>
        <v>0</v>
      </c>
      <c r="DZ28" s="342"/>
      <c r="EA28" s="373">
        <f t="shared" si="22"/>
        <v>0</v>
      </c>
      <c r="EC28" s="326"/>
    </row>
    <row r="29" spans="1:133" ht="13.5" customHeight="1" outlineLevel="1" x14ac:dyDescent="0.25">
      <c r="A29" s="222">
        <v>5163</v>
      </c>
      <c r="B29" s="205" t="s">
        <v>84</v>
      </c>
      <c r="C29" s="373">
        <v>935000</v>
      </c>
      <c r="D29" s="373">
        <v>920000</v>
      </c>
      <c r="E29" s="373">
        <v>920000</v>
      </c>
      <c r="F29" s="2601">
        <f t="shared" si="48"/>
        <v>1096680</v>
      </c>
      <c r="G29" s="234">
        <f>[4]Úroky!$B$20</f>
        <v>80000</v>
      </c>
      <c r="H29" s="155"/>
      <c r="I29" s="155"/>
      <c r="J29" s="155"/>
      <c r="K29" s="155">
        <f>'[3]Všeob. pokladna'!$B$4</f>
        <v>986680</v>
      </c>
      <c r="L29" s="155"/>
      <c r="M29" s="155"/>
      <c r="N29" s="155"/>
      <c r="O29" s="155">
        <f t="shared" si="23"/>
        <v>0</v>
      </c>
      <c r="P29" s="374"/>
      <c r="Q29" s="375"/>
      <c r="R29" s="155"/>
      <c r="S29" s="384">
        <f t="shared" si="52"/>
        <v>0</v>
      </c>
      <c r="T29" s="155"/>
      <c r="U29" s="155"/>
      <c r="V29" s="155"/>
      <c r="W29" s="155"/>
      <c r="X29" s="155"/>
      <c r="Y29" s="155"/>
      <c r="Z29" s="155"/>
      <c r="AA29" s="155"/>
      <c r="AB29" s="155">
        <f t="shared" si="24"/>
        <v>0</v>
      </c>
      <c r="AC29" s="374"/>
      <c r="AD29" s="374"/>
      <c r="AE29" s="155">
        <f t="shared" si="25"/>
        <v>0</v>
      </c>
      <c r="AF29" s="374"/>
      <c r="AG29" s="374"/>
      <c r="AH29" s="155">
        <f t="shared" si="26"/>
        <v>0</v>
      </c>
      <c r="AI29" s="374"/>
      <c r="AJ29" s="374"/>
      <c r="AK29" s="155">
        <f>[2]Hasiči!$B$40</f>
        <v>30000</v>
      </c>
      <c r="AL29" s="155"/>
      <c r="AM29" s="155"/>
      <c r="AN29" s="155">
        <f t="shared" si="27"/>
        <v>0</v>
      </c>
      <c r="AO29" s="374"/>
      <c r="AP29" s="374"/>
      <c r="AQ29" s="155">
        <f t="shared" si="28"/>
        <v>0</v>
      </c>
      <c r="AR29" s="374"/>
      <c r="AS29" s="374"/>
      <c r="AT29" s="155">
        <f t="shared" si="53"/>
        <v>0</v>
      </c>
      <c r="AU29" s="374"/>
      <c r="AV29" s="374"/>
      <c r="AW29" s="155">
        <f t="shared" si="54"/>
        <v>0</v>
      </c>
      <c r="AX29" s="374"/>
      <c r="AY29" s="374"/>
      <c r="AZ29" s="155">
        <f t="shared" si="31"/>
        <v>0</v>
      </c>
      <c r="BA29" s="374"/>
      <c r="BB29" s="374"/>
      <c r="BC29" s="155">
        <f t="shared" si="32"/>
        <v>0</v>
      </c>
      <c r="BD29" s="374"/>
      <c r="BE29" s="374"/>
      <c r="BF29" s="155">
        <f t="shared" si="33"/>
        <v>0</v>
      </c>
      <c r="BG29" s="374"/>
      <c r="BH29" s="374"/>
      <c r="BI29" s="155">
        <f t="shared" si="34"/>
        <v>0</v>
      </c>
      <c r="BJ29" s="374"/>
      <c r="BK29" s="374"/>
      <c r="BL29" s="155">
        <f t="shared" si="35"/>
        <v>0</v>
      </c>
      <c r="BM29" s="374"/>
      <c r="BN29" s="374"/>
      <c r="BO29" s="155">
        <f t="shared" si="36"/>
        <v>0</v>
      </c>
      <c r="BP29" s="374"/>
      <c r="BQ29" s="374"/>
      <c r="BR29" s="155">
        <f t="shared" si="37"/>
        <v>0</v>
      </c>
      <c r="BS29" s="374"/>
      <c r="BT29" s="374"/>
      <c r="BU29" s="155"/>
      <c r="BV29" s="155">
        <f t="shared" si="38"/>
        <v>0</v>
      </c>
      <c r="BW29" s="374"/>
      <c r="BX29" s="374"/>
      <c r="BY29" s="155"/>
      <c r="BZ29" s="155">
        <f t="shared" si="39"/>
        <v>0</v>
      </c>
      <c r="CA29" s="374"/>
      <c r="CB29" s="374"/>
      <c r="CC29" s="155">
        <f t="shared" si="40"/>
        <v>0</v>
      </c>
      <c r="CD29" s="374"/>
      <c r="CE29" s="374"/>
      <c r="CF29" s="155"/>
      <c r="CG29" s="155">
        <f t="shared" si="41"/>
        <v>0</v>
      </c>
      <c r="CH29" s="374"/>
      <c r="CI29" s="374"/>
      <c r="CJ29" s="155"/>
      <c r="CK29" s="374"/>
      <c r="CL29" s="374"/>
      <c r="CM29" s="155"/>
      <c r="CN29" s="374"/>
      <c r="CO29" s="374"/>
      <c r="CP29" s="155"/>
      <c r="CQ29" s="374"/>
      <c r="CR29" s="374"/>
      <c r="CS29" s="155">
        <f t="shared" si="42"/>
        <v>0</v>
      </c>
      <c r="CT29" s="374"/>
      <c r="CU29" s="374"/>
      <c r="CV29" s="155"/>
      <c r="CW29" s="155">
        <f t="shared" si="43"/>
        <v>0</v>
      </c>
      <c r="CX29" s="374"/>
      <c r="CY29" s="374"/>
      <c r="CZ29" s="155">
        <f t="shared" si="44"/>
        <v>0</v>
      </c>
      <c r="DA29" s="374"/>
      <c r="DB29" s="374"/>
      <c r="DC29" s="155">
        <f t="shared" si="45"/>
        <v>0</v>
      </c>
      <c r="DD29" s="374"/>
      <c r="DE29" s="374"/>
      <c r="DF29" s="155"/>
      <c r="DG29" s="155">
        <f t="shared" si="46"/>
        <v>0</v>
      </c>
      <c r="DH29" s="374"/>
      <c r="DI29" s="374"/>
      <c r="DJ29" s="374"/>
      <c r="DK29" s="155"/>
      <c r="DL29" s="155"/>
      <c r="DM29" s="155"/>
      <c r="DN29" s="155"/>
      <c r="DO29" s="155"/>
      <c r="DP29" s="155"/>
      <c r="DQ29" s="155"/>
      <c r="DR29" s="155"/>
      <c r="DS29" s="374"/>
      <c r="DT29" s="374"/>
      <c r="DU29" s="155"/>
      <c r="DV29" s="155"/>
      <c r="DW29" s="377"/>
      <c r="DX29" s="190">
        <f t="shared" si="50"/>
        <v>1096680</v>
      </c>
      <c r="DY29" s="341">
        <f t="shared" si="21"/>
        <v>0</v>
      </c>
      <c r="DZ29" s="342"/>
      <c r="EA29" s="373">
        <f t="shared" si="22"/>
        <v>0</v>
      </c>
      <c r="EC29" s="326"/>
    </row>
    <row r="30" spans="1:133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1538137</v>
      </c>
      <c r="E30" s="373">
        <v>1538137</v>
      </c>
      <c r="F30" s="373">
        <f t="shared" si="48"/>
        <v>1538137</v>
      </c>
      <c r="G30" s="234"/>
      <c r="H30" s="155"/>
      <c r="I30" s="155"/>
      <c r="J30" s="155"/>
      <c r="K30" s="155">
        <f>'[3]Všeob. pokladna'!$B$11</f>
        <v>12</v>
      </c>
      <c r="L30" s="155"/>
      <c r="M30" s="155">
        <f>[2]Zastupitelé!$B$37</f>
        <v>17000</v>
      </c>
      <c r="N30" s="155"/>
      <c r="O30" s="155">
        <f t="shared" si="23"/>
        <v>0</v>
      </c>
      <c r="P30" s="374"/>
      <c r="Q30" s="375"/>
      <c r="R30" s="155"/>
      <c r="S30" s="384">
        <f t="shared" si="52"/>
        <v>0</v>
      </c>
      <c r="T30" s="155"/>
      <c r="U30" s="155"/>
      <c r="V30" s="155"/>
      <c r="W30" s="155"/>
      <c r="X30" s="155"/>
      <c r="Y30" s="155">
        <f>[2]Knihovna!$B$40</f>
        <v>192000</v>
      </c>
      <c r="Z30" s="155"/>
      <c r="AA30" s="155">
        <f>[2]Kultura!$B$21</f>
        <v>80000</v>
      </c>
      <c r="AB30" s="155">
        <f t="shared" si="24"/>
        <v>35240</v>
      </c>
      <c r="AC30" s="374">
        <f>+[3]Byty!$D$18</f>
        <v>35240</v>
      </c>
      <c r="AD30" s="374">
        <f>+[3]Byty!$E$18</f>
        <v>0</v>
      </c>
      <c r="AE30" s="155">
        <f t="shared" si="25"/>
        <v>0</v>
      </c>
      <c r="AF30" s="374"/>
      <c r="AG30" s="374"/>
      <c r="AH30" s="155">
        <f t="shared" si="26"/>
        <v>0</v>
      </c>
      <c r="AI30" s="374"/>
      <c r="AJ30" s="374"/>
      <c r="AK30" s="155"/>
      <c r="AL30" s="155"/>
      <c r="AM30" s="155"/>
      <c r="AN30" s="155">
        <f t="shared" si="27"/>
        <v>0</v>
      </c>
      <c r="AO30" s="374"/>
      <c r="AP30" s="374"/>
      <c r="AQ30" s="155">
        <f t="shared" si="28"/>
        <v>10000</v>
      </c>
      <c r="AR30" s="374">
        <f>+[3]koupaliště!$D$4</f>
        <v>10000</v>
      </c>
      <c r="AS30" s="374">
        <f>+[3]koupaliště!$E$4</f>
        <v>0</v>
      </c>
      <c r="AT30" s="155">
        <f t="shared" si="53"/>
        <v>0</v>
      </c>
      <c r="AU30" s="374">
        <f>+[3]Hřiště!$D$4</f>
        <v>0</v>
      </c>
      <c r="AV30" s="374">
        <f>+[3]Hřiště!$E$4</f>
        <v>0</v>
      </c>
      <c r="AW30" s="155">
        <f t="shared" si="54"/>
        <v>12156</v>
      </c>
      <c r="AX30" s="374">
        <f>+[3]Spolky!$D$4</f>
        <v>12156</v>
      </c>
      <c r="AY30" s="374">
        <f>+[3]Spolky!$E$4</f>
        <v>0</v>
      </c>
      <c r="AZ30" s="155">
        <f t="shared" si="31"/>
        <v>816000</v>
      </c>
      <c r="BA30" s="374">
        <f>[4]ZŠ!$B$25</f>
        <v>816000</v>
      </c>
      <c r="BB30" s="374"/>
      <c r="BC30" s="155">
        <f t="shared" si="32"/>
        <v>0</v>
      </c>
      <c r="BD30" s="374">
        <f>[4]SŠ!$B$25</f>
        <v>0</v>
      </c>
      <c r="BE30" s="374"/>
      <c r="BF30" s="155">
        <f t="shared" si="33"/>
        <v>0</v>
      </c>
      <c r="BG30" s="374"/>
      <c r="BH30" s="374"/>
      <c r="BI30" s="155">
        <f t="shared" si="34"/>
        <v>0</v>
      </c>
      <c r="BJ30" s="374"/>
      <c r="BK30" s="374"/>
      <c r="BL30" s="155">
        <f t="shared" si="35"/>
        <v>0</v>
      </c>
      <c r="BM30" s="374"/>
      <c r="BN30" s="374"/>
      <c r="BO30" s="155">
        <f t="shared" si="36"/>
        <v>0</v>
      </c>
      <c r="BP30" s="374"/>
      <c r="BQ30" s="374"/>
      <c r="BR30" s="155">
        <f t="shared" si="37"/>
        <v>0</v>
      </c>
      <c r="BS30" s="374"/>
      <c r="BT30" s="374"/>
      <c r="BU30" s="155"/>
      <c r="BV30" s="155">
        <f t="shared" si="38"/>
        <v>0</v>
      </c>
      <c r="BW30" s="374"/>
      <c r="BX30" s="374"/>
      <c r="BY30" s="155"/>
      <c r="BZ30" s="155">
        <f t="shared" si="39"/>
        <v>0</v>
      </c>
      <c r="CA30" s="374"/>
      <c r="CB30" s="374"/>
      <c r="CC30" s="155">
        <f t="shared" si="40"/>
        <v>24229</v>
      </c>
      <c r="CD30" s="374">
        <f>'[5]Silnice-nájem'!$D$4+[3]Silnice!$D$19</f>
        <v>24229</v>
      </c>
      <c r="CE30" s="374">
        <f>'[5]Silnice-nájem'!$E$4+[3]Silnice!$E$19</f>
        <v>0</v>
      </c>
      <c r="CF30" s="155"/>
      <c r="CG30" s="155">
        <f t="shared" si="41"/>
        <v>0</v>
      </c>
      <c r="CH30" s="374"/>
      <c r="CI30" s="374"/>
      <c r="CJ30" s="155"/>
      <c r="CK30" s="374"/>
      <c r="CL30" s="374"/>
      <c r="CM30" s="155"/>
      <c r="CN30" s="374"/>
      <c r="CO30" s="374"/>
      <c r="CP30" s="155"/>
      <c r="CQ30" s="374"/>
      <c r="CR30" s="374"/>
      <c r="CS30" s="155">
        <f t="shared" si="42"/>
        <v>0</v>
      </c>
      <c r="CT30" s="374"/>
      <c r="CU30" s="374"/>
      <c r="CV30" s="155"/>
      <c r="CW30" s="155">
        <f t="shared" si="43"/>
        <v>0</v>
      </c>
      <c r="CX30" s="374"/>
      <c r="CY30" s="374"/>
      <c r="CZ30" s="155">
        <f t="shared" si="44"/>
        <v>0</v>
      </c>
      <c r="DA30" s="374"/>
      <c r="DB30" s="374"/>
      <c r="DC30" s="155">
        <f t="shared" si="45"/>
        <v>0</v>
      </c>
      <c r="DD30" s="374"/>
      <c r="DE30" s="374"/>
      <c r="DF30" s="155"/>
      <c r="DG30" s="155">
        <f t="shared" si="46"/>
        <v>0</v>
      </c>
      <c r="DH30" s="374"/>
      <c r="DI30" s="374"/>
      <c r="DJ30" s="374"/>
      <c r="DK30" s="155">
        <f>+[5]Rybníky!$B$4+'[6]Rybníky 3749-2'!$B$16</f>
        <v>351500</v>
      </c>
      <c r="DL30" s="155"/>
      <c r="DM30" s="155"/>
      <c r="DN30" s="155"/>
      <c r="DO30" s="155">
        <v>0</v>
      </c>
      <c r="DP30" s="155"/>
      <c r="DQ30" s="155"/>
      <c r="DR30" s="155"/>
      <c r="DS30" s="374"/>
      <c r="DT30" s="374"/>
      <c r="DU30" s="155"/>
      <c r="DV30" s="155"/>
      <c r="DW30" s="377"/>
      <c r="DX30" s="190">
        <f t="shared" si="50"/>
        <v>1538137</v>
      </c>
      <c r="DY30" s="341">
        <f t="shared" si="21"/>
        <v>0</v>
      </c>
      <c r="DZ30" s="342"/>
      <c r="EA30" s="373">
        <f t="shared" si="22"/>
        <v>0</v>
      </c>
      <c r="EC30" s="326"/>
    </row>
    <row r="31" spans="1:133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v>700000</v>
      </c>
      <c r="F31" s="373">
        <f t="shared" si="48"/>
        <v>700000</v>
      </c>
      <c r="G31" s="234"/>
      <c r="H31" s="155"/>
      <c r="I31" s="155"/>
      <c r="J31" s="155"/>
      <c r="K31" s="155"/>
      <c r="L31" s="155">
        <f>'[3]Particitivní rozpočet'!$B$39+'[2]Participativní rozpočet'!$B$39</f>
        <v>0</v>
      </c>
      <c r="M31" s="155"/>
      <c r="N31" s="155"/>
      <c r="O31" s="155">
        <f t="shared" si="23"/>
        <v>700000</v>
      </c>
      <c r="P31" s="374">
        <f>[2]Správa!$D$46</f>
        <v>700000</v>
      </c>
      <c r="Q31" s="375">
        <f>[2]Správa!$E$46</f>
        <v>0</v>
      </c>
      <c r="R31" s="155"/>
      <c r="S31" s="384">
        <f t="shared" si="52"/>
        <v>0</v>
      </c>
      <c r="T31" s="155"/>
      <c r="U31" s="155"/>
      <c r="V31" s="155"/>
      <c r="W31" s="155"/>
      <c r="X31" s="155"/>
      <c r="Y31" s="155"/>
      <c r="Z31" s="155"/>
      <c r="AA31" s="155"/>
      <c r="AB31" s="155">
        <f t="shared" si="24"/>
        <v>0</v>
      </c>
      <c r="AC31" s="374"/>
      <c r="AD31" s="374"/>
      <c r="AE31" s="155">
        <f t="shared" si="25"/>
        <v>0</v>
      </c>
      <c r="AF31" s="374"/>
      <c r="AG31" s="374"/>
      <c r="AH31" s="155">
        <f t="shared" si="26"/>
        <v>0</v>
      </c>
      <c r="AI31" s="374"/>
      <c r="AJ31" s="374"/>
      <c r="AK31" s="155"/>
      <c r="AL31" s="155"/>
      <c r="AM31" s="155"/>
      <c r="AN31" s="155">
        <f t="shared" si="27"/>
        <v>0</v>
      </c>
      <c r="AO31" s="374"/>
      <c r="AP31" s="374"/>
      <c r="AQ31" s="155">
        <f t="shared" si="28"/>
        <v>0</v>
      </c>
      <c r="AR31" s="374"/>
      <c r="AS31" s="374"/>
      <c r="AT31" s="155">
        <f t="shared" si="53"/>
        <v>0</v>
      </c>
      <c r="AU31" s="374"/>
      <c r="AV31" s="374"/>
      <c r="AW31" s="155">
        <f t="shared" si="54"/>
        <v>0</v>
      </c>
      <c r="AX31" s="374"/>
      <c r="AY31" s="374"/>
      <c r="AZ31" s="155">
        <f t="shared" si="31"/>
        <v>0</v>
      </c>
      <c r="BA31" s="374"/>
      <c r="BB31" s="374"/>
      <c r="BC31" s="155">
        <f t="shared" si="32"/>
        <v>0</v>
      </c>
      <c r="BD31" s="374"/>
      <c r="BE31" s="374"/>
      <c r="BF31" s="155">
        <f t="shared" si="33"/>
        <v>0</v>
      </c>
      <c r="BG31" s="374"/>
      <c r="BH31" s="374"/>
      <c r="BI31" s="155">
        <f t="shared" si="34"/>
        <v>0</v>
      </c>
      <c r="BJ31" s="374"/>
      <c r="BK31" s="374"/>
      <c r="BL31" s="155">
        <f t="shared" si="35"/>
        <v>0</v>
      </c>
      <c r="BM31" s="374"/>
      <c r="BN31" s="374"/>
      <c r="BO31" s="155">
        <f t="shared" si="36"/>
        <v>0</v>
      </c>
      <c r="BP31" s="374"/>
      <c r="BQ31" s="374"/>
      <c r="BR31" s="155">
        <f t="shared" si="37"/>
        <v>0</v>
      </c>
      <c r="BS31" s="374"/>
      <c r="BT31" s="374"/>
      <c r="BU31" s="155"/>
      <c r="BV31" s="155">
        <f t="shared" si="38"/>
        <v>0</v>
      </c>
      <c r="BW31" s="374"/>
      <c r="BX31" s="374"/>
      <c r="BY31" s="155"/>
      <c r="BZ31" s="155">
        <f t="shared" si="39"/>
        <v>0</v>
      </c>
      <c r="CA31" s="374"/>
      <c r="CB31" s="374"/>
      <c r="CC31" s="155">
        <f t="shared" si="40"/>
        <v>0</v>
      </c>
      <c r="CD31" s="374"/>
      <c r="CE31" s="374"/>
      <c r="CF31" s="155"/>
      <c r="CG31" s="155">
        <f t="shared" si="41"/>
        <v>0</v>
      </c>
      <c r="CH31" s="374"/>
      <c r="CI31" s="374"/>
      <c r="CJ31" s="155"/>
      <c r="CK31" s="374"/>
      <c r="CL31" s="374"/>
      <c r="CM31" s="155"/>
      <c r="CN31" s="374"/>
      <c r="CO31" s="374"/>
      <c r="CP31" s="155"/>
      <c r="CQ31" s="374"/>
      <c r="CR31" s="374"/>
      <c r="CS31" s="155">
        <f t="shared" si="42"/>
        <v>0</v>
      </c>
      <c r="CT31" s="374"/>
      <c r="CU31" s="374"/>
      <c r="CV31" s="155"/>
      <c r="CW31" s="155">
        <f t="shared" si="43"/>
        <v>0</v>
      </c>
      <c r="CX31" s="374"/>
      <c r="CY31" s="374"/>
      <c r="CZ31" s="155">
        <f t="shared" si="44"/>
        <v>0</v>
      </c>
      <c r="DA31" s="374"/>
      <c r="DB31" s="374"/>
      <c r="DC31" s="155">
        <f t="shared" si="45"/>
        <v>0</v>
      </c>
      <c r="DD31" s="374"/>
      <c r="DE31" s="374"/>
      <c r="DF31" s="155"/>
      <c r="DG31" s="155">
        <f t="shared" si="46"/>
        <v>0</v>
      </c>
      <c r="DH31" s="374"/>
      <c r="DI31" s="374"/>
      <c r="DJ31" s="374"/>
      <c r="DK31" s="155"/>
      <c r="DL31" s="155"/>
      <c r="DM31" s="155"/>
      <c r="DN31" s="155"/>
      <c r="DO31" s="155"/>
      <c r="DP31" s="155"/>
      <c r="DQ31" s="155"/>
      <c r="DR31" s="155"/>
      <c r="DS31" s="374"/>
      <c r="DT31" s="374"/>
      <c r="DU31" s="155"/>
      <c r="DV31" s="155"/>
      <c r="DW31" s="377"/>
      <c r="DX31" s="190">
        <f t="shared" si="50"/>
        <v>700000</v>
      </c>
      <c r="DY31" s="341">
        <f t="shared" si="21"/>
        <v>0</v>
      </c>
      <c r="DZ31" s="342"/>
      <c r="EA31" s="373">
        <f t="shared" si="22"/>
        <v>0</v>
      </c>
      <c r="EC31" s="326"/>
    </row>
    <row r="32" spans="1:133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v>375000</v>
      </c>
      <c r="F32" s="373">
        <f t="shared" si="48"/>
        <v>375000</v>
      </c>
      <c r="G32" s="234"/>
      <c r="H32" s="155"/>
      <c r="I32" s="155"/>
      <c r="J32" s="155"/>
      <c r="K32" s="155"/>
      <c r="L32" s="155">
        <f>+'[3]Particitivní rozpočet'!$B$46+'[2]Participativní rozpočet'!$B$46</f>
        <v>0</v>
      </c>
      <c r="M32" s="155">
        <f>[2]Zastupitelé!$B$44</f>
        <v>50000</v>
      </c>
      <c r="N32" s="155"/>
      <c r="O32" s="155">
        <f t="shared" si="23"/>
        <v>200000</v>
      </c>
      <c r="P32" s="374">
        <f>[2]Správa!$D$53</f>
        <v>200000</v>
      </c>
      <c r="Q32" s="375">
        <f>[2]Správa!$E$53</f>
        <v>0</v>
      </c>
      <c r="R32" s="155"/>
      <c r="S32" s="384">
        <f t="shared" si="52"/>
        <v>0</v>
      </c>
      <c r="T32" s="155">
        <f>'[2]Pečovatelská služba'!$B$45</f>
        <v>10000</v>
      </c>
      <c r="U32" s="155"/>
      <c r="V32" s="155">
        <f>'[2]Městská policie'!$B$70</f>
        <v>80000</v>
      </c>
      <c r="W32" s="155"/>
      <c r="X32" s="155"/>
      <c r="Y32" s="155">
        <f>[2]Knihovna!$B$47</f>
        <v>5000</v>
      </c>
      <c r="Z32" s="155"/>
      <c r="AA32" s="155"/>
      <c r="AB32" s="155">
        <f t="shared" si="24"/>
        <v>0</v>
      </c>
      <c r="AC32" s="374"/>
      <c r="AD32" s="374"/>
      <c r="AE32" s="155">
        <f t="shared" si="25"/>
        <v>0</v>
      </c>
      <c r="AF32" s="374"/>
      <c r="AG32" s="374"/>
      <c r="AH32" s="155">
        <f t="shared" si="26"/>
        <v>0</v>
      </c>
      <c r="AI32" s="374"/>
      <c r="AJ32" s="374"/>
      <c r="AK32" s="155">
        <f>[2]Hasiči!$B$47</f>
        <v>30000</v>
      </c>
      <c r="AL32" s="155"/>
      <c r="AM32" s="155"/>
      <c r="AN32" s="155">
        <f t="shared" si="27"/>
        <v>0</v>
      </c>
      <c r="AO32" s="374"/>
      <c r="AP32" s="374"/>
      <c r="AQ32" s="155">
        <f t="shared" si="28"/>
        <v>0</v>
      </c>
      <c r="AR32" s="374"/>
      <c r="AS32" s="374"/>
      <c r="AT32" s="155">
        <f t="shared" si="53"/>
        <v>0</v>
      </c>
      <c r="AU32" s="374"/>
      <c r="AV32" s="374"/>
      <c r="AW32" s="155">
        <f t="shared" si="54"/>
        <v>0</v>
      </c>
      <c r="AX32" s="374"/>
      <c r="AY32" s="374"/>
      <c r="AZ32" s="155">
        <f t="shared" si="31"/>
        <v>0</v>
      </c>
      <c r="BA32" s="374"/>
      <c r="BB32" s="374"/>
      <c r="BC32" s="155">
        <f t="shared" si="32"/>
        <v>0</v>
      </c>
      <c r="BD32" s="374"/>
      <c r="BE32" s="374"/>
      <c r="BF32" s="155">
        <f t="shared" si="33"/>
        <v>0</v>
      </c>
      <c r="BG32" s="374"/>
      <c r="BH32" s="374"/>
      <c r="BI32" s="155">
        <f t="shared" si="34"/>
        <v>0</v>
      </c>
      <c r="BJ32" s="374"/>
      <c r="BK32" s="374"/>
      <c r="BL32" s="155">
        <f t="shared" si="35"/>
        <v>0</v>
      </c>
      <c r="BM32" s="374"/>
      <c r="BN32" s="374"/>
      <c r="BO32" s="155">
        <f t="shared" si="36"/>
        <v>0</v>
      </c>
      <c r="BP32" s="374"/>
      <c r="BQ32" s="374"/>
      <c r="BR32" s="155">
        <f t="shared" si="37"/>
        <v>0</v>
      </c>
      <c r="BS32" s="374"/>
      <c r="BT32" s="374"/>
      <c r="BU32" s="155"/>
      <c r="BV32" s="155">
        <f t="shared" si="38"/>
        <v>0</v>
      </c>
      <c r="BW32" s="374"/>
      <c r="BX32" s="374"/>
      <c r="BY32" s="155"/>
      <c r="BZ32" s="155">
        <f t="shared" si="39"/>
        <v>0</v>
      </c>
      <c r="CA32" s="374"/>
      <c r="CB32" s="374"/>
      <c r="CC32" s="155">
        <f t="shared" si="40"/>
        <v>0</v>
      </c>
      <c r="CD32" s="374"/>
      <c r="CE32" s="374"/>
      <c r="CF32" s="155"/>
      <c r="CG32" s="155">
        <f t="shared" si="41"/>
        <v>0</v>
      </c>
      <c r="CH32" s="374"/>
      <c r="CI32" s="374"/>
      <c r="CJ32" s="155"/>
      <c r="CK32" s="374"/>
      <c r="CL32" s="374"/>
      <c r="CM32" s="155"/>
      <c r="CN32" s="374"/>
      <c r="CO32" s="374"/>
      <c r="CP32" s="155"/>
      <c r="CQ32" s="374"/>
      <c r="CR32" s="374"/>
      <c r="CS32" s="155">
        <f t="shared" si="42"/>
        <v>0</v>
      </c>
      <c r="CT32" s="374"/>
      <c r="CU32" s="374"/>
      <c r="CV32" s="155"/>
      <c r="CW32" s="155">
        <f t="shared" si="43"/>
        <v>0</v>
      </c>
      <c r="CX32" s="374"/>
      <c r="CY32" s="374"/>
      <c r="CZ32" s="155">
        <f t="shared" si="44"/>
        <v>0</v>
      </c>
      <c r="DA32" s="374"/>
      <c r="DB32" s="374"/>
      <c r="DC32" s="155">
        <f t="shared" si="45"/>
        <v>0</v>
      </c>
      <c r="DD32" s="374"/>
      <c r="DE32" s="374"/>
      <c r="DF32" s="155"/>
      <c r="DG32" s="155">
        <f t="shared" si="46"/>
        <v>0</v>
      </c>
      <c r="DH32" s="374"/>
      <c r="DI32" s="374"/>
      <c r="DJ32" s="374"/>
      <c r="DK32" s="155"/>
      <c r="DL32" s="155"/>
      <c r="DM32" s="155"/>
      <c r="DN32" s="155"/>
      <c r="DO32" s="155"/>
      <c r="DP32" s="155"/>
      <c r="DQ32" s="155"/>
      <c r="DR32" s="155"/>
      <c r="DS32" s="374"/>
      <c r="DT32" s="374"/>
      <c r="DU32" s="155"/>
      <c r="DV32" s="155"/>
      <c r="DW32" s="377"/>
      <c r="DX32" s="190">
        <f t="shared" si="50"/>
        <v>375000</v>
      </c>
      <c r="DY32" s="341">
        <f t="shared" si="21"/>
        <v>0</v>
      </c>
      <c r="DZ32" s="342"/>
      <c r="EA32" s="373">
        <f t="shared" si="22"/>
        <v>0</v>
      </c>
      <c r="EC32" s="326"/>
    </row>
    <row r="33" spans="1:133" ht="13.5" customHeight="1" outlineLevel="1" x14ac:dyDescent="0.25">
      <c r="A33" s="222">
        <v>5168</v>
      </c>
      <c r="B33" s="205" t="s">
        <v>88</v>
      </c>
      <c r="C33" s="373">
        <v>662050</v>
      </c>
      <c r="D33" s="373">
        <v>615000</v>
      </c>
      <c r="E33" s="373">
        <v>615000</v>
      </c>
      <c r="F33" s="373">
        <f t="shared" si="48"/>
        <v>615000</v>
      </c>
      <c r="G33" s="234"/>
      <c r="H33" s="155"/>
      <c r="I33" s="155"/>
      <c r="J33" s="155"/>
      <c r="K33" s="155">
        <f>'[6]Všeobecná pokladna 6409'!$B$4</f>
        <v>165000</v>
      </c>
      <c r="L33" s="155"/>
      <c r="M33" s="155"/>
      <c r="N33" s="155"/>
      <c r="O33" s="155">
        <f t="shared" si="23"/>
        <v>0</v>
      </c>
      <c r="P33" s="374"/>
      <c r="Q33" s="375"/>
      <c r="R33" s="155"/>
      <c r="S33" s="384">
        <f t="shared" si="52"/>
        <v>0</v>
      </c>
      <c r="T33" s="155"/>
      <c r="U33" s="155"/>
      <c r="V33" s="155"/>
      <c r="W33" s="155"/>
      <c r="X33" s="155"/>
      <c r="Y33" s="155"/>
      <c r="Z33" s="155"/>
      <c r="AA33" s="155"/>
      <c r="AB33" s="155">
        <f t="shared" si="24"/>
        <v>0</v>
      </c>
      <c r="AC33" s="374"/>
      <c r="AD33" s="374"/>
      <c r="AE33" s="155">
        <f t="shared" si="25"/>
        <v>0</v>
      </c>
      <c r="AF33" s="374"/>
      <c r="AG33" s="374"/>
      <c r="AH33" s="155">
        <f t="shared" si="26"/>
        <v>0</v>
      </c>
      <c r="AI33" s="374"/>
      <c r="AJ33" s="374"/>
      <c r="AK33" s="155"/>
      <c r="AL33" s="155"/>
      <c r="AM33" s="155"/>
      <c r="AN33" s="155">
        <f t="shared" si="27"/>
        <v>0</v>
      </c>
      <c r="AO33" s="374"/>
      <c r="AP33" s="374"/>
      <c r="AQ33" s="155">
        <f t="shared" si="28"/>
        <v>0</v>
      </c>
      <c r="AR33" s="374"/>
      <c r="AS33" s="374"/>
      <c r="AT33" s="155">
        <f t="shared" si="53"/>
        <v>0</v>
      </c>
      <c r="AU33" s="374"/>
      <c r="AV33" s="374"/>
      <c r="AW33" s="155">
        <f t="shared" si="54"/>
        <v>0</v>
      </c>
      <c r="AX33" s="374"/>
      <c r="AY33" s="374"/>
      <c r="AZ33" s="155">
        <f t="shared" si="31"/>
        <v>0</v>
      </c>
      <c r="BA33" s="374"/>
      <c r="BB33" s="374"/>
      <c r="BC33" s="155">
        <f t="shared" si="32"/>
        <v>0</v>
      </c>
      <c r="BD33" s="374"/>
      <c r="BE33" s="374"/>
      <c r="BF33" s="155">
        <f t="shared" si="33"/>
        <v>0</v>
      </c>
      <c r="BG33" s="374"/>
      <c r="BH33" s="374"/>
      <c r="BI33" s="155">
        <f t="shared" si="34"/>
        <v>0</v>
      </c>
      <c r="BJ33" s="374"/>
      <c r="BK33" s="374"/>
      <c r="BL33" s="155">
        <f t="shared" si="35"/>
        <v>0</v>
      </c>
      <c r="BM33" s="374"/>
      <c r="BN33" s="374"/>
      <c r="BO33" s="155">
        <f t="shared" si="36"/>
        <v>0</v>
      </c>
      <c r="BP33" s="374"/>
      <c r="BQ33" s="374"/>
      <c r="BR33" s="155">
        <f t="shared" si="37"/>
        <v>0</v>
      </c>
      <c r="BS33" s="374"/>
      <c r="BT33" s="374"/>
      <c r="BU33" s="155"/>
      <c r="BV33" s="155">
        <f t="shared" si="38"/>
        <v>0</v>
      </c>
      <c r="BW33" s="374"/>
      <c r="BX33" s="374"/>
      <c r="BY33" s="155">
        <f>'[6]Územní plán 3635'!$B$12</f>
        <v>450000</v>
      </c>
      <c r="BZ33" s="155">
        <f t="shared" si="39"/>
        <v>0</v>
      </c>
      <c r="CA33" s="374"/>
      <c r="CB33" s="374"/>
      <c r="CC33" s="155">
        <f t="shared" si="40"/>
        <v>0</v>
      </c>
      <c r="CD33" s="374"/>
      <c r="CE33" s="374"/>
      <c r="CF33" s="155"/>
      <c r="CG33" s="155">
        <f t="shared" si="41"/>
        <v>0</v>
      </c>
      <c r="CH33" s="374"/>
      <c r="CI33" s="374"/>
      <c r="CJ33" s="155"/>
      <c r="CK33" s="374"/>
      <c r="CL33" s="374"/>
      <c r="CM33" s="155"/>
      <c r="CN33" s="374"/>
      <c r="CO33" s="374"/>
      <c r="CP33" s="155"/>
      <c r="CQ33" s="374"/>
      <c r="CR33" s="374"/>
      <c r="CS33" s="155">
        <f t="shared" si="42"/>
        <v>0</v>
      </c>
      <c r="CT33" s="374"/>
      <c r="CU33" s="374"/>
      <c r="CV33" s="155"/>
      <c r="CW33" s="155">
        <f t="shared" si="43"/>
        <v>0</v>
      </c>
      <c r="CX33" s="374"/>
      <c r="CY33" s="374"/>
      <c r="CZ33" s="155">
        <f t="shared" si="44"/>
        <v>0</v>
      </c>
      <c r="DA33" s="374"/>
      <c r="DB33" s="374"/>
      <c r="DC33" s="155">
        <f t="shared" si="45"/>
        <v>0</v>
      </c>
      <c r="DD33" s="374"/>
      <c r="DE33" s="374"/>
      <c r="DF33" s="155"/>
      <c r="DG33" s="155">
        <f>+DH33+DI33+DJ33</f>
        <v>0</v>
      </c>
      <c r="DH33" s="374"/>
      <c r="DI33" s="374"/>
      <c r="DJ33" s="374"/>
      <c r="DK33" s="155"/>
      <c r="DL33" s="155"/>
      <c r="DM33" s="155"/>
      <c r="DN33" s="155"/>
      <c r="DO33" s="155">
        <v>0</v>
      </c>
      <c r="DP33" s="155"/>
      <c r="DQ33" s="155"/>
      <c r="DR33" s="155"/>
      <c r="DS33" s="374"/>
      <c r="DT33" s="374"/>
      <c r="DU33" s="155"/>
      <c r="DV33" s="155"/>
      <c r="DW33" s="377"/>
      <c r="DX33" s="190">
        <f t="shared" si="50"/>
        <v>615000</v>
      </c>
      <c r="DY33" s="341">
        <f>DX33-F33</f>
        <v>0</v>
      </c>
      <c r="DZ33" s="342"/>
      <c r="EA33" s="373">
        <f t="shared" si="22"/>
        <v>0</v>
      </c>
      <c r="EC33" s="326"/>
    </row>
    <row r="34" spans="1:133" ht="13.5" customHeight="1" outlineLevel="1" x14ac:dyDescent="0.25">
      <c r="A34" s="222">
        <v>5169</v>
      </c>
      <c r="B34" s="205" t="s">
        <v>89</v>
      </c>
      <c r="C34" s="373">
        <v>17115266.666666664</v>
      </c>
      <c r="D34" s="373">
        <v>18929100</v>
      </c>
      <c r="E34" s="373">
        <v>18979100</v>
      </c>
      <c r="F34" s="373">
        <f t="shared" si="48"/>
        <v>18712900</v>
      </c>
      <c r="G34" s="234"/>
      <c r="H34" s="155"/>
      <c r="I34" s="155"/>
      <c r="J34" s="155"/>
      <c r="K34" s="155">
        <f>'[3]Všeob. pokladna'!$B$18</f>
        <v>250000</v>
      </c>
      <c r="L34" s="155">
        <f>'[3]Particitivní rozpočet'!$B$53+'[2]Participativní rozpočet'!$B$53</f>
        <v>0</v>
      </c>
      <c r="M34" s="155">
        <f>[2]Zastupitelé!$B$51</f>
        <v>50000</v>
      </c>
      <c r="N34" s="155">
        <f>'[4]Volby '!$B$25</f>
        <v>0</v>
      </c>
      <c r="O34" s="155">
        <f t="shared" si="23"/>
        <v>1270000</v>
      </c>
      <c r="P34" s="374">
        <f>+[3]Správa!$D$4+[2]Správa!$B$60</f>
        <v>1270000</v>
      </c>
      <c r="Q34" s="375">
        <f>+[3]Správa!$E$4</f>
        <v>0</v>
      </c>
      <c r="R34" s="155"/>
      <c r="S34" s="385">
        <f>+Q34+AP34+CE34+CB34+BX34+DJ34+AD34+AJ34+AS34+AV34+BB34+BH34+BK34+BN34+BQ34+BT34+CI34+CU34+CY34+DB34+DE34+AG34+DT34</f>
        <v>8650000</v>
      </c>
      <c r="T34" s="155">
        <f>'[2]Pečovatelská služba'!$B$52</f>
        <v>18000</v>
      </c>
      <c r="U34" s="155">
        <f>'[2]Agentura SCSA'!$B$4</f>
        <v>300000</v>
      </c>
      <c r="V34" s="155">
        <f>'[2]Městská policie'!$B$77</f>
        <v>136300</v>
      </c>
      <c r="W34" s="155">
        <f>[2]Kronika!$B$18</f>
        <v>100000</v>
      </c>
      <c r="X34" s="155">
        <f>'[3]Hotel Budka'!$B$18</f>
        <v>0</v>
      </c>
      <c r="Y34" s="155">
        <f>[2]Knihovna!$B$54</f>
        <v>15000</v>
      </c>
      <c r="Z34" s="155">
        <f>'[2]Život Úval'!$B$11</f>
        <v>500000</v>
      </c>
      <c r="AA34" s="155">
        <f>[2]Kultura!$B$28</f>
        <v>970000</v>
      </c>
      <c r="AB34" s="155">
        <f t="shared" ref="AB34:AB37" si="55">+AC34+AD34</f>
        <v>1420000</v>
      </c>
      <c r="AC34" s="374">
        <f>+[3]Byty!$D$25</f>
        <v>1420000</v>
      </c>
      <c r="AD34" s="374">
        <f>+[3]Byty!$E$25</f>
        <v>0</v>
      </c>
      <c r="AE34" s="155">
        <f t="shared" ref="AE34:AE37" si="56">+AF34+AG34</f>
        <v>170000</v>
      </c>
      <c r="AF34" s="374">
        <f>+[3]DPS!$D$26</f>
        <v>170000</v>
      </c>
      <c r="AG34" s="374">
        <f>+[3]DPS!$E$26</f>
        <v>0</v>
      </c>
      <c r="AH34" s="155">
        <f t="shared" ref="AH34:AH37" si="57">+AI34+AJ34</f>
        <v>570000</v>
      </c>
      <c r="AI34" s="374">
        <f>+[3]Nebyty!$D$4</f>
        <v>570000</v>
      </c>
      <c r="AJ34" s="374">
        <f>+[3]Nebyty!$E$4</f>
        <v>0</v>
      </c>
      <c r="AK34" s="155">
        <f>+[3]Hasiči!$B$18+[2]Hasiči!$B$54</f>
        <v>50000</v>
      </c>
      <c r="AL34" s="155">
        <f>+'[3]Zdrav. středisko'!$B$4</f>
        <v>80000</v>
      </c>
      <c r="AM34" s="155">
        <f>+[3]Tesko!$B$4</f>
        <v>0</v>
      </c>
      <c r="AN34" s="155">
        <f t="shared" ref="AN34:AN37" si="58">+AO34+AP34</f>
        <v>50000</v>
      </c>
      <c r="AO34" s="374">
        <f>+[3]Hřbitov!$D$18</f>
        <v>50000</v>
      </c>
      <c r="AP34" s="374">
        <f>+[3]Hřbitov!$E$18</f>
        <v>0</v>
      </c>
      <c r="AQ34" s="155">
        <f t="shared" ref="AQ34:AQ37" si="59">+AR34+AS34</f>
        <v>30000</v>
      </c>
      <c r="AR34" s="374">
        <f>+[3]koupaliště!$D$14</f>
        <v>30000</v>
      </c>
      <c r="AS34" s="374">
        <f>+[3]koupaliště!$E$14</f>
        <v>0</v>
      </c>
      <c r="AT34" s="155">
        <f t="shared" si="53"/>
        <v>320000</v>
      </c>
      <c r="AU34" s="374">
        <f>+[3]Hřiště!$D$14</f>
        <v>290000</v>
      </c>
      <c r="AV34" s="374">
        <f>+[3]Hřiště!$E$14</f>
        <v>30000</v>
      </c>
      <c r="AW34" s="155">
        <f t="shared" si="54"/>
        <v>550000</v>
      </c>
      <c r="AX34" s="374">
        <f>+[3]Spolky!$D$14</f>
        <v>550000</v>
      </c>
      <c r="AY34" s="374">
        <f>+[3]Spolky!$E$14</f>
        <v>0</v>
      </c>
      <c r="AZ34" s="155">
        <f t="shared" ref="AZ34:AZ37" si="60">+BA34+BB34</f>
        <v>0</v>
      </c>
      <c r="BA34" s="374">
        <f>+[3]ZŠ!$D$4</f>
        <v>0</v>
      </c>
      <c r="BB34" s="374">
        <f>+[3]ZŠ!$E$4</f>
        <v>0</v>
      </c>
      <c r="BC34" s="155">
        <f t="shared" si="32"/>
        <v>0</v>
      </c>
      <c r="BD34" s="374"/>
      <c r="BE34" s="374"/>
      <c r="BF34" s="155">
        <f t="shared" ref="BF34:BF37" si="61">+BG34+BH34</f>
        <v>80000</v>
      </c>
      <c r="BG34" s="374">
        <f>+'[3]Č.p. 65'!$D$4+[2]č.p.65!$B$26</f>
        <v>80000</v>
      </c>
      <c r="BH34" s="374">
        <f>+'[3]Č.p. 65'!$E$4</f>
        <v>0</v>
      </c>
      <c r="BI34" s="155">
        <f t="shared" ref="BI34:BI37" si="62">+BJ34+BK34</f>
        <v>30000</v>
      </c>
      <c r="BJ34" s="374">
        <f>+[3]MDDM!$D$4</f>
        <v>30000</v>
      </c>
      <c r="BK34" s="374">
        <f>+[3]MDDM!$E$4</f>
        <v>0</v>
      </c>
      <c r="BL34" s="155">
        <f t="shared" ref="BL34:BL37" si="63">+BM34+BN34</f>
        <v>50000</v>
      </c>
      <c r="BM34" s="374">
        <f>+'[3]MŠ Pražská'!$D$4</f>
        <v>50000</v>
      </c>
      <c r="BN34" s="374">
        <f>+'[3]MŠ Pražská'!$E$4</f>
        <v>0</v>
      </c>
      <c r="BO34" s="155">
        <f t="shared" ref="BO34:BO37" si="64">+BP34+BQ34</f>
        <v>90000</v>
      </c>
      <c r="BP34" s="374">
        <f>+'[3]MŠ Kollárova'!$D$4</f>
        <v>90000</v>
      </c>
      <c r="BQ34" s="374">
        <f>+'[3]MŠ Kollárova'!$E$4</f>
        <v>0</v>
      </c>
      <c r="BR34" s="155">
        <f t="shared" ref="BR34:BR37" si="65">+BS34+BT34</f>
        <v>0</v>
      </c>
      <c r="BS34" s="374">
        <f>+'[3]Jídelna ZŠ'!$D$4</f>
        <v>0</v>
      </c>
      <c r="BT34" s="374">
        <f>+'[3]Jídelna ZŠ'!$E$4</f>
        <v>0</v>
      </c>
      <c r="BU34" s="155">
        <f>+'[3]Jídelna MŠ'!$B$4</f>
        <v>20000</v>
      </c>
      <c r="BV34" s="155">
        <f t="shared" ref="BV34:BV37" si="66">+BW34+BX34</f>
        <v>80000</v>
      </c>
      <c r="BW34" s="374">
        <f>+'[3]MŠ Cukrovar'!$D$4</f>
        <v>80000</v>
      </c>
      <c r="BX34" s="374">
        <f>+'[3]MŠ Cukrovar'!$E$4</f>
        <v>0</v>
      </c>
      <c r="BY34" s="155">
        <f>'[6]Územní plán 3635'!$B$20</f>
        <v>50000</v>
      </c>
      <c r="BZ34" s="155">
        <f t="shared" ref="BZ34:BZ37" si="67">+CA34+CB34</f>
        <v>262100</v>
      </c>
      <c r="CA34" s="374">
        <f>+[3]VO!$D$20</f>
        <v>262100</v>
      </c>
      <c r="CB34" s="374">
        <f>+[3]VO!$E$20</f>
        <v>0</v>
      </c>
      <c r="CC34" s="155">
        <f t="shared" si="40"/>
        <v>360000</v>
      </c>
      <c r="CD34" s="177">
        <f>'[5]Silnice světelná křižovatka'!$D$3+[3]Silnice!$D$30</f>
        <v>360000</v>
      </c>
      <c r="CE34" s="374">
        <f>'[5]Silnice světelná křižovatka'!$E$3+[3]Silnice!$E$30</f>
        <v>0</v>
      </c>
      <c r="CF34" s="155"/>
      <c r="CG34" s="155">
        <f t="shared" si="41"/>
        <v>550000</v>
      </c>
      <c r="CH34" s="177">
        <f>+[3]Vodovod!$D$11</f>
        <v>550000</v>
      </c>
      <c r="CI34" s="374">
        <f>+[3]Vodovod!$E$11</f>
        <v>0</v>
      </c>
      <c r="CJ34" s="155"/>
      <c r="CK34" s="177"/>
      <c r="CL34" s="374"/>
      <c r="CM34" s="155">
        <f>+CN34+CO34</f>
        <v>150000</v>
      </c>
      <c r="CN34" s="177">
        <f>+[3]Kanalizace!$D$11</f>
        <v>150000</v>
      </c>
      <c r="CO34" s="374">
        <f>+[3]Kanalizace!$E$11</f>
        <v>0</v>
      </c>
      <c r="CP34" s="155"/>
      <c r="CQ34" s="177"/>
      <c r="CR34" s="374"/>
      <c r="CS34" s="155">
        <f>CT34+CU34</f>
        <v>100000</v>
      </c>
      <c r="CT34" s="374">
        <f>+'[3]Inženýrské sítě'!$D$4</f>
        <v>100000</v>
      </c>
      <c r="CU34" s="374">
        <f>+'[3]Inženýrské sítě'!$E$4</f>
        <v>0</v>
      </c>
      <c r="CV34" s="155">
        <f>'[6]Lesy 1036'!$B$4</f>
        <v>100000</v>
      </c>
      <c r="CW34" s="155">
        <f t="shared" si="43"/>
        <v>5500000</v>
      </c>
      <c r="CX34" s="374">
        <f>'[6]Popelnice 3722-1'!$D$20</f>
        <v>0</v>
      </c>
      <c r="CY34" s="374">
        <f>'[6]Popelnice 3722-1'!$E$20</f>
        <v>5500000</v>
      </c>
      <c r="CZ34" s="340">
        <f t="shared" si="44"/>
        <v>800000</v>
      </c>
      <c r="DA34" s="374">
        <f>'[6]Odpady 3722-34'!$D$4</f>
        <v>0</v>
      </c>
      <c r="DB34" s="386">
        <f>'[6]Odpady 3722-34'!$E$4</f>
        <v>800000</v>
      </c>
      <c r="DC34" s="340">
        <f t="shared" si="45"/>
        <v>70000</v>
      </c>
      <c r="DD34" s="374">
        <f>'[6]Černé skládky 3729'!$D$4</f>
        <v>0</v>
      </c>
      <c r="DE34" s="386">
        <f>'[6]Černé skládky 3729'!$E$4</f>
        <v>70000</v>
      </c>
      <c r="DF34" s="155">
        <f>'[6]Povodeň 3744'!$B$12</f>
        <v>66500</v>
      </c>
      <c r="DG34" s="340">
        <f t="shared" si="46"/>
        <v>2750000</v>
      </c>
      <c r="DH34" s="374">
        <f>'[6]Příroda 3749'!$D$12+'[6]Příroda 3749'!$C$12</f>
        <v>1200000</v>
      </c>
      <c r="DI34" s="374"/>
      <c r="DJ34" s="386">
        <f>'[6]Příroda 3749'!$E$12</f>
        <v>1550000</v>
      </c>
      <c r="DK34" s="155">
        <f>+[3]Rybníky!$B$4</f>
        <v>5000</v>
      </c>
      <c r="DL34" s="155"/>
      <c r="DM34" s="155"/>
      <c r="DN34" s="155"/>
      <c r="DO34" s="155"/>
      <c r="DP34" s="155"/>
      <c r="DQ34" s="155"/>
      <c r="DR34" s="340">
        <f>+DS34+DT34</f>
        <v>750000</v>
      </c>
      <c r="DS34" s="374">
        <f>'[6]TSÚ-Sběrný dvůr 3722-36'!$D$13</f>
        <v>50000</v>
      </c>
      <c r="DT34" s="386">
        <f>'[6]TSÚ-Sběrný dvůr 3722-36'!$E$13</f>
        <v>700000</v>
      </c>
      <c r="DU34" s="155"/>
      <c r="DV34" s="155"/>
      <c r="DW34" s="377"/>
      <c r="DX34" s="190">
        <f t="shared" si="50"/>
        <v>18712900</v>
      </c>
      <c r="DY34" s="341">
        <f t="shared" ref="DY34:DY35" si="68">DX34-F34</f>
        <v>0</v>
      </c>
      <c r="DZ34" s="342"/>
      <c r="EA34" s="373">
        <f t="shared" si="22"/>
        <v>7920000</v>
      </c>
      <c r="EC34" s="326"/>
    </row>
    <row r="35" spans="1:133" ht="13.5" customHeight="1" outlineLevel="1" x14ac:dyDescent="0.25">
      <c r="A35" s="222">
        <v>5171</v>
      </c>
      <c r="B35" s="205" t="s">
        <v>90</v>
      </c>
      <c r="C35" s="373">
        <v>19704480</v>
      </c>
      <c r="D35" s="373">
        <v>23981480</v>
      </c>
      <c r="E35" s="373">
        <v>18476480</v>
      </c>
      <c r="F35" s="2601">
        <f t="shared" si="48"/>
        <v>26616480</v>
      </c>
      <c r="G35" s="234"/>
      <c r="H35" s="155"/>
      <c r="I35" s="155"/>
      <c r="J35" s="155"/>
      <c r="K35" s="155"/>
      <c r="L35" s="155">
        <f>+'[3]Particitivní rozpočet'!$B$61+'[2]Participativní rozpočet'!$B$61</f>
        <v>0</v>
      </c>
      <c r="M35" s="155"/>
      <c r="N35" s="155"/>
      <c r="O35" s="155">
        <f t="shared" si="23"/>
        <v>470000</v>
      </c>
      <c r="P35" s="374">
        <f>+[3]Správa!$D$11+[2]Správa!$B$68</f>
        <v>470000</v>
      </c>
      <c r="Q35" s="375">
        <f>+[3]Správa!$E$11</f>
        <v>0</v>
      </c>
      <c r="R35" s="155"/>
      <c r="S35" s="385">
        <f>+Q35+AP35+CE35+CB35+BX35+DJ35+AD35+AJ35+AS35+AV35+BB35+BH35+BK35+BN35+BQ35+BT35+CI35+CU35+CY35+DB35+DE35+AG35+DT35</f>
        <v>3310000</v>
      </c>
      <c r="T35" s="155">
        <f>'[2]Pečovatelská služba'!$B$59</f>
        <v>60000</v>
      </c>
      <c r="U35" s="155"/>
      <c r="V35" s="155">
        <f>'[2]Městská policie'!$B$85</f>
        <v>100000</v>
      </c>
      <c r="W35" s="155"/>
      <c r="X35" s="155">
        <f>'[3]Hotel Budka'!$B$25</f>
        <v>500000</v>
      </c>
      <c r="Y35" s="155">
        <f>[2]Knihovna!$B$61</f>
        <v>30000</v>
      </c>
      <c r="Z35" s="155"/>
      <c r="AA35" s="155"/>
      <c r="AB35" s="155">
        <f t="shared" si="55"/>
        <v>1110000</v>
      </c>
      <c r="AC35" s="374">
        <f>+[3]Byty!$D$32</f>
        <v>1110000</v>
      </c>
      <c r="AD35" s="374">
        <f>+[3]Byty!$E$32</f>
        <v>0</v>
      </c>
      <c r="AE35" s="155">
        <f t="shared" si="56"/>
        <v>1240000</v>
      </c>
      <c r="AF35" s="374">
        <f>+[3]DPS!$D$33</f>
        <v>1140000</v>
      </c>
      <c r="AG35" s="374">
        <f>+[3]DPS!$E$33</f>
        <v>100000</v>
      </c>
      <c r="AH35" s="155">
        <f t="shared" si="57"/>
        <v>4290000</v>
      </c>
      <c r="AI35" s="374">
        <f>+[3]Nebyty!$D$11</f>
        <v>4290000</v>
      </c>
      <c r="AJ35" s="374">
        <f>+[3]Nebyty!$E$11</f>
        <v>0</v>
      </c>
      <c r="AK35" s="155">
        <f>+[3]Hasiči!$B$25+[2]Hasiči!$B$61</f>
        <v>260000</v>
      </c>
      <c r="AL35" s="155">
        <f>+'[3]Zdrav. středisko'!$B$11</f>
        <v>400000</v>
      </c>
      <c r="AM35" s="155">
        <f>+[3]Tesko!$B$11</f>
        <v>0</v>
      </c>
      <c r="AN35" s="155">
        <f t="shared" si="58"/>
        <v>100000</v>
      </c>
      <c r="AO35" s="374">
        <f>+[3]Hřbitov!$D$25</f>
        <v>100000</v>
      </c>
      <c r="AP35" s="374">
        <f>+[3]Hřbitov!$E$25</f>
        <v>0</v>
      </c>
      <c r="AQ35" s="155">
        <f t="shared" si="59"/>
        <v>200000</v>
      </c>
      <c r="AR35" s="374">
        <f>+[3]koupaliště!$D$21</f>
        <v>200000</v>
      </c>
      <c r="AS35" s="374">
        <f>+[3]koupaliště!$E$21</f>
        <v>0</v>
      </c>
      <c r="AT35" s="155">
        <f t="shared" si="53"/>
        <v>280000</v>
      </c>
      <c r="AU35" s="374">
        <f>+[3]Hřiště!$D$21</f>
        <v>80000</v>
      </c>
      <c r="AV35" s="374">
        <f>+[3]Hřiště!$E$21</f>
        <v>200000</v>
      </c>
      <c r="AW35" s="155">
        <f t="shared" si="54"/>
        <v>0</v>
      </c>
      <c r="AX35" s="374">
        <f>+[3]Spolky!$D$23</f>
        <v>0</v>
      </c>
      <c r="AY35" s="374">
        <f>+[3]Spolky!$E$23</f>
        <v>0</v>
      </c>
      <c r="AZ35" s="155">
        <f t="shared" si="60"/>
        <v>0</v>
      </c>
      <c r="BA35" s="374">
        <f>+[3]ZŠ!$D$11</f>
        <v>0</v>
      </c>
      <c r="BB35" s="374">
        <f>+[3]ZŠ!$E$11</f>
        <v>0</v>
      </c>
      <c r="BC35" s="155">
        <f t="shared" si="32"/>
        <v>0</v>
      </c>
      <c r="BD35" s="374"/>
      <c r="BE35" s="374"/>
      <c r="BF35" s="155">
        <f t="shared" si="61"/>
        <v>280000</v>
      </c>
      <c r="BG35" s="374">
        <f>+'[3]Č.p. 65'!$D$11</f>
        <v>280000</v>
      </c>
      <c r="BH35" s="374">
        <f>+'[3]Č.p. 65'!$E$11</f>
        <v>0</v>
      </c>
      <c r="BI35" s="155">
        <f t="shared" si="62"/>
        <v>370000</v>
      </c>
      <c r="BJ35" s="374">
        <f>+[3]MDDM!$D$11</f>
        <v>350000</v>
      </c>
      <c r="BK35" s="374">
        <f>+[3]MDDM!$E$11</f>
        <v>20000</v>
      </c>
      <c r="BL35" s="155">
        <f t="shared" si="63"/>
        <v>270000</v>
      </c>
      <c r="BM35" s="374">
        <f>+'[3]MŠ Pražská'!$D$11</f>
        <v>240000</v>
      </c>
      <c r="BN35" s="374">
        <f>+'[3]MŠ Pražská'!$E$11</f>
        <v>30000</v>
      </c>
      <c r="BO35" s="155">
        <f t="shared" si="64"/>
        <v>245000</v>
      </c>
      <c r="BP35" s="374">
        <f>+'[3]MŠ Kollárova'!$D$11</f>
        <v>215000</v>
      </c>
      <c r="BQ35" s="374">
        <f>+'[3]MŠ Kollárova'!$E$11</f>
        <v>30000</v>
      </c>
      <c r="BR35" s="155">
        <f t="shared" si="65"/>
        <v>0</v>
      </c>
      <c r="BS35" s="374">
        <f>+'[3]Jídelna ZŠ'!$D$11</f>
        <v>0</v>
      </c>
      <c r="BT35" s="374">
        <f>+'[3]Jídelna ZŠ'!$E$11</f>
        <v>0</v>
      </c>
      <c r="BU35" s="155">
        <f>+'[3]Jídelna MŠ'!$B$11</f>
        <v>50000</v>
      </c>
      <c r="BV35" s="155">
        <f t="shared" si="66"/>
        <v>530000</v>
      </c>
      <c r="BW35" s="374">
        <f>+'[3]MŠ Cukrovar'!$D$12</f>
        <v>500000</v>
      </c>
      <c r="BX35" s="374">
        <f>+'[3]MŠ Cukrovar'!$E$12</f>
        <v>30000</v>
      </c>
      <c r="BY35" s="155"/>
      <c r="BZ35" s="155">
        <f t="shared" si="67"/>
        <v>950000</v>
      </c>
      <c r="CA35" s="374">
        <f>+[3]VO!$D$29</f>
        <v>600000</v>
      </c>
      <c r="CB35" s="374">
        <f>+[3]VO!$E$29</f>
        <v>350000</v>
      </c>
      <c r="CC35" s="155">
        <f t="shared" si="40"/>
        <v>8211480</v>
      </c>
      <c r="CD35" s="177">
        <f>+[3]Silnice!$D$39</f>
        <v>5961480</v>
      </c>
      <c r="CE35" s="374">
        <f>+[3]Silnice!$E$39</f>
        <v>2250000</v>
      </c>
      <c r="CF35" s="155"/>
      <c r="CG35" s="155">
        <f t="shared" si="41"/>
        <v>600000</v>
      </c>
      <c r="CH35" s="177">
        <f>+[3]Vodovod!$D$19</f>
        <v>600000</v>
      </c>
      <c r="CI35" s="374">
        <f>+[3]Vodovod!$E$19</f>
        <v>0</v>
      </c>
      <c r="CJ35" s="208">
        <f>+CL35+CK35</f>
        <v>2500000</v>
      </c>
      <c r="CK35" s="177">
        <f>'[5]Vodovod obnova'!$D$4</f>
        <v>2500000</v>
      </c>
      <c r="CL35" s="374">
        <f>'[5]Vodovod obnova'!$E$4</f>
        <v>0</v>
      </c>
      <c r="CM35" s="155">
        <f t="shared" ref="CM35:CM37" si="69">+CN35+CO35</f>
        <v>640000</v>
      </c>
      <c r="CN35" s="177">
        <f>+[3]Kanalizace!$D$20</f>
        <v>640000</v>
      </c>
      <c r="CO35" s="374">
        <f>+[3]Kanalizace!$E$20</f>
        <v>0</v>
      </c>
      <c r="CP35" s="208">
        <f>+CR35+CQ35</f>
        <v>2500000</v>
      </c>
      <c r="CQ35" s="177">
        <f>'[5]Kanalizace obnova'!$D$4</f>
        <v>2500000</v>
      </c>
      <c r="CR35" s="374">
        <f>'[5]Kanalizace obnova'!$E$4</f>
        <v>0</v>
      </c>
      <c r="CS35" s="155">
        <f t="shared" si="42"/>
        <v>430000</v>
      </c>
      <c r="CT35" s="374">
        <f>+'[3]Inženýrské sítě'!$D$11</f>
        <v>130000</v>
      </c>
      <c r="CU35" s="374">
        <f>+'[3]Inženýrské sítě'!$E$11</f>
        <v>300000</v>
      </c>
      <c r="CV35" s="155"/>
      <c r="CW35" s="155">
        <f t="shared" si="43"/>
        <v>0</v>
      </c>
      <c r="CX35" s="374"/>
      <c r="CY35" s="374"/>
      <c r="CZ35" s="155">
        <f t="shared" si="44"/>
        <v>0</v>
      </c>
      <c r="DA35" s="374"/>
      <c r="DB35" s="374"/>
      <c r="DC35" s="155">
        <f t="shared" si="45"/>
        <v>0</v>
      </c>
      <c r="DD35" s="374"/>
      <c r="DE35" s="374"/>
      <c r="DF35" s="155"/>
      <c r="DG35" s="155">
        <f t="shared" si="46"/>
        <v>0</v>
      </c>
      <c r="DH35" s="374"/>
      <c r="DI35" s="374"/>
      <c r="DJ35" s="374"/>
      <c r="DK35" s="155">
        <f>+[3]Rybníky!$B$11</f>
        <v>0</v>
      </c>
      <c r="DL35" s="155"/>
      <c r="DM35" s="155"/>
      <c r="DN35" s="155"/>
      <c r="DO35" s="155"/>
      <c r="DP35" s="155"/>
      <c r="DQ35" s="155"/>
      <c r="DR35" s="155"/>
      <c r="DS35" s="374"/>
      <c r="DT35" s="374"/>
      <c r="DU35" s="155"/>
      <c r="DV35" s="155"/>
      <c r="DW35" s="377"/>
      <c r="DX35" s="190">
        <f t="shared" si="50"/>
        <v>26616480</v>
      </c>
      <c r="DY35" s="341">
        <f t="shared" si="68"/>
        <v>0</v>
      </c>
      <c r="DZ35" s="885"/>
      <c r="EA35" s="373">
        <f>+Q35+AD35+AG35++AJ35+AP35+AS35+BB35+BH35+BK35+BN35+BQ35+BT35+BX35+CB35+CE35+CI35+CU35+CY35+DB35+DE35+DJ35+CL35+CR35</f>
        <v>3110000</v>
      </c>
      <c r="EC35" s="326"/>
    </row>
    <row r="36" spans="1:133" ht="13.5" customHeight="1" outlineLevel="1" x14ac:dyDescent="0.25">
      <c r="A36" s="222">
        <v>5172</v>
      </c>
      <c r="B36" s="205" t="s">
        <v>91</v>
      </c>
      <c r="C36" s="373">
        <v>3121000</v>
      </c>
      <c r="D36" s="373">
        <v>3321000</v>
      </c>
      <c r="E36" s="373">
        <v>3364300</v>
      </c>
      <c r="F36" s="373">
        <f t="shared" si="48"/>
        <v>3364300</v>
      </c>
      <c r="G36" s="234"/>
      <c r="H36" s="155"/>
      <c r="I36" s="155"/>
      <c r="J36" s="155"/>
      <c r="K36" s="155"/>
      <c r="L36" s="155">
        <f>+'[3]Particitivní rozpočet'!$B$68+'[2]Participativní rozpočet'!$B$68</f>
        <v>0</v>
      </c>
      <c r="M36" s="155"/>
      <c r="N36" s="155"/>
      <c r="O36" s="155">
        <f t="shared" si="23"/>
        <v>3050000</v>
      </c>
      <c r="P36" s="374">
        <f>[2]Správa!$D$75</f>
        <v>3050000</v>
      </c>
      <c r="Q36" s="375">
        <f>[2]Správa!$E$75</f>
        <v>0</v>
      </c>
      <c r="R36" s="155"/>
      <c r="S36" s="384">
        <f t="shared" si="52"/>
        <v>0</v>
      </c>
      <c r="T36" s="155">
        <f>'[2]Pečovatelská služba'!$B$66</f>
        <v>10000</v>
      </c>
      <c r="U36" s="155"/>
      <c r="V36" s="155">
        <f>'[2]Městská policie'!$B$92</f>
        <v>243300</v>
      </c>
      <c r="W36" s="155">
        <f>[2]Kronika!$B$25</f>
        <v>6000</v>
      </c>
      <c r="X36" s="155"/>
      <c r="Y36" s="155">
        <f>[2]Knihovna!$B$68</f>
        <v>25000</v>
      </c>
      <c r="Z36" s="155"/>
      <c r="AA36" s="155"/>
      <c r="AB36" s="155">
        <f t="shared" si="55"/>
        <v>0</v>
      </c>
      <c r="AC36" s="374"/>
      <c r="AD36" s="374"/>
      <c r="AE36" s="155">
        <f t="shared" si="56"/>
        <v>0</v>
      </c>
      <c r="AF36" s="374"/>
      <c r="AG36" s="374"/>
      <c r="AH36" s="155">
        <f t="shared" si="57"/>
        <v>0</v>
      </c>
      <c r="AI36" s="374"/>
      <c r="AJ36" s="374"/>
      <c r="AK36" s="155">
        <f>[2]Hasiči!$B$68</f>
        <v>30000</v>
      </c>
      <c r="AL36" s="155"/>
      <c r="AM36" s="155"/>
      <c r="AN36" s="155">
        <f t="shared" si="58"/>
        <v>0</v>
      </c>
      <c r="AO36" s="374"/>
      <c r="AP36" s="374"/>
      <c r="AQ36" s="155">
        <f t="shared" si="59"/>
        <v>0</v>
      </c>
      <c r="AR36" s="374"/>
      <c r="AS36" s="374"/>
      <c r="AT36" s="155">
        <f t="shared" si="53"/>
        <v>0</v>
      </c>
      <c r="AU36" s="374"/>
      <c r="AV36" s="374"/>
      <c r="AW36" s="155">
        <f t="shared" si="54"/>
        <v>0</v>
      </c>
      <c r="AX36" s="374"/>
      <c r="AY36" s="374"/>
      <c r="AZ36" s="155">
        <f t="shared" si="60"/>
        <v>0</v>
      </c>
      <c r="BA36" s="374"/>
      <c r="BB36" s="374"/>
      <c r="BC36" s="155">
        <f t="shared" si="32"/>
        <v>0</v>
      </c>
      <c r="BD36" s="374"/>
      <c r="BE36" s="374"/>
      <c r="BF36" s="155">
        <f t="shared" si="61"/>
        <v>0</v>
      </c>
      <c r="BG36" s="374"/>
      <c r="BH36" s="374"/>
      <c r="BI36" s="155">
        <f t="shared" si="62"/>
        <v>0</v>
      </c>
      <c r="BJ36" s="374"/>
      <c r="BK36" s="374"/>
      <c r="BL36" s="155">
        <f t="shared" si="63"/>
        <v>0</v>
      </c>
      <c r="BM36" s="374"/>
      <c r="BN36" s="374"/>
      <c r="BO36" s="155">
        <f t="shared" si="64"/>
        <v>0</v>
      </c>
      <c r="BP36" s="374"/>
      <c r="BQ36" s="374"/>
      <c r="BR36" s="155">
        <f t="shared" si="65"/>
        <v>0</v>
      </c>
      <c r="BS36" s="374"/>
      <c r="BT36" s="374"/>
      <c r="BU36" s="155"/>
      <c r="BV36" s="155">
        <f t="shared" si="66"/>
        <v>0</v>
      </c>
      <c r="BW36" s="374"/>
      <c r="BX36" s="374"/>
      <c r="BY36" s="155"/>
      <c r="BZ36" s="155">
        <f t="shared" si="67"/>
        <v>0</v>
      </c>
      <c r="CA36" s="374"/>
      <c r="CB36" s="374"/>
      <c r="CC36" s="155">
        <f t="shared" si="40"/>
        <v>0</v>
      </c>
      <c r="CD36" s="374"/>
      <c r="CE36" s="374"/>
      <c r="CF36" s="155"/>
      <c r="CG36" s="155">
        <f t="shared" si="41"/>
        <v>0</v>
      </c>
      <c r="CH36" s="374"/>
      <c r="CI36" s="374"/>
      <c r="CJ36" s="155"/>
      <c r="CK36" s="374"/>
      <c r="CL36" s="374"/>
      <c r="CM36" s="155">
        <f t="shared" si="69"/>
        <v>0</v>
      </c>
      <c r="CN36" s="374"/>
      <c r="CO36" s="374"/>
      <c r="CP36" s="155"/>
      <c r="CQ36" s="374"/>
      <c r="CR36" s="374"/>
      <c r="CS36" s="155">
        <f t="shared" si="42"/>
        <v>0</v>
      </c>
      <c r="CT36" s="374"/>
      <c r="CU36" s="374"/>
      <c r="CV36" s="155"/>
      <c r="CW36" s="155">
        <f t="shared" si="43"/>
        <v>0</v>
      </c>
      <c r="CX36" s="374"/>
      <c r="CY36" s="374"/>
      <c r="CZ36" s="155">
        <f t="shared" si="44"/>
        <v>0</v>
      </c>
      <c r="DA36" s="374"/>
      <c r="DB36" s="374"/>
      <c r="DC36" s="155">
        <f t="shared" si="45"/>
        <v>0</v>
      </c>
      <c r="DD36" s="374"/>
      <c r="DE36" s="374"/>
      <c r="DF36" s="155"/>
      <c r="DG36" s="155">
        <f t="shared" si="46"/>
        <v>0</v>
      </c>
      <c r="DH36" s="374"/>
      <c r="DI36" s="374"/>
      <c r="DJ36" s="374"/>
      <c r="DK36" s="155"/>
      <c r="DL36" s="155"/>
      <c r="DM36" s="155"/>
      <c r="DN36" s="155"/>
      <c r="DO36" s="155"/>
      <c r="DP36" s="155"/>
      <c r="DQ36" s="155"/>
      <c r="DR36" s="155"/>
      <c r="DS36" s="374"/>
      <c r="DT36" s="374"/>
      <c r="DU36" s="155"/>
      <c r="DV36" s="155"/>
      <c r="DW36" s="377"/>
      <c r="DX36" s="190">
        <f t="shared" si="50"/>
        <v>3364300</v>
      </c>
      <c r="DY36" s="341">
        <f t="shared" si="21"/>
        <v>0</v>
      </c>
      <c r="DZ36" s="342"/>
      <c r="EA36" s="373">
        <f t="shared" si="22"/>
        <v>0</v>
      </c>
      <c r="EC36" s="326"/>
    </row>
    <row r="37" spans="1:133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>
        <v>62000</v>
      </c>
      <c r="F37" s="373">
        <f t="shared" si="48"/>
        <v>62000</v>
      </c>
      <c r="G37" s="234"/>
      <c r="H37" s="155"/>
      <c r="I37" s="155"/>
      <c r="J37" s="155"/>
      <c r="K37" s="155"/>
      <c r="L37" s="155">
        <f>+'[3]Particitivní rozpočet'!$B$75+'[2]Participativní rozpočet'!$B$75</f>
        <v>0</v>
      </c>
      <c r="M37" s="155">
        <f>[2]Zastupitelé!$B$58</f>
        <v>20000</v>
      </c>
      <c r="N37" s="155"/>
      <c r="O37" s="155">
        <f t="shared" si="23"/>
        <v>30000</v>
      </c>
      <c r="P37" s="374">
        <f>[2]Správa!$D$82</f>
        <v>30000</v>
      </c>
      <c r="Q37" s="375">
        <f>[2]Správa!$E$82</f>
        <v>0</v>
      </c>
      <c r="R37" s="155"/>
      <c r="S37" s="384">
        <f t="shared" si="52"/>
        <v>0</v>
      </c>
      <c r="T37" s="155">
        <f>'[2]Pečovatelská služba'!$B$73</f>
        <v>1000</v>
      </c>
      <c r="U37" s="155"/>
      <c r="V37" s="155">
        <f>'[2]Městská policie'!$B$99</f>
        <v>10000</v>
      </c>
      <c r="W37" s="155"/>
      <c r="X37" s="155"/>
      <c r="Y37" s="155">
        <f>[2]Knihovna!$B$75</f>
        <v>1000</v>
      </c>
      <c r="Z37" s="155"/>
      <c r="AA37" s="155"/>
      <c r="AB37" s="155">
        <f t="shared" si="55"/>
        <v>0</v>
      </c>
      <c r="AC37" s="374"/>
      <c r="AD37" s="374"/>
      <c r="AE37" s="155">
        <f t="shared" si="56"/>
        <v>0</v>
      </c>
      <c r="AF37" s="374"/>
      <c r="AG37" s="374"/>
      <c r="AH37" s="155">
        <f t="shared" si="57"/>
        <v>0</v>
      </c>
      <c r="AI37" s="374"/>
      <c r="AJ37" s="374"/>
      <c r="AK37" s="155"/>
      <c r="AL37" s="155"/>
      <c r="AM37" s="155"/>
      <c r="AN37" s="155">
        <f t="shared" si="58"/>
        <v>0</v>
      </c>
      <c r="AO37" s="374"/>
      <c r="AP37" s="374"/>
      <c r="AQ37" s="155">
        <f t="shared" si="59"/>
        <v>0</v>
      </c>
      <c r="AR37" s="374"/>
      <c r="AS37" s="374"/>
      <c r="AT37" s="155">
        <f t="shared" si="53"/>
        <v>0</v>
      </c>
      <c r="AU37" s="374"/>
      <c r="AV37" s="374"/>
      <c r="AW37" s="155">
        <f t="shared" si="54"/>
        <v>0</v>
      </c>
      <c r="AX37" s="374"/>
      <c r="AY37" s="374"/>
      <c r="AZ37" s="155">
        <f t="shared" si="60"/>
        <v>0</v>
      </c>
      <c r="BA37" s="374"/>
      <c r="BB37" s="374"/>
      <c r="BC37" s="155">
        <f t="shared" si="32"/>
        <v>0</v>
      </c>
      <c r="BD37" s="374"/>
      <c r="BE37" s="374"/>
      <c r="BF37" s="155">
        <f t="shared" si="61"/>
        <v>0</v>
      </c>
      <c r="BG37" s="374"/>
      <c r="BH37" s="374"/>
      <c r="BI37" s="155">
        <f t="shared" si="62"/>
        <v>0</v>
      </c>
      <c r="BJ37" s="374"/>
      <c r="BK37" s="374"/>
      <c r="BL37" s="155">
        <f t="shared" si="63"/>
        <v>0</v>
      </c>
      <c r="BM37" s="374"/>
      <c r="BN37" s="374"/>
      <c r="BO37" s="155">
        <f t="shared" si="64"/>
        <v>0</v>
      </c>
      <c r="BP37" s="374"/>
      <c r="BQ37" s="374"/>
      <c r="BR37" s="155">
        <f t="shared" si="65"/>
        <v>0</v>
      </c>
      <c r="BS37" s="374"/>
      <c r="BT37" s="374"/>
      <c r="BU37" s="155"/>
      <c r="BV37" s="155">
        <f t="shared" si="66"/>
        <v>0</v>
      </c>
      <c r="BW37" s="374"/>
      <c r="BX37" s="374"/>
      <c r="BY37" s="155"/>
      <c r="BZ37" s="155">
        <f t="shared" si="67"/>
        <v>0</v>
      </c>
      <c r="CA37" s="374"/>
      <c r="CB37" s="374"/>
      <c r="CC37" s="155">
        <f t="shared" si="40"/>
        <v>0</v>
      </c>
      <c r="CD37" s="374"/>
      <c r="CE37" s="374"/>
      <c r="CF37" s="155"/>
      <c r="CG37" s="155">
        <f t="shared" si="41"/>
        <v>0</v>
      </c>
      <c r="CH37" s="374"/>
      <c r="CI37" s="374"/>
      <c r="CJ37" s="155"/>
      <c r="CK37" s="374"/>
      <c r="CL37" s="374"/>
      <c r="CM37" s="155">
        <f t="shared" si="69"/>
        <v>0</v>
      </c>
      <c r="CN37" s="374"/>
      <c r="CO37" s="374"/>
      <c r="CP37" s="155"/>
      <c r="CQ37" s="374"/>
      <c r="CR37" s="374"/>
      <c r="CS37" s="155">
        <f t="shared" si="42"/>
        <v>0</v>
      </c>
      <c r="CT37" s="374"/>
      <c r="CU37" s="374"/>
      <c r="CV37" s="155"/>
      <c r="CW37" s="155">
        <f t="shared" si="43"/>
        <v>0</v>
      </c>
      <c r="CX37" s="374"/>
      <c r="CY37" s="374"/>
      <c r="CZ37" s="155">
        <f t="shared" si="44"/>
        <v>0</v>
      </c>
      <c r="DA37" s="374"/>
      <c r="DB37" s="374"/>
      <c r="DC37" s="155">
        <f t="shared" si="45"/>
        <v>0</v>
      </c>
      <c r="DD37" s="374"/>
      <c r="DE37" s="374"/>
      <c r="DF37" s="155"/>
      <c r="DG37" s="155">
        <f t="shared" si="46"/>
        <v>0</v>
      </c>
      <c r="DH37" s="374"/>
      <c r="DI37" s="374"/>
      <c r="DJ37" s="374"/>
      <c r="DK37" s="155"/>
      <c r="DL37" s="155"/>
      <c r="DM37" s="155"/>
      <c r="DN37" s="155"/>
      <c r="DO37" s="155"/>
      <c r="DP37" s="155"/>
      <c r="DQ37" s="155"/>
      <c r="DR37" s="155"/>
      <c r="DS37" s="374"/>
      <c r="DT37" s="374"/>
      <c r="DU37" s="155"/>
      <c r="DV37" s="155"/>
      <c r="DW37" s="377"/>
      <c r="DX37" s="190">
        <f t="shared" si="50"/>
        <v>62000</v>
      </c>
      <c r="DY37" s="341">
        <f t="shared" si="21"/>
        <v>0</v>
      </c>
      <c r="DZ37" s="342"/>
      <c r="EA37" s="373">
        <f t="shared" si="22"/>
        <v>0</v>
      </c>
      <c r="EC37" s="326"/>
    </row>
    <row r="38" spans="1:133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431000</v>
      </c>
      <c r="E38" s="373">
        <v>431000</v>
      </c>
      <c r="F38" s="373">
        <f t="shared" si="48"/>
        <v>431000</v>
      </c>
      <c r="G38" s="234"/>
      <c r="H38" s="155"/>
      <c r="I38" s="155"/>
      <c r="J38" s="155"/>
      <c r="K38" s="155"/>
      <c r="L38" s="155">
        <f>+'[3]Particitivní rozpočet'!$B$82+'[2]Participativní rozpočet'!$B$82</f>
        <v>0</v>
      </c>
      <c r="M38" s="155">
        <f>[2]Zastupitelé!$B$65</f>
        <v>140000</v>
      </c>
      <c r="N38" s="155">
        <f>'[4]Volby '!$B$32</f>
        <v>0</v>
      </c>
      <c r="O38" s="155">
        <f t="shared" si="23"/>
        <v>150000</v>
      </c>
      <c r="P38" s="374">
        <f>[2]Správa!$D$89</f>
        <v>150000</v>
      </c>
      <c r="Q38" s="375">
        <f>[2]Správa!$E$89</f>
        <v>0</v>
      </c>
      <c r="R38" s="155"/>
      <c r="S38" s="384">
        <f t="shared" si="52"/>
        <v>0</v>
      </c>
      <c r="T38" s="155">
        <f>'[2]Pečovatelská služba'!$B$80</f>
        <v>12000</v>
      </c>
      <c r="U38" s="155"/>
      <c r="V38" s="155">
        <f>'[2]Městská policie'!$B$106</f>
        <v>8000</v>
      </c>
      <c r="W38" s="155"/>
      <c r="X38" s="155"/>
      <c r="Y38" s="155">
        <f>[2]Knihovna!$B$82</f>
        <v>1000</v>
      </c>
      <c r="Z38" s="155"/>
      <c r="AA38" s="155">
        <f>[2]Kultura!$B$39</f>
        <v>110000</v>
      </c>
      <c r="AB38" s="155">
        <f t="shared" si="24"/>
        <v>0</v>
      </c>
      <c r="AC38" s="374"/>
      <c r="AD38" s="374"/>
      <c r="AE38" s="155">
        <f t="shared" si="25"/>
        <v>0</v>
      </c>
      <c r="AF38" s="374"/>
      <c r="AG38" s="374"/>
      <c r="AH38" s="155">
        <f t="shared" si="26"/>
        <v>0</v>
      </c>
      <c r="AI38" s="374"/>
      <c r="AJ38" s="374"/>
      <c r="AK38" s="155">
        <f>[2]Hasiči!$B$75</f>
        <v>10000</v>
      </c>
      <c r="AL38" s="155"/>
      <c r="AM38" s="155"/>
      <c r="AN38" s="155">
        <f t="shared" si="27"/>
        <v>0</v>
      </c>
      <c r="AO38" s="374"/>
      <c r="AP38" s="374"/>
      <c r="AQ38" s="155">
        <f t="shared" si="28"/>
        <v>0</v>
      </c>
      <c r="AR38" s="374"/>
      <c r="AS38" s="374"/>
      <c r="AT38" s="155">
        <f t="shared" si="53"/>
        <v>0</v>
      </c>
      <c r="AU38" s="374"/>
      <c r="AV38" s="374"/>
      <c r="AW38" s="155">
        <f t="shared" si="54"/>
        <v>0</v>
      </c>
      <c r="AX38" s="374"/>
      <c r="AY38" s="374"/>
      <c r="AZ38" s="155">
        <f t="shared" si="31"/>
        <v>0</v>
      </c>
      <c r="BA38" s="374"/>
      <c r="BB38" s="374"/>
      <c r="BC38" s="155">
        <f t="shared" si="32"/>
        <v>0</v>
      </c>
      <c r="BD38" s="374"/>
      <c r="BE38" s="374"/>
      <c r="BF38" s="155">
        <f t="shared" si="33"/>
        <v>0</v>
      </c>
      <c r="BG38" s="374">
        <f>[2]č.p.65!$D$39</f>
        <v>0</v>
      </c>
      <c r="BH38" s="374">
        <f>[2]č.p.65!$E$39</f>
        <v>0</v>
      </c>
      <c r="BI38" s="155">
        <f t="shared" si="34"/>
        <v>0</v>
      </c>
      <c r="BJ38" s="374"/>
      <c r="BK38" s="374"/>
      <c r="BL38" s="155">
        <f t="shared" si="35"/>
        <v>0</v>
      </c>
      <c r="BM38" s="374"/>
      <c r="BN38" s="374"/>
      <c r="BO38" s="155">
        <f t="shared" si="36"/>
        <v>0</v>
      </c>
      <c r="BP38" s="374"/>
      <c r="BQ38" s="374"/>
      <c r="BR38" s="155">
        <f t="shared" si="37"/>
        <v>0</v>
      </c>
      <c r="BS38" s="374"/>
      <c r="BT38" s="374"/>
      <c r="BU38" s="155"/>
      <c r="BV38" s="155">
        <f t="shared" si="38"/>
        <v>0</v>
      </c>
      <c r="BW38" s="374"/>
      <c r="BX38" s="374"/>
      <c r="BY38" s="155"/>
      <c r="BZ38" s="155">
        <f t="shared" si="39"/>
        <v>0</v>
      </c>
      <c r="CA38" s="374"/>
      <c r="CB38" s="374"/>
      <c r="CC38" s="155">
        <f t="shared" si="40"/>
        <v>0</v>
      </c>
      <c r="CD38" s="374"/>
      <c r="CE38" s="374"/>
      <c r="CF38" s="155"/>
      <c r="CG38" s="155">
        <f t="shared" si="41"/>
        <v>0</v>
      </c>
      <c r="CH38" s="374"/>
      <c r="CI38" s="374"/>
      <c r="CJ38" s="155"/>
      <c r="CK38" s="374"/>
      <c r="CL38" s="374"/>
      <c r="CM38" s="155"/>
      <c r="CN38" s="374"/>
      <c r="CO38" s="374"/>
      <c r="CP38" s="155"/>
      <c r="CQ38" s="374"/>
      <c r="CR38" s="374"/>
      <c r="CS38" s="155">
        <f t="shared" si="42"/>
        <v>0</v>
      </c>
      <c r="CT38" s="374"/>
      <c r="CU38" s="374"/>
      <c r="CV38" s="155"/>
      <c r="CW38" s="155">
        <f t="shared" si="43"/>
        <v>0</v>
      </c>
      <c r="CX38" s="374"/>
      <c r="CY38" s="374"/>
      <c r="CZ38" s="155">
        <f t="shared" si="44"/>
        <v>0</v>
      </c>
      <c r="DA38" s="374"/>
      <c r="DB38" s="374"/>
      <c r="DC38" s="155">
        <f t="shared" si="45"/>
        <v>0</v>
      </c>
      <c r="DD38" s="374"/>
      <c r="DE38" s="374"/>
      <c r="DF38" s="155"/>
      <c r="DG38" s="155">
        <f t="shared" si="46"/>
        <v>0</v>
      </c>
      <c r="DH38" s="374"/>
      <c r="DI38" s="374"/>
      <c r="DJ38" s="374"/>
      <c r="DK38" s="155"/>
      <c r="DL38" s="155"/>
      <c r="DM38" s="155"/>
      <c r="DN38" s="155"/>
      <c r="DO38" s="155"/>
      <c r="DP38" s="155"/>
      <c r="DQ38" s="155"/>
      <c r="DR38" s="155"/>
      <c r="DS38" s="374"/>
      <c r="DT38" s="374"/>
      <c r="DU38" s="155"/>
      <c r="DV38" s="155"/>
      <c r="DW38" s="377"/>
      <c r="DX38" s="190">
        <f t="shared" si="50"/>
        <v>431000</v>
      </c>
      <c r="DY38" s="341">
        <f t="shared" si="21"/>
        <v>0</v>
      </c>
      <c r="DZ38" s="342"/>
      <c r="EA38" s="373">
        <f t="shared" si="22"/>
        <v>0</v>
      </c>
      <c r="EC38" s="326"/>
    </row>
    <row r="39" spans="1:133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>
        <v>0</v>
      </c>
      <c r="F39" s="373">
        <f t="shared" si="48"/>
        <v>0</v>
      </c>
      <c r="G39" s="234"/>
      <c r="H39" s="155"/>
      <c r="I39" s="155"/>
      <c r="J39" s="155"/>
      <c r="K39" s="155"/>
      <c r="L39" s="155"/>
      <c r="M39" s="155"/>
      <c r="N39" s="155"/>
      <c r="O39" s="155">
        <f t="shared" si="23"/>
        <v>0</v>
      </c>
      <c r="P39" s="374">
        <f>+[2]Správa!$D$96</f>
        <v>0</v>
      </c>
      <c r="Q39" s="375">
        <f>[2]Správa!$E$96</f>
        <v>0</v>
      </c>
      <c r="R39" s="155"/>
      <c r="S39" s="384">
        <f t="shared" si="52"/>
        <v>0</v>
      </c>
      <c r="T39" s="155"/>
      <c r="U39" s="155"/>
      <c r="V39" s="155"/>
      <c r="W39" s="155"/>
      <c r="X39" s="155"/>
      <c r="Y39" s="155"/>
      <c r="Z39" s="155"/>
      <c r="AA39" s="155"/>
      <c r="AB39" s="155">
        <f t="shared" si="24"/>
        <v>0</v>
      </c>
      <c r="AC39" s="374"/>
      <c r="AD39" s="374"/>
      <c r="AE39" s="155">
        <f t="shared" si="25"/>
        <v>0</v>
      </c>
      <c r="AF39" s="374"/>
      <c r="AG39" s="374"/>
      <c r="AH39" s="155">
        <f t="shared" si="26"/>
        <v>0</v>
      </c>
      <c r="AI39" s="374"/>
      <c r="AJ39" s="374"/>
      <c r="AK39" s="155"/>
      <c r="AL39" s="155"/>
      <c r="AM39" s="155"/>
      <c r="AN39" s="155">
        <f t="shared" si="27"/>
        <v>0</v>
      </c>
      <c r="AO39" s="374"/>
      <c r="AP39" s="374"/>
      <c r="AQ39" s="155">
        <f t="shared" si="28"/>
        <v>0</v>
      </c>
      <c r="AR39" s="374"/>
      <c r="AS39" s="374"/>
      <c r="AT39" s="155">
        <f t="shared" si="53"/>
        <v>0</v>
      </c>
      <c r="AU39" s="374"/>
      <c r="AV39" s="374"/>
      <c r="AW39" s="155">
        <f t="shared" si="54"/>
        <v>0</v>
      </c>
      <c r="AX39" s="374"/>
      <c r="AY39" s="374"/>
      <c r="AZ39" s="155">
        <f t="shared" si="31"/>
        <v>0</v>
      </c>
      <c r="BA39" s="374"/>
      <c r="BB39" s="374"/>
      <c r="BC39" s="155">
        <f t="shared" si="32"/>
        <v>0</v>
      </c>
      <c r="BD39" s="374"/>
      <c r="BE39" s="374"/>
      <c r="BF39" s="155">
        <f t="shared" si="33"/>
        <v>0</v>
      </c>
      <c r="BG39" s="374"/>
      <c r="BH39" s="374"/>
      <c r="BI39" s="155">
        <f t="shared" si="34"/>
        <v>0</v>
      </c>
      <c r="BJ39" s="374"/>
      <c r="BK39" s="374"/>
      <c r="BL39" s="155">
        <f t="shared" si="35"/>
        <v>0</v>
      </c>
      <c r="BM39" s="374"/>
      <c r="BN39" s="374"/>
      <c r="BO39" s="155">
        <f t="shared" si="36"/>
        <v>0</v>
      </c>
      <c r="BP39" s="374"/>
      <c r="BQ39" s="374"/>
      <c r="BR39" s="155">
        <f t="shared" si="37"/>
        <v>0</v>
      </c>
      <c r="BS39" s="374"/>
      <c r="BT39" s="374"/>
      <c r="BU39" s="155"/>
      <c r="BV39" s="155">
        <f t="shared" si="38"/>
        <v>0</v>
      </c>
      <c r="BW39" s="374"/>
      <c r="BX39" s="374"/>
      <c r="BY39" s="155"/>
      <c r="BZ39" s="155">
        <f t="shared" si="39"/>
        <v>0</v>
      </c>
      <c r="CA39" s="374"/>
      <c r="CB39" s="374"/>
      <c r="CC39" s="155">
        <f t="shared" si="40"/>
        <v>0</v>
      </c>
      <c r="CD39" s="374"/>
      <c r="CE39" s="374"/>
      <c r="CF39" s="155"/>
      <c r="CG39" s="155">
        <f t="shared" si="41"/>
        <v>0</v>
      </c>
      <c r="CH39" s="374"/>
      <c r="CI39" s="374"/>
      <c r="CJ39" s="155"/>
      <c r="CK39" s="374"/>
      <c r="CL39" s="374"/>
      <c r="CM39" s="155"/>
      <c r="CN39" s="374"/>
      <c r="CO39" s="374"/>
      <c r="CP39" s="155"/>
      <c r="CQ39" s="374"/>
      <c r="CR39" s="374"/>
      <c r="CS39" s="155">
        <f t="shared" si="42"/>
        <v>0</v>
      </c>
      <c r="CT39" s="374"/>
      <c r="CU39" s="374"/>
      <c r="CV39" s="155"/>
      <c r="CW39" s="155">
        <f t="shared" si="43"/>
        <v>0</v>
      </c>
      <c r="CX39" s="374"/>
      <c r="CY39" s="374"/>
      <c r="CZ39" s="155">
        <f t="shared" si="44"/>
        <v>0</v>
      </c>
      <c r="DA39" s="374"/>
      <c r="DB39" s="374"/>
      <c r="DC39" s="155">
        <f t="shared" si="45"/>
        <v>0</v>
      </c>
      <c r="DD39" s="374"/>
      <c r="DE39" s="374"/>
      <c r="DF39" s="155"/>
      <c r="DG39" s="155">
        <f t="shared" si="46"/>
        <v>0</v>
      </c>
      <c r="DH39" s="374"/>
      <c r="DI39" s="374"/>
      <c r="DJ39" s="374"/>
      <c r="DK39" s="155"/>
      <c r="DL39" s="155"/>
      <c r="DM39" s="155"/>
      <c r="DN39" s="155"/>
      <c r="DO39" s="155"/>
      <c r="DP39" s="155"/>
      <c r="DQ39" s="155"/>
      <c r="DR39" s="155"/>
      <c r="DS39" s="374"/>
      <c r="DT39" s="374"/>
      <c r="DU39" s="155"/>
      <c r="DV39" s="155"/>
      <c r="DW39" s="377"/>
      <c r="DX39" s="190">
        <f t="shared" si="50"/>
        <v>0</v>
      </c>
      <c r="DY39" s="341">
        <f t="shared" si="21"/>
        <v>0</v>
      </c>
      <c r="DZ39" s="342"/>
      <c r="EA39" s="373">
        <f>+Q39+AD39+AG39++AJ39+AP39+AS39+BB39+BH39+BK39+BN39+BQ39+BT39+BX39+CB39+CE39+CI39+CU39+CY39+DB39+DE39+DJ39</f>
        <v>0</v>
      </c>
      <c r="EC39" s="326"/>
    </row>
    <row r="40" spans="1:133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v>0</v>
      </c>
      <c r="F40" s="373">
        <f t="shared" si="48"/>
        <v>0</v>
      </c>
      <c r="G40" s="234"/>
      <c r="H40" s="155"/>
      <c r="I40" s="155"/>
      <c r="J40" s="155"/>
      <c r="K40" s="155"/>
      <c r="L40" s="155"/>
      <c r="M40" s="155"/>
      <c r="N40" s="155"/>
      <c r="O40" s="155">
        <f t="shared" si="23"/>
        <v>0</v>
      </c>
      <c r="P40" s="374"/>
      <c r="Q40" s="375"/>
      <c r="R40" s="155"/>
      <c r="S40" s="384">
        <f t="shared" si="52"/>
        <v>0</v>
      </c>
      <c r="T40" s="155"/>
      <c r="U40" s="155"/>
      <c r="V40" s="155"/>
      <c r="W40" s="155"/>
      <c r="X40" s="155"/>
      <c r="Y40" s="155"/>
      <c r="Z40" s="155"/>
      <c r="AA40" s="155"/>
      <c r="AB40" s="155">
        <f t="shared" si="24"/>
        <v>0</v>
      </c>
      <c r="AC40" s="374"/>
      <c r="AD40" s="374"/>
      <c r="AE40" s="155">
        <f t="shared" si="25"/>
        <v>0</v>
      </c>
      <c r="AF40" s="374"/>
      <c r="AG40" s="374"/>
      <c r="AH40" s="155">
        <f t="shared" si="26"/>
        <v>0</v>
      </c>
      <c r="AI40" s="374"/>
      <c r="AJ40" s="374"/>
      <c r="AK40" s="155"/>
      <c r="AL40" s="155"/>
      <c r="AM40" s="155"/>
      <c r="AN40" s="155">
        <f t="shared" si="27"/>
        <v>0</v>
      </c>
      <c r="AO40" s="374"/>
      <c r="AP40" s="374"/>
      <c r="AQ40" s="155">
        <f t="shared" si="28"/>
        <v>0</v>
      </c>
      <c r="AR40" s="374"/>
      <c r="AS40" s="374"/>
      <c r="AT40" s="155">
        <f t="shared" si="53"/>
        <v>0</v>
      </c>
      <c r="AU40" s="374"/>
      <c r="AV40" s="374"/>
      <c r="AW40" s="155">
        <f t="shared" si="54"/>
        <v>0</v>
      </c>
      <c r="AX40" s="374"/>
      <c r="AY40" s="374"/>
      <c r="AZ40" s="155">
        <f t="shared" si="31"/>
        <v>0</v>
      </c>
      <c r="BA40" s="374"/>
      <c r="BB40" s="374"/>
      <c r="BC40" s="155">
        <f t="shared" si="32"/>
        <v>0</v>
      </c>
      <c r="BD40" s="374"/>
      <c r="BE40" s="374"/>
      <c r="BF40" s="155">
        <f t="shared" si="33"/>
        <v>0</v>
      </c>
      <c r="BG40" s="374"/>
      <c r="BH40" s="374"/>
      <c r="BI40" s="155">
        <f t="shared" si="34"/>
        <v>0</v>
      </c>
      <c r="BJ40" s="374"/>
      <c r="BK40" s="374"/>
      <c r="BL40" s="155">
        <f t="shared" si="35"/>
        <v>0</v>
      </c>
      <c r="BM40" s="374"/>
      <c r="BN40" s="374"/>
      <c r="BO40" s="155">
        <f t="shared" si="36"/>
        <v>0</v>
      </c>
      <c r="BP40" s="374"/>
      <c r="BQ40" s="374"/>
      <c r="BR40" s="155">
        <f t="shared" si="37"/>
        <v>0</v>
      </c>
      <c r="BS40" s="374"/>
      <c r="BT40" s="374"/>
      <c r="BU40" s="155"/>
      <c r="BV40" s="155">
        <f t="shared" si="38"/>
        <v>0</v>
      </c>
      <c r="BW40" s="374"/>
      <c r="BX40" s="374"/>
      <c r="BY40" s="155"/>
      <c r="BZ40" s="155">
        <f t="shared" si="39"/>
        <v>0</v>
      </c>
      <c r="CA40" s="374"/>
      <c r="CB40" s="374"/>
      <c r="CC40" s="155">
        <f t="shared" si="40"/>
        <v>0</v>
      </c>
      <c r="CD40" s="374"/>
      <c r="CE40" s="374"/>
      <c r="CF40" s="155"/>
      <c r="CG40" s="155">
        <f t="shared" si="41"/>
        <v>0</v>
      </c>
      <c r="CH40" s="374"/>
      <c r="CI40" s="374"/>
      <c r="CJ40" s="155"/>
      <c r="CK40" s="374"/>
      <c r="CL40" s="374"/>
      <c r="CM40" s="155"/>
      <c r="CN40" s="374"/>
      <c r="CO40" s="374"/>
      <c r="CP40" s="155"/>
      <c r="CQ40" s="374"/>
      <c r="CR40" s="374"/>
      <c r="CS40" s="155">
        <f t="shared" si="42"/>
        <v>0</v>
      </c>
      <c r="CT40" s="374"/>
      <c r="CU40" s="374"/>
      <c r="CV40" s="155"/>
      <c r="CW40" s="155">
        <f t="shared" si="43"/>
        <v>0</v>
      </c>
      <c r="CX40" s="374"/>
      <c r="CY40" s="374"/>
      <c r="CZ40" s="155">
        <f t="shared" si="44"/>
        <v>0</v>
      </c>
      <c r="DA40" s="374"/>
      <c r="DB40" s="374"/>
      <c r="DC40" s="155">
        <f t="shared" si="45"/>
        <v>0</v>
      </c>
      <c r="DD40" s="374"/>
      <c r="DE40" s="374"/>
      <c r="DF40" s="155"/>
      <c r="DG40" s="155">
        <f t="shared" si="46"/>
        <v>0</v>
      </c>
      <c r="DH40" s="374"/>
      <c r="DI40" s="374"/>
      <c r="DJ40" s="374"/>
      <c r="DK40" s="155"/>
      <c r="DL40" s="155"/>
      <c r="DM40" s="155"/>
      <c r="DN40" s="155"/>
      <c r="DO40" s="155"/>
      <c r="DP40" s="155"/>
      <c r="DQ40" s="155"/>
      <c r="DR40" s="155"/>
      <c r="DS40" s="374"/>
      <c r="DT40" s="374"/>
      <c r="DU40" s="155"/>
      <c r="DV40" s="155"/>
      <c r="DW40" s="377"/>
      <c r="DX40" s="190">
        <f t="shared" si="50"/>
        <v>0</v>
      </c>
      <c r="DY40" s="341">
        <f t="shared" ref="DY40:DY73" si="70">DX40-F40</f>
        <v>0</v>
      </c>
      <c r="DZ40" s="342"/>
      <c r="EA40" s="373">
        <f t="shared" si="22"/>
        <v>0</v>
      </c>
      <c r="EC40" s="326"/>
    </row>
    <row r="41" spans="1:133" ht="13.5" customHeight="1" outlineLevel="1" x14ac:dyDescent="0.25">
      <c r="A41" s="222">
        <v>5213</v>
      </c>
      <c r="B41" s="205" t="s">
        <v>95</v>
      </c>
      <c r="C41" s="373">
        <v>2978575</v>
      </c>
      <c r="D41" s="373">
        <v>2978575</v>
      </c>
      <c r="E41" s="373">
        <v>2978575</v>
      </c>
      <c r="F41" s="373">
        <f t="shared" si="48"/>
        <v>2978575</v>
      </c>
      <c r="G41" s="234"/>
      <c r="H41" s="155"/>
      <c r="I41" s="155"/>
      <c r="J41" s="155"/>
      <c r="K41" s="155"/>
      <c r="L41" s="155"/>
      <c r="M41" s="155"/>
      <c r="N41" s="155"/>
      <c r="O41" s="155">
        <f t="shared" si="23"/>
        <v>0</v>
      </c>
      <c r="P41" s="374"/>
      <c r="Q41" s="375"/>
      <c r="R41" s="155"/>
      <c r="S41" s="384">
        <f t="shared" si="52"/>
        <v>0</v>
      </c>
      <c r="T41" s="155"/>
      <c r="U41" s="155"/>
      <c r="V41" s="155"/>
      <c r="W41" s="155"/>
      <c r="X41" s="155"/>
      <c r="Y41" s="155"/>
      <c r="Z41" s="155"/>
      <c r="AA41" s="155"/>
      <c r="AB41" s="155">
        <f t="shared" si="24"/>
        <v>0</v>
      </c>
      <c r="AC41" s="374"/>
      <c r="AD41" s="374"/>
      <c r="AE41" s="155">
        <f t="shared" si="25"/>
        <v>0</v>
      </c>
      <c r="AF41" s="374"/>
      <c r="AG41" s="374"/>
      <c r="AH41" s="155">
        <f t="shared" si="26"/>
        <v>0</v>
      </c>
      <c r="AI41" s="374"/>
      <c r="AJ41" s="374"/>
      <c r="AK41" s="155"/>
      <c r="AL41" s="155"/>
      <c r="AM41" s="155"/>
      <c r="AN41" s="155">
        <f t="shared" si="27"/>
        <v>0</v>
      </c>
      <c r="AO41" s="374"/>
      <c r="AP41" s="374"/>
      <c r="AQ41" s="155">
        <f t="shared" si="28"/>
        <v>0</v>
      </c>
      <c r="AR41" s="374"/>
      <c r="AS41" s="374"/>
      <c r="AT41" s="155">
        <f t="shared" si="53"/>
        <v>0</v>
      </c>
      <c r="AU41" s="374"/>
      <c r="AV41" s="374"/>
      <c r="AW41" s="155">
        <f t="shared" si="54"/>
        <v>0</v>
      </c>
      <c r="AX41" s="374"/>
      <c r="AY41" s="374"/>
      <c r="AZ41" s="155">
        <f t="shared" si="31"/>
        <v>0</v>
      </c>
      <c r="BA41" s="374"/>
      <c r="BB41" s="374"/>
      <c r="BC41" s="155">
        <f t="shared" si="32"/>
        <v>0</v>
      </c>
      <c r="BD41" s="374"/>
      <c r="BE41" s="374"/>
      <c r="BF41" s="155">
        <f t="shared" si="33"/>
        <v>0</v>
      </c>
      <c r="BG41" s="374"/>
      <c r="BH41" s="374"/>
      <c r="BI41" s="155">
        <f t="shared" si="34"/>
        <v>0</v>
      </c>
      <c r="BJ41" s="374"/>
      <c r="BK41" s="374"/>
      <c r="BL41" s="155">
        <f t="shared" si="35"/>
        <v>0</v>
      </c>
      <c r="BM41" s="374"/>
      <c r="BN41" s="374"/>
      <c r="BO41" s="155">
        <f t="shared" si="36"/>
        <v>0</v>
      </c>
      <c r="BP41" s="374"/>
      <c r="BQ41" s="374"/>
      <c r="BR41" s="155">
        <f t="shared" si="37"/>
        <v>0</v>
      </c>
      <c r="BS41" s="374"/>
      <c r="BT41" s="374"/>
      <c r="BU41" s="155"/>
      <c r="BV41" s="155">
        <f t="shared" si="38"/>
        <v>0</v>
      </c>
      <c r="BW41" s="374"/>
      <c r="BX41" s="374"/>
      <c r="BY41" s="155"/>
      <c r="BZ41" s="155">
        <f t="shared" si="39"/>
        <v>0</v>
      </c>
      <c r="CA41" s="374"/>
      <c r="CB41" s="374"/>
      <c r="CC41" s="155">
        <f t="shared" si="40"/>
        <v>0</v>
      </c>
      <c r="CD41" s="374"/>
      <c r="CE41" s="374"/>
      <c r="CF41" s="155">
        <f>[5]Doprava!$B$11</f>
        <v>2978575</v>
      </c>
      <c r="CG41" s="155">
        <f t="shared" si="41"/>
        <v>0</v>
      </c>
      <c r="CH41" s="374"/>
      <c r="CI41" s="374"/>
      <c r="CJ41" s="155"/>
      <c r="CK41" s="374"/>
      <c r="CL41" s="374"/>
      <c r="CM41" s="155"/>
      <c r="CN41" s="374"/>
      <c r="CO41" s="374"/>
      <c r="CP41" s="155"/>
      <c r="CQ41" s="374"/>
      <c r="CR41" s="374"/>
      <c r="CS41" s="155">
        <f t="shared" si="42"/>
        <v>0</v>
      </c>
      <c r="CT41" s="374"/>
      <c r="CU41" s="374"/>
      <c r="CV41" s="155"/>
      <c r="CW41" s="155">
        <f t="shared" si="43"/>
        <v>0</v>
      </c>
      <c r="CX41" s="374"/>
      <c r="CY41" s="374"/>
      <c r="CZ41" s="155">
        <f t="shared" si="44"/>
        <v>0</v>
      </c>
      <c r="DA41" s="374"/>
      <c r="DB41" s="374"/>
      <c r="DC41" s="155">
        <f t="shared" si="45"/>
        <v>0</v>
      </c>
      <c r="DD41" s="374"/>
      <c r="DE41" s="374"/>
      <c r="DF41" s="155"/>
      <c r="DG41" s="155">
        <f t="shared" si="46"/>
        <v>0</v>
      </c>
      <c r="DH41" s="374"/>
      <c r="DI41" s="374"/>
      <c r="DJ41" s="374"/>
      <c r="DK41" s="155"/>
      <c r="DL41" s="155"/>
      <c r="DM41" s="155"/>
      <c r="DN41" s="155"/>
      <c r="DO41" s="155"/>
      <c r="DP41" s="155"/>
      <c r="DQ41" s="155"/>
      <c r="DR41" s="155"/>
      <c r="DS41" s="374"/>
      <c r="DT41" s="374"/>
      <c r="DU41" s="155"/>
      <c r="DV41" s="155"/>
      <c r="DW41" s="377"/>
      <c r="DX41" s="190">
        <f t="shared" si="50"/>
        <v>2978575</v>
      </c>
      <c r="DY41" s="341">
        <f t="shared" si="70"/>
        <v>0</v>
      </c>
      <c r="DZ41" s="342"/>
      <c r="EA41" s="373">
        <f t="shared" si="22"/>
        <v>0</v>
      </c>
      <c r="EC41" s="326"/>
    </row>
    <row r="42" spans="1:133" ht="13.5" customHeight="1" outlineLevel="1" x14ac:dyDescent="0.25">
      <c r="A42" s="222">
        <v>5194</v>
      </c>
      <c r="B42" s="205" t="s">
        <v>96</v>
      </c>
      <c r="C42" s="373">
        <v>780000</v>
      </c>
      <c r="D42" s="373">
        <v>310000</v>
      </c>
      <c r="E42" s="373">
        <v>310000</v>
      </c>
      <c r="F42" s="373">
        <f t="shared" si="48"/>
        <v>310000</v>
      </c>
      <c r="G42" s="234"/>
      <c r="H42" s="155"/>
      <c r="I42" s="155"/>
      <c r="J42" s="155"/>
      <c r="K42" s="155"/>
      <c r="L42" s="155"/>
      <c r="M42" s="155">
        <f>[2]Zastupitelé!$B$80</f>
        <v>95000</v>
      </c>
      <c r="N42" s="155"/>
      <c r="O42" s="155">
        <f t="shared" si="23"/>
        <v>90000</v>
      </c>
      <c r="P42" s="374">
        <f>[2]Správa!$D$103</f>
        <v>90000</v>
      </c>
      <c r="Q42" s="375">
        <f>[2]Správa!$E$103</f>
        <v>0</v>
      </c>
      <c r="R42" s="155"/>
      <c r="S42" s="384">
        <f t="shared" si="52"/>
        <v>0</v>
      </c>
      <c r="T42" s="155">
        <f>'[2]Pečovatelská služba'!$B$87</f>
        <v>10000</v>
      </c>
      <c r="U42" s="155"/>
      <c r="V42" s="155">
        <f>'[2]Městská policie'!$B$120</f>
        <v>10000</v>
      </c>
      <c r="W42" s="155"/>
      <c r="X42" s="155"/>
      <c r="Y42" s="155"/>
      <c r="Z42" s="155"/>
      <c r="AA42" s="155">
        <f>[2]Kultura!$B$46</f>
        <v>105000</v>
      </c>
      <c r="AB42" s="155">
        <f t="shared" si="24"/>
        <v>0</v>
      </c>
      <c r="AC42" s="374"/>
      <c r="AD42" s="374"/>
      <c r="AE42" s="155">
        <f t="shared" si="25"/>
        <v>0</v>
      </c>
      <c r="AF42" s="374"/>
      <c r="AG42" s="374"/>
      <c r="AH42" s="155">
        <f t="shared" si="26"/>
        <v>0</v>
      </c>
      <c r="AI42" s="374"/>
      <c r="AJ42" s="374"/>
      <c r="AK42" s="155"/>
      <c r="AL42" s="155"/>
      <c r="AM42" s="155"/>
      <c r="AN42" s="155">
        <f t="shared" si="27"/>
        <v>0</v>
      </c>
      <c r="AO42" s="374"/>
      <c r="AP42" s="374"/>
      <c r="AQ42" s="155">
        <f t="shared" si="28"/>
        <v>0</v>
      </c>
      <c r="AR42" s="374"/>
      <c r="AS42" s="374"/>
      <c r="AT42" s="155">
        <f t="shared" si="53"/>
        <v>0</v>
      </c>
      <c r="AU42" s="374"/>
      <c r="AV42" s="374"/>
      <c r="AW42" s="155">
        <f t="shared" si="54"/>
        <v>0</v>
      </c>
      <c r="AX42" s="374"/>
      <c r="AY42" s="374"/>
      <c r="AZ42" s="155">
        <f t="shared" si="31"/>
        <v>0</v>
      </c>
      <c r="BA42" s="374"/>
      <c r="BB42" s="374"/>
      <c r="BC42" s="155">
        <f t="shared" si="32"/>
        <v>0</v>
      </c>
      <c r="BD42" s="374"/>
      <c r="BE42" s="374"/>
      <c r="BF42" s="155">
        <f t="shared" si="33"/>
        <v>0</v>
      </c>
      <c r="BG42" s="374"/>
      <c r="BH42" s="374"/>
      <c r="BI42" s="155">
        <f t="shared" si="34"/>
        <v>0</v>
      </c>
      <c r="BJ42" s="374"/>
      <c r="BK42" s="374"/>
      <c r="BL42" s="155">
        <f t="shared" si="35"/>
        <v>0</v>
      </c>
      <c r="BM42" s="374"/>
      <c r="BN42" s="374"/>
      <c r="BO42" s="155">
        <f t="shared" si="36"/>
        <v>0</v>
      </c>
      <c r="BP42" s="374"/>
      <c r="BQ42" s="374"/>
      <c r="BR42" s="155">
        <f t="shared" si="37"/>
        <v>0</v>
      </c>
      <c r="BS42" s="374"/>
      <c r="BT42" s="374"/>
      <c r="BU42" s="155"/>
      <c r="BV42" s="155">
        <f t="shared" si="38"/>
        <v>0</v>
      </c>
      <c r="BW42" s="374"/>
      <c r="BX42" s="374"/>
      <c r="BY42" s="155"/>
      <c r="BZ42" s="155">
        <f t="shared" si="39"/>
        <v>0</v>
      </c>
      <c r="CA42" s="374"/>
      <c r="CB42" s="374"/>
      <c r="CC42" s="155">
        <f t="shared" si="40"/>
        <v>0</v>
      </c>
      <c r="CD42" s="374"/>
      <c r="CE42" s="374"/>
      <c r="CF42" s="155"/>
      <c r="CG42" s="155">
        <f t="shared" si="41"/>
        <v>0</v>
      </c>
      <c r="CH42" s="374"/>
      <c r="CI42" s="374"/>
      <c r="CJ42" s="155"/>
      <c r="CK42" s="374"/>
      <c r="CL42" s="374"/>
      <c r="CM42" s="155"/>
      <c r="CN42" s="374"/>
      <c r="CO42" s="374"/>
      <c r="CP42" s="155"/>
      <c r="CQ42" s="374"/>
      <c r="CR42" s="374"/>
      <c r="CS42" s="155">
        <f t="shared" si="42"/>
        <v>0</v>
      </c>
      <c r="CT42" s="374"/>
      <c r="CU42" s="374"/>
      <c r="CV42" s="155"/>
      <c r="CW42" s="155">
        <f t="shared" si="43"/>
        <v>0</v>
      </c>
      <c r="CX42" s="374"/>
      <c r="CY42" s="374"/>
      <c r="CZ42" s="155">
        <f t="shared" si="44"/>
        <v>0</v>
      </c>
      <c r="DA42" s="374"/>
      <c r="DB42" s="374"/>
      <c r="DC42" s="155">
        <f t="shared" si="45"/>
        <v>0</v>
      </c>
      <c r="DD42" s="374"/>
      <c r="DE42" s="374"/>
      <c r="DF42" s="155"/>
      <c r="DG42" s="155">
        <f t="shared" si="46"/>
        <v>0</v>
      </c>
      <c r="DH42" s="374"/>
      <c r="DI42" s="374"/>
      <c r="DJ42" s="374"/>
      <c r="DK42" s="155"/>
      <c r="DL42" s="155"/>
      <c r="DM42" s="155"/>
      <c r="DN42" s="155"/>
      <c r="DO42" s="155"/>
      <c r="DP42" s="155"/>
      <c r="DQ42" s="155"/>
      <c r="DR42" s="155"/>
      <c r="DS42" s="374"/>
      <c r="DT42" s="374"/>
      <c r="DU42" s="155"/>
      <c r="DV42" s="155"/>
      <c r="DW42" s="377"/>
      <c r="DX42" s="190">
        <f t="shared" si="50"/>
        <v>310000</v>
      </c>
      <c r="DY42" s="341">
        <f t="shared" si="70"/>
        <v>0</v>
      </c>
      <c r="DZ42" s="342"/>
      <c r="EA42" s="373">
        <f t="shared" si="22"/>
        <v>0</v>
      </c>
      <c r="EC42" s="326"/>
    </row>
    <row r="43" spans="1:133" ht="13.5" customHeight="1" outlineLevel="1" x14ac:dyDescent="0.25">
      <c r="A43" s="222">
        <v>5329</v>
      </c>
      <c r="B43" s="205" t="s">
        <v>97</v>
      </c>
      <c r="C43" s="373">
        <v>3078419</v>
      </c>
      <c r="D43" s="373">
        <v>2514380</v>
      </c>
      <c r="E43" s="373">
        <v>2514380</v>
      </c>
      <c r="F43" s="373">
        <f t="shared" si="48"/>
        <v>2514380</v>
      </c>
      <c r="G43" s="234"/>
      <c r="H43" s="155"/>
      <c r="I43" s="155"/>
      <c r="J43" s="155"/>
      <c r="K43" s="155">
        <f>'[4]Všebecná pokladna'!$B$49</f>
        <v>914380</v>
      </c>
      <c r="L43" s="155"/>
      <c r="M43" s="155"/>
      <c r="N43" s="155"/>
      <c r="O43" s="155">
        <f t="shared" si="23"/>
        <v>0</v>
      </c>
      <c r="P43" s="374"/>
      <c r="Q43" s="375"/>
      <c r="R43" s="155"/>
      <c r="S43" s="384">
        <f t="shared" si="52"/>
        <v>0</v>
      </c>
      <c r="T43" s="155"/>
      <c r="U43" s="155"/>
      <c r="V43" s="155"/>
      <c r="W43" s="155"/>
      <c r="X43" s="155"/>
      <c r="Y43" s="155"/>
      <c r="Z43" s="155"/>
      <c r="AA43" s="155"/>
      <c r="AB43" s="155">
        <f t="shared" si="24"/>
        <v>0</v>
      </c>
      <c r="AC43" s="374"/>
      <c r="AD43" s="374"/>
      <c r="AE43" s="155">
        <f t="shared" si="25"/>
        <v>0</v>
      </c>
      <c r="AF43" s="374"/>
      <c r="AG43" s="374"/>
      <c r="AH43" s="155">
        <f t="shared" si="26"/>
        <v>0</v>
      </c>
      <c r="AI43" s="374"/>
      <c r="AJ43" s="374"/>
      <c r="AK43" s="155"/>
      <c r="AL43" s="155"/>
      <c r="AM43" s="155"/>
      <c r="AN43" s="155">
        <f t="shared" si="27"/>
        <v>0</v>
      </c>
      <c r="AO43" s="374"/>
      <c r="AP43" s="374"/>
      <c r="AQ43" s="155">
        <f t="shared" si="28"/>
        <v>0</v>
      </c>
      <c r="AR43" s="374"/>
      <c r="AS43" s="374"/>
      <c r="AT43" s="155">
        <f t="shared" si="53"/>
        <v>0</v>
      </c>
      <c r="AU43" s="374"/>
      <c r="AV43" s="374"/>
      <c r="AW43" s="155">
        <f t="shared" si="54"/>
        <v>0</v>
      </c>
      <c r="AX43" s="374"/>
      <c r="AY43" s="374"/>
      <c r="AZ43" s="155">
        <f t="shared" si="31"/>
        <v>0</v>
      </c>
      <c r="BA43" s="374"/>
      <c r="BB43" s="374"/>
      <c r="BC43" s="155">
        <f t="shared" si="32"/>
        <v>1600000</v>
      </c>
      <c r="BD43" s="374">
        <f>[4]SŠ!$B$32</f>
        <v>1600000</v>
      </c>
      <c r="BE43" s="374"/>
      <c r="BF43" s="155">
        <f t="shared" si="33"/>
        <v>0</v>
      </c>
      <c r="BG43" s="374"/>
      <c r="BH43" s="374"/>
      <c r="BI43" s="155">
        <f t="shared" si="34"/>
        <v>0</v>
      </c>
      <c r="BJ43" s="374"/>
      <c r="BK43" s="374"/>
      <c r="BL43" s="155">
        <f t="shared" si="35"/>
        <v>0</v>
      </c>
      <c r="BM43" s="374"/>
      <c r="BN43" s="374"/>
      <c r="BO43" s="155">
        <f t="shared" si="36"/>
        <v>0</v>
      </c>
      <c r="BP43" s="374"/>
      <c r="BQ43" s="374"/>
      <c r="BR43" s="155">
        <f t="shared" si="37"/>
        <v>0</v>
      </c>
      <c r="BS43" s="374"/>
      <c r="BT43" s="374"/>
      <c r="BU43" s="155"/>
      <c r="BV43" s="155">
        <f t="shared" si="38"/>
        <v>0</v>
      </c>
      <c r="BW43" s="374"/>
      <c r="BX43" s="374"/>
      <c r="BY43" s="155"/>
      <c r="BZ43" s="155">
        <f t="shared" si="39"/>
        <v>0</v>
      </c>
      <c r="CA43" s="374"/>
      <c r="CB43" s="374"/>
      <c r="CC43" s="155">
        <f t="shared" si="40"/>
        <v>0</v>
      </c>
      <c r="CD43" s="374"/>
      <c r="CE43" s="374"/>
      <c r="CF43" s="155"/>
      <c r="CG43" s="155">
        <f t="shared" si="41"/>
        <v>0</v>
      </c>
      <c r="CH43" s="374"/>
      <c r="CI43" s="374"/>
      <c r="CJ43" s="155"/>
      <c r="CK43" s="374"/>
      <c r="CL43" s="374"/>
      <c r="CM43" s="155"/>
      <c r="CN43" s="374"/>
      <c r="CO43" s="374"/>
      <c r="CP43" s="155"/>
      <c r="CQ43" s="374"/>
      <c r="CR43" s="374"/>
      <c r="CS43" s="155">
        <f t="shared" si="42"/>
        <v>0</v>
      </c>
      <c r="CT43" s="374"/>
      <c r="CU43" s="374"/>
      <c r="CV43" s="155"/>
      <c r="CW43" s="155">
        <f t="shared" si="43"/>
        <v>0</v>
      </c>
      <c r="CX43" s="374"/>
      <c r="CY43" s="374"/>
      <c r="CZ43" s="155">
        <f t="shared" si="44"/>
        <v>0</v>
      </c>
      <c r="DA43" s="374"/>
      <c r="DB43" s="374"/>
      <c r="DC43" s="155">
        <f t="shared" si="45"/>
        <v>0</v>
      </c>
      <c r="DD43" s="374"/>
      <c r="DE43" s="374"/>
      <c r="DF43" s="155"/>
      <c r="DG43" s="155">
        <f t="shared" si="46"/>
        <v>0</v>
      </c>
      <c r="DH43" s="374"/>
      <c r="DI43" s="374"/>
      <c r="DJ43" s="374"/>
      <c r="DK43" s="155"/>
      <c r="DL43" s="155"/>
      <c r="DM43" s="155"/>
      <c r="DN43" s="155"/>
      <c r="DO43" s="155"/>
      <c r="DP43" s="155"/>
      <c r="DQ43" s="155"/>
      <c r="DR43" s="155"/>
      <c r="DS43" s="374"/>
      <c r="DT43" s="374"/>
      <c r="DU43" s="155"/>
      <c r="DV43" s="155"/>
      <c r="DW43" s="377"/>
      <c r="DX43" s="190">
        <f t="shared" si="50"/>
        <v>2514380</v>
      </c>
      <c r="DY43" s="341">
        <f t="shared" si="70"/>
        <v>0</v>
      </c>
      <c r="DZ43" s="342"/>
      <c r="EA43" s="373">
        <f t="shared" si="22"/>
        <v>0</v>
      </c>
      <c r="EC43" s="326"/>
    </row>
    <row r="44" spans="1:133" ht="13.5" customHeight="1" outlineLevel="1" x14ac:dyDescent="0.25">
      <c r="A44" s="222">
        <v>5331</v>
      </c>
      <c r="B44" s="205" t="s">
        <v>98</v>
      </c>
      <c r="C44" s="373">
        <v>38151000</v>
      </c>
      <c r="D44" s="373">
        <v>29599900</v>
      </c>
      <c r="E44" s="373">
        <v>33799900</v>
      </c>
      <c r="F44" s="2601">
        <f>SUM(G44:O44)+SUM(T44:AB44)+AE44+AH44+SUM(AK44:AN44)+AQ44+AZ44+BF44+BI44+BL44+BO44+BR44+BU44+BV44+BY44+BZ44+CC44+SUM(CF44:CG44)+CP44+CS44+CV44+CW44+CZ44+DC44+DF44+DG44+SUM(DK44:DR44)+CJ44+CM44+SUM(DU44:DW44)+R44+AT44+AW44+S44+BC44</f>
        <v>40903592</v>
      </c>
      <c r="G44" s="234"/>
      <c r="H44" s="155"/>
      <c r="I44" s="155"/>
      <c r="J44" s="155"/>
      <c r="K44" s="155"/>
      <c r="L44" s="155"/>
      <c r="M44" s="155"/>
      <c r="N44" s="155"/>
      <c r="O44" s="155">
        <f t="shared" si="23"/>
        <v>0</v>
      </c>
      <c r="P44" s="374"/>
      <c r="Q44" s="375"/>
      <c r="R44" s="155"/>
      <c r="S44" s="385">
        <v>19700000</v>
      </c>
      <c r="T44" s="155"/>
      <c r="U44" s="155"/>
      <c r="V44" s="155"/>
      <c r="W44" s="155"/>
      <c r="X44" s="155"/>
      <c r="Y44" s="155"/>
      <c r="Z44" s="155"/>
      <c r="AA44" s="155"/>
      <c r="AB44" s="155">
        <f t="shared" si="24"/>
        <v>0</v>
      </c>
      <c r="AC44" s="374"/>
      <c r="AD44" s="374"/>
      <c r="AE44" s="155">
        <f t="shared" si="25"/>
        <v>0</v>
      </c>
      <c r="AF44" s="374"/>
      <c r="AG44" s="374"/>
      <c r="AH44" s="155">
        <f t="shared" si="26"/>
        <v>0</v>
      </c>
      <c r="AI44" s="374"/>
      <c r="AJ44" s="374"/>
      <c r="AK44" s="155"/>
      <c r="AL44" s="155"/>
      <c r="AM44" s="155"/>
      <c r="AN44" s="155">
        <f t="shared" si="27"/>
        <v>0</v>
      </c>
      <c r="AO44" s="374"/>
      <c r="AP44" s="374"/>
      <c r="AQ44" s="155">
        <f t="shared" si="28"/>
        <v>0</v>
      </c>
      <c r="AR44" s="374"/>
      <c r="AS44" s="374"/>
      <c r="AT44" s="155">
        <f t="shared" si="53"/>
        <v>0</v>
      </c>
      <c r="AU44" s="374"/>
      <c r="AV44" s="374"/>
      <c r="AW44" s="155">
        <f t="shared" si="54"/>
        <v>0</v>
      </c>
      <c r="AX44" s="374"/>
      <c r="AY44" s="374"/>
      <c r="AZ44" s="340">
        <f t="shared" si="31"/>
        <v>16429592</v>
      </c>
      <c r="BA44" s="374">
        <f>[4]ZŠ!$B$32</f>
        <v>16429592</v>
      </c>
      <c r="BB44" s="374"/>
      <c r="BC44" s="155">
        <f t="shared" si="32"/>
        <v>0</v>
      </c>
      <c r="BD44" s="374"/>
      <c r="BE44" s="374"/>
      <c r="BF44" s="155">
        <f t="shared" si="33"/>
        <v>0</v>
      </c>
      <c r="BG44" s="374"/>
      <c r="BH44" s="374"/>
      <c r="BI44" s="155">
        <f t="shared" si="34"/>
        <v>600000</v>
      </c>
      <c r="BJ44" s="374">
        <f>[4]MDDM!$B$4</f>
        <v>600000</v>
      </c>
      <c r="BK44" s="374"/>
      <c r="BL44" s="155">
        <f t="shared" si="35"/>
        <v>0</v>
      </c>
      <c r="BM44" s="374"/>
      <c r="BN44" s="374"/>
      <c r="BO44" s="155">
        <f t="shared" si="36"/>
        <v>3974000</v>
      </c>
      <c r="BP44" s="374">
        <f>'[4]MŠ Koll'!$B$4</f>
        <v>3974000</v>
      </c>
      <c r="BQ44" s="374"/>
      <c r="BR44" s="155">
        <f t="shared" si="37"/>
        <v>0</v>
      </c>
      <c r="BS44" s="374">
        <f>'[4]Jídelna ZŠ'!$B$4</f>
        <v>0</v>
      </c>
      <c r="BT44" s="374"/>
      <c r="BU44" s="155">
        <f>'[4]Jídelna MŠ Koll.'!$B$4</f>
        <v>200000</v>
      </c>
      <c r="BV44" s="155">
        <f t="shared" si="38"/>
        <v>0</v>
      </c>
      <c r="BW44" s="374"/>
      <c r="BX44" s="374"/>
      <c r="BY44" s="155"/>
      <c r="BZ44" s="155">
        <f t="shared" si="39"/>
        <v>0</v>
      </c>
      <c r="CA44" s="374"/>
      <c r="CB44" s="374"/>
      <c r="CC44" s="155">
        <f t="shared" si="40"/>
        <v>0</v>
      </c>
      <c r="CD44" s="374"/>
      <c r="CE44" s="374"/>
      <c r="CF44" s="155"/>
      <c r="CG44" s="155">
        <f t="shared" si="41"/>
        <v>0</v>
      </c>
      <c r="CH44" s="374"/>
      <c r="CI44" s="374"/>
      <c r="CJ44" s="155"/>
      <c r="CK44" s="374"/>
      <c r="CL44" s="374"/>
      <c r="CM44" s="155"/>
      <c r="CN44" s="374"/>
      <c r="CO44" s="374"/>
      <c r="CP44" s="155"/>
      <c r="CQ44" s="374"/>
      <c r="CR44" s="374"/>
      <c r="CS44" s="155">
        <f t="shared" si="42"/>
        <v>0</v>
      </c>
      <c r="CT44" s="374"/>
      <c r="CU44" s="374"/>
      <c r="CV44" s="155"/>
      <c r="CW44" s="155">
        <f t="shared" si="43"/>
        <v>0</v>
      </c>
      <c r="CX44" s="374"/>
      <c r="CY44" s="374"/>
      <c r="CZ44" s="155">
        <f t="shared" si="44"/>
        <v>0</v>
      </c>
      <c r="DA44" s="374"/>
      <c r="DB44" s="374"/>
      <c r="DC44" s="155">
        <f t="shared" si="45"/>
        <v>0</v>
      </c>
      <c r="DD44" s="374"/>
      <c r="DE44" s="374"/>
      <c r="DF44" s="155"/>
      <c r="DG44" s="155">
        <f t="shared" si="46"/>
        <v>0</v>
      </c>
      <c r="DH44" s="374"/>
      <c r="DI44" s="374"/>
      <c r="DJ44" s="374"/>
      <c r="DK44" s="155"/>
      <c r="DL44" s="155"/>
      <c r="DM44" s="155"/>
      <c r="DN44" s="155"/>
      <c r="DO44" s="155"/>
      <c r="DP44" s="155"/>
      <c r="DQ44" s="155"/>
      <c r="DR44" s="155"/>
      <c r="DS44" s="374"/>
      <c r="DT44" s="374"/>
      <c r="DU44" s="155"/>
      <c r="DV44" s="155"/>
      <c r="DW44" s="377"/>
      <c r="DX44" s="190">
        <f>+G44+H44+I44+K44+M44+N44+O44+R44+S44+T44+U44+V44+W44+Y44+Z44+AA44+AB44+AE44+AH44+AK44+AL44+AM44+AN44+AQ44+AZ44+BF44+BI44+BL44+BO44+BR44+BU44+BV44+BY44+BZ44+CC44+CF44+CG44+CJ44+CM44+CP44+CS44+CV44+CW44+CZ44+DC44+DF44+DG44+DK44+DL44+DM44+DN44+DO44+DQ44+DR44+DU44+DV44+DW44+BC44+AW44+AT44+X44</f>
        <v>40903592</v>
      </c>
      <c r="DY44" s="341">
        <f t="shared" si="70"/>
        <v>0</v>
      </c>
      <c r="DZ44" s="342"/>
      <c r="EA44" s="373">
        <f t="shared" si="22"/>
        <v>0</v>
      </c>
      <c r="EC44" s="326"/>
    </row>
    <row r="45" spans="1:133" ht="13.5" customHeight="1" outlineLevel="1" x14ac:dyDescent="0.25">
      <c r="A45" s="222">
        <v>5361</v>
      </c>
      <c r="B45" s="205" t="s">
        <v>99</v>
      </c>
      <c r="C45" s="373">
        <v>40000</v>
      </c>
      <c r="D45" s="373">
        <v>40000</v>
      </c>
      <c r="E45" s="373">
        <v>40000</v>
      </c>
      <c r="F45" s="373">
        <f t="shared" si="48"/>
        <v>40000</v>
      </c>
      <c r="G45" s="234"/>
      <c r="H45" s="155"/>
      <c r="I45" s="155"/>
      <c r="J45" s="155"/>
      <c r="K45" s="155"/>
      <c r="L45" s="155"/>
      <c r="M45" s="155"/>
      <c r="N45" s="155"/>
      <c r="O45" s="155">
        <f t="shared" si="23"/>
        <v>30000</v>
      </c>
      <c r="P45" s="374">
        <f>[2]Správa!$D$110</f>
        <v>30000</v>
      </c>
      <c r="Q45" s="375">
        <f>[2]Správa!$E$110</f>
        <v>0</v>
      </c>
      <c r="R45" s="155"/>
      <c r="S45" s="384">
        <f t="shared" si="52"/>
        <v>0</v>
      </c>
      <c r="T45" s="155"/>
      <c r="U45" s="155"/>
      <c r="V45" s="155">
        <f>'[2]Městská policie'!$B$127</f>
        <v>10000</v>
      </c>
      <c r="W45" s="155"/>
      <c r="X45" s="155"/>
      <c r="Y45" s="155"/>
      <c r="Z45" s="155"/>
      <c r="AA45" s="155"/>
      <c r="AB45" s="155">
        <f t="shared" si="24"/>
        <v>0</v>
      </c>
      <c r="AC45" s="374"/>
      <c r="AD45" s="374"/>
      <c r="AE45" s="155">
        <f t="shared" si="25"/>
        <v>0</v>
      </c>
      <c r="AF45" s="374"/>
      <c r="AG45" s="374"/>
      <c r="AH45" s="155">
        <f t="shared" si="26"/>
        <v>0</v>
      </c>
      <c r="AI45" s="374"/>
      <c r="AJ45" s="374"/>
      <c r="AK45" s="155"/>
      <c r="AL45" s="155"/>
      <c r="AM45" s="155"/>
      <c r="AN45" s="155">
        <f t="shared" si="27"/>
        <v>0</v>
      </c>
      <c r="AO45" s="374"/>
      <c r="AP45" s="374"/>
      <c r="AQ45" s="155">
        <f t="shared" si="28"/>
        <v>0</v>
      </c>
      <c r="AR45" s="374"/>
      <c r="AS45" s="374"/>
      <c r="AT45" s="155">
        <f t="shared" si="53"/>
        <v>0</v>
      </c>
      <c r="AU45" s="374"/>
      <c r="AV45" s="374"/>
      <c r="AW45" s="155">
        <f t="shared" si="54"/>
        <v>0</v>
      </c>
      <c r="AX45" s="374"/>
      <c r="AY45" s="374"/>
      <c r="AZ45" s="155">
        <f t="shared" si="31"/>
        <v>0</v>
      </c>
      <c r="BA45" s="374"/>
      <c r="BB45" s="374"/>
      <c r="BC45" s="155">
        <f t="shared" si="32"/>
        <v>0</v>
      </c>
      <c r="BD45" s="374"/>
      <c r="BE45" s="374"/>
      <c r="BF45" s="155">
        <f t="shared" si="33"/>
        <v>0</v>
      </c>
      <c r="BG45" s="374"/>
      <c r="BH45" s="374"/>
      <c r="BI45" s="155">
        <f t="shared" si="34"/>
        <v>0</v>
      </c>
      <c r="BJ45" s="374"/>
      <c r="BK45" s="374"/>
      <c r="BL45" s="155">
        <f t="shared" si="35"/>
        <v>0</v>
      </c>
      <c r="BM45" s="374"/>
      <c r="BN45" s="374"/>
      <c r="BO45" s="155">
        <f t="shared" si="36"/>
        <v>0</v>
      </c>
      <c r="BP45" s="374"/>
      <c r="BQ45" s="374"/>
      <c r="BR45" s="155">
        <f t="shared" si="37"/>
        <v>0</v>
      </c>
      <c r="BS45" s="374"/>
      <c r="BT45" s="374"/>
      <c r="BU45" s="155"/>
      <c r="BV45" s="155">
        <f t="shared" si="38"/>
        <v>0</v>
      </c>
      <c r="BW45" s="374"/>
      <c r="BX45" s="374"/>
      <c r="BY45" s="155"/>
      <c r="BZ45" s="155">
        <f t="shared" si="39"/>
        <v>0</v>
      </c>
      <c r="CA45" s="374"/>
      <c r="CB45" s="374"/>
      <c r="CC45" s="155">
        <f t="shared" si="40"/>
        <v>0</v>
      </c>
      <c r="CD45" s="374"/>
      <c r="CE45" s="374"/>
      <c r="CF45" s="155"/>
      <c r="CG45" s="155">
        <f t="shared" si="41"/>
        <v>0</v>
      </c>
      <c r="CH45" s="374"/>
      <c r="CI45" s="374"/>
      <c r="CJ45" s="155"/>
      <c r="CK45" s="374"/>
      <c r="CL45" s="374"/>
      <c r="CM45" s="155"/>
      <c r="CN45" s="374"/>
      <c r="CO45" s="374"/>
      <c r="CP45" s="155"/>
      <c r="CQ45" s="374"/>
      <c r="CR45" s="374"/>
      <c r="CS45" s="155">
        <f t="shared" si="42"/>
        <v>0</v>
      </c>
      <c r="CT45" s="374"/>
      <c r="CU45" s="374"/>
      <c r="CV45" s="155"/>
      <c r="CW45" s="155">
        <f t="shared" si="43"/>
        <v>0</v>
      </c>
      <c r="CX45" s="374"/>
      <c r="CY45" s="374"/>
      <c r="CZ45" s="155">
        <f t="shared" si="44"/>
        <v>0</v>
      </c>
      <c r="DA45" s="374"/>
      <c r="DB45" s="374"/>
      <c r="DC45" s="155">
        <f t="shared" si="45"/>
        <v>0</v>
      </c>
      <c r="DD45" s="374"/>
      <c r="DE45" s="374"/>
      <c r="DF45" s="155"/>
      <c r="DG45" s="155">
        <f t="shared" si="46"/>
        <v>0</v>
      </c>
      <c r="DH45" s="374"/>
      <c r="DI45" s="374"/>
      <c r="DJ45" s="374"/>
      <c r="DK45" s="155"/>
      <c r="DL45" s="155"/>
      <c r="DM45" s="155"/>
      <c r="DN45" s="155"/>
      <c r="DO45" s="155"/>
      <c r="DP45" s="155"/>
      <c r="DQ45" s="155"/>
      <c r="DR45" s="155"/>
      <c r="DS45" s="374"/>
      <c r="DT45" s="374"/>
      <c r="DU45" s="155"/>
      <c r="DV45" s="155"/>
      <c r="DW45" s="377"/>
      <c r="DX45" s="190">
        <f t="shared" si="50"/>
        <v>40000</v>
      </c>
      <c r="DY45" s="341">
        <f t="shared" si="70"/>
        <v>0</v>
      </c>
      <c r="DZ45" s="342"/>
      <c r="EA45" s="373">
        <f t="shared" si="22"/>
        <v>0</v>
      </c>
      <c r="EC45" s="326"/>
    </row>
    <row r="46" spans="1:133" ht="13.5" customHeight="1" outlineLevel="1" x14ac:dyDescent="0.25">
      <c r="A46" s="222">
        <v>5362</v>
      </c>
      <c r="B46" s="205" t="s">
        <v>100</v>
      </c>
      <c r="C46" s="373">
        <v>2180000</v>
      </c>
      <c r="D46" s="373">
        <v>1130000</v>
      </c>
      <c r="E46" s="373">
        <v>1130000</v>
      </c>
      <c r="F46" s="373">
        <f t="shared" si="48"/>
        <v>1130000</v>
      </c>
      <c r="G46" s="234"/>
      <c r="H46" s="155"/>
      <c r="I46" s="155"/>
      <c r="J46" s="155"/>
      <c r="K46" s="155">
        <f>'[4]Všebecná pokladna'!$B$57+'[6]Všeobecná pokladna 6409'!$B$21</f>
        <v>1050000</v>
      </c>
      <c r="L46" s="155"/>
      <c r="M46" s="155"/>
      <c r="N46" s="155"/>
      <c r="O46" s="155">
        <f t="shared" si="23"/>
        <v>50000</v>
      </c>
      <c r="P46" s="374">
        <f>[2]Správa!$D$117</f>
        <v>50000</v>
      </c>
      <c r="Q46" s="375">
        <f>[2]Správa!$E$117</f>
        <v>0</v>
      </c>
      <c r="R46" s="155"/>
      <c r="S46" s="384">
        <f t="shared" si="52"/>
        <v>0</v>
      </c>
      <c r="T46" s="155">
        <f>'[2]Pečovatelská služba'!$B$94</f>
        <v>6000</v>
      </c>
      <c r="U46" s="155"/>
      <c r="V46" s="155">
        <f>'[2]Městská policie'!$B$134</f>
        <v>5000</v>
      </c>
      <c r="W46" s="155"/>
      <c r="X46" s="155"/>
      <c r="Y46" s="155">
        <f>[2]Knihovna!$B$89</f>
        <v>4000</v>
      </c>
      <c r="Z46" s="155"/>
      <c r="AA46" s="155">
        <f>[2]Kultura!$B$53</f>
        <v>15000</v>
      </c>
      <c r="AB46" s="155">
        <f t="shared" si="24"/>
        <v>0</v>
      </c>
      <c r="AC46" s="374"/>
      <c r="AD46" s="374"/>
      <c r="AE46" s="155">
        <f t="shared" si="25"/>
        <v>0</v>
      </c>
      <c r="AF46" s="374"/>
      <c r="AG46" s="374"/>
      <c r="AH46" s="155">
        <f t="shared" si="26"/>
        <v>0</v>
      </c>
      <c r="AI46" s="374"/>
      <c r="AJ46" s="374"/>
      <c r="AK46" s="155"/>
      <c r="AL46" s="155"/>
      <c r="AM46" s="155"/>
      <c r="AN46" s="155">
        <f t="shared" si="27"/>
        <v>0</v>
      </c>
      <c r="AO46" s="374"/>
      <c r="AP46" s="374"/>
      <c r="AQ46" s="155">
        <f t="shared" si="28"/>
        <v>0</v>
      </c>
      <c r="AR46" s="374"/>
      <c r="AS46" s="374"/>
      <c r="AT46" s="155">
        <f t="shared" si="53"/>
        <v>0</v>
      </c>
      <c r="AU46" s="374"/>
      <c r="AV46" s="374"/>
      <c r="AW46" s="155">
        <f t="shared" si="54"/>
        <v>0</v>
      </c>
      <c r="AX46" s="374"/>
      <c r="AY46" s="374"/>
      <c r="AZ46" s="155">
        <f t="shared" si="31"/>
        <v>0</v>
      </c>
      <c r="BA46" s="374"/>
      <c r="BB46" s="374"/>
      <c r="BC46" s="155">
        <f t="shared" si="32"/>
        <v>0</v>
      </c>
      <c r="BD46" s="374"/>
      <c r="BE46" s="374"/>
      <c r="BF46" s="155">
        <f t="shared" si="33"/>
        <v>0</v>
      </c>
      <c r="BG46" s="374"/>
      <c r="BH46" s="374"/>
      <c r="BI46" s="155">
        <f t="shared" si="34"/>
        <v>0</v>
      </c>
      <c r="BJ46" s="374"/>
      <c r="BK46" s="374"/>
      <c r="BL46" s="155">
        <f t="shared" si="35"/>
        <v>0</v>
      </c>
      <c r="BM46" s="374"/>
      <c r="BN46" s="374"/>
      <c r="BO46" s="155">
        <f t="shared" si="36"/>
        <v>0</v>
      </c>
      <c r="BP46" s="374"/>
      <c r="BQ46" s="374"/>
      <c r="BR46" s="155">
        <f t="shared" si="37"/>
        <v>0</v>
      </c>
      <c r="BS46" s="374"/>
      <c r="BT46" s="374"/>
      <c r="BU46" s="155"/>
      <c r="BV46" s="155">
        <f t="shared" si="38"/>
        <v>0</v>
      </c>
      <c r="BW46" s="374"/>
      <c r="BX46" s="374"/>
      <c r="BY46" s="155"/>
      <c r="BZ46" s="155">
        <f t="shared" si="39"/>
        <v>0</v>
      </c>
      <c r="CA46" s="374"/>
      <c r="CB46" s="374"/>
      <c r="CC46" s="155">
        <f t="shared" si="40"/>
        <v>0</v>
      </c>
      <c r="CD46" s="374">
        <f>'[5]Silnice světelná křižovatka'!$D$28</f>
        <v>0</v>
      </c>
      <c r="CE46" s="374">
        <f>'[5]Silnice světelná křižovatka'!$E$28</f>
        <v>0</v>
      </c>
      <c r="CF46" s="155"/>
      <c r="CG46" s="155">
        <f t="shared" si="41"/>
        <v>0</v>
      </c>
      <c r="CH46" s="374"/>
      <c r="CI46" s="374"/>
      <c r="CJ46" s="155"/>
      <c r="CK46" s="374"/>
      <c r="CL46" s="374"/>
      <c r="CM46" s="155"/>
      <c r="CN46" s="374"/>
      <c r="CO46" s="374"/>
      <c r="CP46" s="155"/>
      <c r="CQ46" s="374"/>
      <c r="CR46" s="374"/>
      <c r="CS46" s="155">
        <f t="shared" si="42"/>
        <v>0</v>
      </c>
      <c r="CT46" s="374"/>
      <c r="CU46" s="374"/>
      <c r="CV46" s="155"/>
      <c r="CW46" s="155">
        <f t="shared" si="43"/>
        <v>0</v>
      </c>
      <c r="CX46" s="374"/>
      <c r="CY46" s="374"/>
      <c r="CZ46" s="155">
        <f t="shared" si="44"/>
        <v>0</v>
      </c>
      <c r="DA46" s="374"/>
      <c r="DB46" s="374"/>
      <c r="DC46" s="155">
        <f t="shared" si="45"/>
        <v>0</v>
      </c>
      <c r="DD46" s="374"/>
      <c r="DE46" s="374"/>
      <c r="DF46" s="155"/>
      <c r="DG46" s="155">
        <f t="shared" si="46"/>
        <v>0</v>
      </c>
      <c r="DH46" s="374"/>
      <c r="DI46" s="374"/>
      <c r="DJ46" s="374"/>
      <c r="DK46" s="155"/>
      <c r="DL46" s="155"/>
      <c r="DM46" s="155"/>
      <c r="DN46" s="155"/>
      <c r="DO46" s="155"/>
      <c r="DP46" s="155"/>
      <c r="DQ46" s="155"/>
      <c r="DR46" s="155"/>
      <c r="DS46" s="374"/>
      <c r="DT46" s="374"/>
      <c r="DU46" s="155"/>
      <c r="DV46" s="155"/>
      <c r="DW46" s="377"/>
      <c r="DX46" s="190">
        <f t="shared" si="50"/>
        <v>1130000</v>
      </c>
      <c r="DY46" s="341">
        <f t="shared" si="70"/>
        <v>0</v>
      </c>
      <c r="DZ46" s="342"/>
      <c r="EA46" s="373">
        <f t="shared" si="22"/>
        <v>0</v>
      </c>
      <c r="EC46" s="326"/>
    </row>
    <row r="47" spans="1:133" ht="13.5" hidden="1" customHeight="1" outlineLevel="1" x14ac:dyDescent="0.25">
      <c r="A47" s="222">
        <v>5363</v>
      </c>
      <c r="B47" s="205" t="s">
        <v>781</v>
      </c>
      <c r="C47" s="373">
        <v>0</v>
      </c>
      <c r="D47" s="373">
        <v>0</v>
      </c>
      <c r="E47" s="373">
        <v>0</v>
      </c>
      <c r="F47" s="373">
        <f t="shared" si="48"/>
        <v>0</v>
      </c>
      <c r="G47" s="234"/>
      <c r="H47" s="155"/>
      <c r="I47" s="155"/>
      <c r="J47" s="155"/>
      <c r="K47" s="155"/>
      <c r="L47" s="155"/>
      <c r="M47" s="155"/>
      <c r="N47" s="155"/>
      <c r="O47" s="155">
        <f t="shared" si="23"/>
        <v>0</v>
      </c>
      <c r="P47" s="374"/>
      <c r="Q47" s="375"/>
      <c r="R47" s="155"/>
      <c r="S47" s="384">
        <f t="shared" si="52"/>
        <v>0</v>
      </c>
      <c r="T47" s="155"/>
      <c r="U47" s="155"/>
      <c r="V47" s="155"/>
      <c r="W47" s="155"/>
      <c r="X47" s="155"/>
      <c r="Y47" s="155"/>
      <c r="Z47" s="155"/>
      <c r="AA47" s="155"/>
      <c r="AB47" s="155"/>
      <c r="AC47" s="374"/>
      <c r="AD47" s="374"/>
      <c r="AE47" s="155"/>
      <c r="AF47" s="374"/>
      <c r="AG47" s="374"/>
      <c r="AH47" s="155"/>
      <c r="AI47" s="374"/>
      <c r="AJ47" s="374"/>
      <c r="AK47" s="155"/>
      <c r="AL47" s="155"/>
      <c r="AM47" s="155"/>
      <c r="AN47" s="155"/>
      <c r="AO47" s="374"/>
      <c r="AP47" s="374"/>
      <c r="AQ47" s="155"/>
      <c r="AR47" s="374"/>
      <c r="AS47" s="374"/>
      <c r="AT47" s="155"/>
      <c r="AU47" s="374"/>
      <c r="AV47" s="374"/>
      <c r="AW47" s="155"/>
      <c r="AX47" s="374"/>
      <c r="AY47" s="374"/>
      <c r="AZ47" s="155"/>
      <c r="BA47" s="374"/>
      <c r="BB47" s="374"/>
      <c r="BC47" s="155"/>
      <c r="BD47" s="374"/>
      <c r="BE47" s="374"/>
      <c r="BF47" s="155"/>
      <c r="BG47" s="374"/>
      <c r="BH47" s="374"/>
      <c r="BI47" s="155"/>
      <c r="BJ47" s="374"/>
      <c r="BK47" s="374"/>
      <c r="BL47" s="155"/>
      <c r="BM47" s="374"/>
      <c r="BN47" s="374"/>
      <c r="BO47" s="155"/>
      <c r="BP47" s="374"/>
      <c r="BQ47" s="374"/>
      <c r="BR47" s="155"/>
      <c r="BS47" s="374"/>
      <c r="BT47" s="374"/>
      <c r="BU47" s="155"/>
      <c r="BV47" s="155"/>
      <c r="BW47" s="374"/>
      <c r="BX47" s="374"/>
      <c r="BY47" s="155"/>
      <c r="BZ47" s="155"/>
      <c r="CA47" s="374"/>
      <c r="CB47" s="374"/>
      <c r="CC47" s="155"/>
      <c r="CD47" s="374"/>
      <c r="CE47" s="374"/>
      <c r="CF47" s="155"/>
      <c r="CG47" s="155">
        <f t="shared" si="41"/>
        <v>0</v>
      </c>
      <c r="CH47" s="374">
        <f>+[3]Vodovod!$D$27</f>
        <v>0</v>
      </c>
      <c r="CI47" s="374">
        <f>+[3]Vodovod!$E$27</f>
        <v>0</v>
      </c>
      <c r="CJ47" s="155"/>
      <c r="CK47" s="374"/>
      <c r="CL47" s="374"/>
      <c r="CM47" s="155"/>
      <c r="CN47" s="374"/>
      <c r="CO47" s="374"/>
      <c r="CP47" s="155"/>
      <c r="CQ47" s="374"/>
      <c r="CR47" s="374"/>
      <c r="CS47" s="155"/>
      <c r="CT47" s="374"/>
      <c r="CU47" s="374"/>
      <c r="CV47" s="155"/>
      <c r="CW47" s="155"/>
      <c r="CX47" s="374"/>
      <c r="CY47" s="374"/>
      <c r="CZ47" s="155"/>
      <c r="DA47" s="374"/>
      <c r="DB47" s="374"/>
      <c r="DC47" s="155"/>
      <c r="DD47" s="374"/>
      <c r="DE47" s="374"/>
      <c r="DF47" s="155"/>
      <c r="DG47" s="155"/>
      <c r="DH47" s="374"/>
      <c r="DI47" s="374"/>
      <c r="DJ47" s="374"/>
      <c r="DK47" s="155"/>
      <c r="DL47" s="155"/>
      <c r="DM47" s="155"/>
      <c r="DN47" s="155"/>
      <c r="DO47" s="155"/>
      <c r="DP47" s="155"/>
      <c r="DQ47" s="155"/>
      <c r="DR47" s="155"/>
      <c r="DS47" s="374"/>
      <c r="DT47" s="374"/>
      <c r="DU47" s="155"/>
      <c r="DV47" s="155"/>
      <c r="DW47" s="377"/>
      <c r="DX47" s="190">
        <f t="shared" si="50"/>
        <v>0</v>
      </c>
      <c r="DY47" s="341">
        <f t="shared" si="70"/>
        <v>0</v>
      </c>
      <c r="DZ47" s="342"/>
      <c r="EA47" s="373"/>
      <c r="EC47" s="326"/>
    </row>
    <row r="48" spans="1:133" ht="13.5" customHeight="1" outlineLevel="1" x14ac:dyDescent="0.25">
      <c r="A48" s="222">
        <v>5492</v>
      </c>
      <c r="B48" s="205" t="s">
        <v>101</v>
      </c>
      <c r="C48" s="373">
        <v>570000</v>
      </c>
      <c r="D48" s="373">
        <v>1575000</v>
      </c>
      <c r="E48" s="373">
        <v>925000</v>
      </c>
      <c r="F48" s="373">
        <f t="shared" si="48"/>
        <v>930000</v>
      </c>
      <c r="G48" s="234"/>
      <c r="H48" s="155"/>
      <c r="I48" s="155"/>
      <c r="J48" s="155"/>
      <c r="K48" s="155"/>
      <c r="L48" s="155"/>
      <c r="M48" s="155">
        <f>[2]Zastupitelé!$B$88</f>
        <v>910000</v>
      </c>
      <c r="N48" s="155"/>
      <c r="O48" s="155">
        <f t="shared" si="23"/>
        <v>0</v>
      </c>
      <c r="P48" s="374"/>
      <c r="Q48" s="375"/>
      <c r="R48" s="155"/>
      <c r="S48" s="384">
        <f t="shared" si="52"/>
        <v>0</v>
      </c>
      <c r="T48" s="155"/>
      <c r="U48" s="155"/>
      <c r="V48" s="155"/>
      <c r="W48" s="155"/>
      <c r="X48" s="155"/>
      <c r="Y48" s="155"/>
      <c r="Z48" s="155"/>
      <c r="AA48" s="155">
        <f>[2]Kultura!$B$60</f>
        <v>20000</v>
      </c>
      <c r="AB48" s="155">
        <f t="shared" si="24"/>
        <v>0</v>
      </c>
      <c r="AC48" s="374"/>
      <c r="AD48" s="374"/>
      <c r="AE48" s="155">
        <f t="shared" si="25"/>
        <v>0</v>
      </c>
      <c r="AF48" s="374"/>
      <c r="AG48" s="374"/>
      <c r="AH48" s="155">
        <f t="shared" si="26"/>
        <v>0</v>
      </c>
      <c r="AI48" s="374"/>
      <c r="AJ48" s="374"/>
      <c r="AK48" s="155"/>
      <c r="AL48" s="155"/>
      <c r="AM48" s="155"/>
      <c r="AN48" s="155">
        <f t="shared" si="27"/>
        <v>0</v>
      </c>
      <c r="AO48" s="374"/>
      <c r="AP48" s="374"/>
      <c r="AQ48" s="155">
        <f t="shared" si="28"/>
        <v>0</v>
      </c>
      <c r="AR48" s="374"/>
      <c r="AS48" s="374"/>
      <c r="AT48" s="155">
        <f t="shared" ref="AT48:AT50" si="71">+AU48+AV48</f>
        <v>0</v>
      </c>
      <c r="AU48" s="374"/>
      <c r="AV48" s="374"/>
      <c r="AW48" s="155">
        <f t="shared" ref="AW48:AW50" si="72">+AX48+AY48</f>
        <v>0</v>
      </c>
      <c r="AX48" s="374"/>
      <c r="AY48" s="374"/>
      <c r="AZ48" s="155">
        <f t="shared" si="31"/>
        <v>0</v>
      </c>
      <c r="BA48" s="374"/>
      <c r="BB48" s="374"/>
      <c r="BC48" s="155">
        <f t="shared" ref="BC48:BC50" si="73">+BD48+BE48</f>
        <v>0</v>
      </c>
      <c r="BD48" s="374"/>
      <c r="BE48" s="374"/>
      <c r="BF48" s="155">
        <f t="shared" si="33"/>
        <v>0</v>
      </c>
      <c r="BG48" s="374"/>
      <c r="BH48" s="374"/>
      <c r="BI48" s="155">
        <f t="shared" si="34"/>
        <v>0</v>
      </c>
      <c r="BJ48" s="374"/>
      <c r="BK48" s="374"/>
      <c r="BL48" s="155">
        <f t="shared" si="35"/>
        <v>0</v>
      </c>
      <c r="BM48" s="374"/>
      <c r="BN48" s="374"/>
      <c r="BO48" s="155">
        <f t="shared" si="36"/>
        <v>0</v>
      </c>
      <c r="BP48" s="374"/>
      <c r="BQ48" s="374"/>
      <c r="BR48" s="155">
        <f t="shared" si="37"/>
        <v>0</v>
      </c>
      <c r="BS48" s="374"/>
      <c r="BT48" s="374"/>
      <c r="BU48" s="155"/>
      <c r="BV48" s="155">
        <f t="shared" si="38"/>
        <v>0</v>
      </c>
      <c r="BW48" s="374"/>
      <c r="BX48" s="374"/>
      <c r="BY48" s="155"/>
      <c r="BZ48" s="155">
        <f t="shared" si="39"/>
        <v>0</v>
      </c>
      <c r="CA48" s="374"/>
      <c r="CB48" s="374"/>
      <c r="CC48" s="155">
        <f t="shared" si="40"/>
        <v>0</v>
      </c>
      <c r="CD48" s="374"/>
      <c r="CE48" s="374"/>
      <c r="CF48" s="155"/>
      <c r="CG48" s="155">
        <f t="shared" si="41"/>
        <v>0</v>
      </c>
      <c r="CH48" s="374"/>
      <c r="CI48" s="374"/>
      <c r="CJ48" s="155"/>
      <c r="CK48" s="374"/>
      <c r="CL48" s="374"/>
      <c r="CM48" s="155"/>
      <c r="CN48" s="374"/>
      <c r="CO48" s="374"/>
      <c r="CP48" s="155"/>
      <c r="CQ48" s="374"/>
      <c r="CR48" s="374"/>
      <c r="CS48" s="155">
        <f t="shared" si="42"/>
        <v>0</v>
      </c>
      <c r="CT48" s="374"/>
      <c r="CU48" s="374"/>
      <c r="CV48" s="155"/>
      <c r="CW48" s="155">
        <f t="shared" si="43"/>
        <v>0</v>
      </c>
      <c r="CX48" s="374"/>
      <c r="CY48" s="374"/>
      <c r="CZ48" s="155">
        <f t="shared" si="44"/>
        <v>0</v>
      </c>
      <c r="DA48" s="374"/>
      <c r="DB48" s="374"/>
      <c r="DC48" s="155">
        <f t="shared" si="45"/>
        <v>0</v>
      </c>
      <c r="DD48" s="374"/>
      <c r="DE48" s="374"/>
      <c r="DF48" s="155"/>
      <c r="DG48" s="155">
        <f t="shared" si="46"/>
        <v>0</v>
      </c>
      <c r="DH48" s="374"/>
      <c r="DI48" s="374"/>
      <c r="DJ48" s="374"/>
      <c r="DK48" s="155"/>
      <c r="DL48" s="155"/>
      <c r="DM48" s="155"/>
      <c r="DN48" s="155"/>
      <c r="DO48" s="155"/>
      <c r="DP48" s="155"/>
      <c r="DQ48" s="155"/>
      <c r="DR48" s="155"/>
      <c r="DS48" s="374"/>
      <c r="DT48" s="374"/>
      <c r="DU48" s="155"/>
      <c r="DV48" s="155"/>
      <c r="DW48" s="377"/>
      <c r="DX48" s="190">
        <f t="shared" si="50"/>
        <v>930000</v>
      </c>
      <c r="DY48" s="341">
        <f t="shared" si="70"/>
        <v>0</v>
      </c>
      <c r="DZ48" s="342"/>
      <c r="EA48" s="373">
        <f t="shared" si="22"/>
        <v>0</v>
      </c>
      <c r="EC48" s="326"/>
    </row>
    <row r="49" spans="1:133" ht="13.5" customHeight="1" outlineLevel="1" x14ac:dyDescent="0.25">
      <c r="A49" s="222">
        <v>5499</v>
      </c>
      <c r="B49" s="205" t="s">
        <v>751</v>
      </c>
      <c r="C49" s="373">
        <v>1300000</v>
      </c>
      <c r="D49" s="373">
        <v>1620000</v>
      </c>
      <c r="E49" s="373">
        <v>1620000</v>
      </c>
      <c r="F49" s="373">
        <f t="shared" si="48"/>
        <v>1620000</v>
      </c>
      <c r="G49" s="234"/>
      <c r="H49" s="155"/>
      <c r="I49" s="155"/>
      <c r="J49" s="155"/>
      <c r="K49" s="155">
        <f>'[4]Všebecná pokladna'!$B$64</f>
        <v>1620000</v>
      </c>
      <c r="L49" s="155"/>
      <c r="M49" s="155"/>
      <c r="N49" s="155"/>
      <c r="O49" s="155">
        <f t="shared" si="23"/>
        <v>0</v>
      </c>
      <c r="P49" s="374"/>
      <c r="Q49" s="375"/>
      <c r="R49" s="155"/>
      <c r="S49" s="384">
        <f t="shared" si="52"/>
        <v>0</v>
      </c>
      <c r="T49" s="155"/>
      <c r="U49" s="155"/>
      <c r="V49" s="155"/>
      <c r="W49" s="155"/>
      <c r="X49" s="155"/>
      <c r="Y49" s="155"/>
      <c r="Z49" s="155"/>
      <c r="AA49" s="155"/>
      <c r="AB49" s="155">
        <f t="shared" si="24"/>
        <v>0</v>
      </c>
      <c r="AC49" s="374"/>
      <c r="AD49" s="374"/>
      <c r="AE49" s="155">
        <f t="shared" si="25"/>
        <v>0</v>
      </c>
      <c r="AF49" s="374"/>
      <c r="AG49" s="374"/>
      <c r="AH49" s="155">
        <f t="shared" si="26"/>
        <v>0</v>
      </c>
      <c r="AI49" s="374"/>
      <c r="AJ49" s="374"/>
      <c r="AK49" s="155"/>
      <c r="AL49" s="155"/>
      <c r="AM49" s="155"/>
      <c r="AN49" s="155">
        <f t="shared" si="27"/>
        <v>0</v>
      </c>
      <c r="AO49" s="374"/>
      <c r="AP49" s="374"/>
      <c r="AQ49" s="155">
        <f t="shared" si="28"/>
        <v>0</v>
      </c>
      <c r="AR49" s="374"/>
      <c r="AS49" s="374"/>
      <c r="AT49" s="155">
        <f t="shared" si="71"/>
        <v>0</v>
      </c>
      <c r="AU49" s="374"/>
      <c r="AV49" s="374"/>
      <c r="AW49" s="155">
        <f t="shared" si="72"/>
        <v>0</v>
      </c>
      <c r="AX49" s="374"/>
      <c r="AY49" s="374"/>
      <c r="AZ49" s="155">
        <f t="shared" si="31"/>
        <v>0</v>
      </c>
      <c r="BA49" s="374"/>
      <c r="BB49" s="374"/>
      <c r="BC49" s="155">
        <f t="shared" si="73"/>
        <v>0</v>
      </c>
      <c r="BD49" s="374"/>
      <c r="BE49" s="374"/>
      <c r="BF49" s="155">
        <f t="shared" si="33"/>
        <v>0</v>
      </c>
      <c r="BG49" s="374"/>
      <c r="BH49" s="374"/>
      <c r="BI49" s="155">
        <f t="shared" si="34"/>
        <v>0</v>
      </c>
      <c r="BJ49" s="374"/>
      <c r="BK49" s="374"/>
      <c r="BL49" s="155">
        <f t="shared" si="35"/>
        <v>0</v>
      </c>
      <c r="BM49" s="374"/>
      <c r="BN49" s="374"/>
      <c r="BO49" s="155">
        <f t="shared" si="36"/>
        <v>0</v>
      </c>
      <c r="BP49" s="374"/>
      <c r="BQ49" s="374"/>
      <c r="BR49" s="155">
        <f t="shared" si="37"/>
        <v>0</v>
      </c>
      <c r="BS49" s="374"/>
      <c r="BT49" s="374"/>
      <c r="BU49" s="155"/>
      <c r="BV49" s="155">
        <f t="shared" si="38"/>
        <v>0</v>
      </c>
      <c r="BW49" s="374"/>
      <c r="BX49" s="374"/>
      <c r="BY49" s="155"/>
      <c r="BZ49" s="155">
        <f t="shared" si="39"/>
        <v>0</v>
      </c>
      <c r="CA49" s="374"/>
      <c r="CB49" s="374"/>
      <c r="CC49" s="155">
        <f t="shared" si="40"/>
        <v>0</v>
      </c>
      <c r="CD49" s="374"/>
      <c r="CE49" s="374"/>
      <c r="CF49" s="155"/>
      <c r="CG49" s="155">
        <f t="shared" si="41"/>
        <v>0</v>
      </c>
      <c r="CH49" s="374"/>
      <c r="CI49" s="374"/>
      <c r="CJ49" s="155"/>
      <c r="CK49" s="374"/>
      <c r="CL49" s="374"/>
      <c r="CM49" s="155"/>
      <c r="CN49" s="374"/>
      <c r="CO49" s="374"/>
      <c r="CP49" s="155"/>
      <c r="CQ49" s="374"/>
      <c r="CR49" s="374"/>
      <c r="CS49" s="155">
        <f t="shared" si="42"/>
        <v>0</v>
      </c>
      <c r="CT49" s="374"/>
      <c r="CU49" s="374"/>
      <c r="CV49" s="155"/>
      <c r="CW49" s="155">
        <f t="shared" si="43"/>
        <v>0</v>
      </c>
      <c r="CX49" s="374"/>
      <c r="CY49" s="374"/>
      <c r="CZ49" s="155">
        <f t="shared" si="44"/>
        <v>0</v>
      </c>
      <c r="DA49" s="374"/>
      <c r="DB49" s="374"/>
      <c r="DC49" s="155">
        <f t="shared" si="45"/>
        <v>0</v>
      </c>
      <c r="DD49" s="374"/>
      <c r="DE49" s="374"/>
      <c r="DF49" s="155"/>
      <c r="DG49" s="155">
        <f t="shared" si="46"/>
        <v>0</v>
      </c>
      <c r="DH49" s="374"/>
      <c r="DI49" s="374"/>
      <c r="DJ49" s="374"/>
      <c r="DK49" s="155"/>
      <c r="DL49" s="155"/>
      <c r="DM49" s="155"/>
      <c r="DN49" s="155"/>
      <c r="DO49" s="155"/>
      <c r="DP49" s="155"/>
      <c r="DQ49" s="155"/>
      <c r="DR49" s="155"/>
      <c r="DS49" s="374"/>
      <c r="DT49" s="374"/>
      <c r="DU49" s="155"/>
      <c r="DV49" s="155"/>
      <c r="DW49" s="377"/>
      <c r="DX49" s="190">
        <f t="shared" si="50"/>
        <v>1620000</v>
      </c>
      <c r="DY49" s="341">
        <f t="shared" si="70"/>
        <v>0</v>
      </c>
      <c r="DZ49" s="342"/>
      <c r="EA49" s="373">
        <f t="shared" si="22"/>
        <v>0</v>
      </c>
      <c r="EC49" s="326"/>
    </row>
    <row r="50" spans="1:133" ht="13.5" customHeight="1" outlineLevel="1" x14ac:dyDescent="0.25">
      <c r="A50" s="222">
        <v>5222</v>
      </c>
      <c r="B50" s="205" t="s">
        <v>102</v>
      </c>
      <c r="C50" s="373">
        <v>1100000</v>
      </c>
      <c r="D50" s="373">
        <v>1200000</v>
      </c>
      <c r="E50" s="373">
        <v>1200000</v>
      </c>
      <c r="F50" s="373">
        <f t="shared" si="48"/>
        <v>1195000</v>
      </c>
      <c r="G50" s="234"/>
      <c r="H50" s="155"/>
      <c r="I50" s="155"/>
      <c r="J50" s="155"/>
      <c r="K50" s="155"/>
      <c r="L50" s="155"/>
      <c r="M50" s="155"/>
      <c r="N50" s="155"/>
      <c r="O50" s="155">
        <f t="shared" si="23"/>
        <v>0</v>
      </c>
      <c r="P50" s="374"/>
      <c r="Q50" s="375"/>
      <c r="R50" s="155"/>
      <c r="S50" s="384">
        <f t="shared" si="52"/>
        <v>0</v>
      </c>
      <c r="T50" s="155"/>
      <c r="U50" s="155"/>
      <c r="V50" s="155"/>
      <c r="W50" s="155"/>
      <c r="X50" s="155"/>
      <c r="Y50" s="155"/>
      <c r="Z50" s="155"/>
      <c r="AA50" s="155"/>
      <c r="AB50" s="155">
        <f t="shared" si="24"/>
        <v>0</v>
      </c>
      <c r="AC50" s="374"/>
      <c r="AD50" s="374"/>
      <c r="AE50" s="155">
        <f t="shared" si="25"/>
        <v>0</v>
      </c>
      <c r="AF50" s="374"/>
      <c r="AG50" s="374"/>
      <c r="AH50" s="155">
        <f t="shared" si="26"/>
        <v>0</v>
      </c>
      <c r="AI50" s="374"/>
      <c r="AJ50" s="374"/>
      <c r="AK50" s="155"/>
      <c r="AL50" s="155"/>
      <c r="AM50" s="155"/>
      <c r="AN50" s="155">
        <f t="shared" si="27"/>
        <v>0</v>
      </c>
      <c r="AO50" s="374"/>
      <c r="AP50" s="374"/>
      <c r="AQ50" s="155">
        <f t="shared" si="28"/>
        <v>0</v>
      </c>
      <c r="AR50" s="374">
        <f>[4]Koupaliště!$B$11</f>
        <v>0</v>
      </c>
      <c r="AS50" s="374"/>
      <c r="AT50" s="155">
        <f t="shared" si="71"/>
        <v>0</v>
      </c>
      <c r="AU50" s="374">
        <f>[4]Hřiště!$B$11</f>
        <v>0</v>
      </c>
      <c r="AV50" s="374"/>
      <c r="AW50" s="155">
        <f t="shared" si="72"/>
        <v>1195000</v>
      </c>
      <c r="AX50" s="374">
        <f>[4]Spolky!$B$11</f>
        <v>1195000</v>
      </c>
      <c r="AY50" s="374"/>
      <c r="AZ50" s="155">
        <f t="shared" si="31"/>
        <v>0</v>
      </c>
      <c r="BA50" s="374"/>
      <c r="BB50" s="374"/>
      <c r="BC50" s="155">
        <f t="shared" si="73"/>
        <v>0</v>
      </c>
      <c r="BD50" s="374"/>
      <c r="BE50" s="374"/>
      <c r="BF50" s="155">
        <f t="shared" si="33"/>
        <v>0</v>
      </c>
      <c r="BG50" s="374"/>
      <c r="BH50" s="374"/>
      <c r="BI50" s="155">
        <f t="shared" si="34"/>
        <v>0</v>
      </c>
      <c r="BJ50" s="374"/>
      <c r="BK50" s="374"/>
      <c r="BL50" s="155">
        <f t="shared" si="35"/>
        <v>0</v>
      </c>
      <c r="BM50" s="374"/>
      <c r="BN50" s="374"/>
      <c r="BO50" s="155">
        <f t="shared" si="36"/>
        <v>0</v>
      </c>
      <c r="BP50" s="374"/>
      <c r="BQ50" s="374"/>
      <c r="BR50" s="155">
        <f t="shared" si="37"/>
        <v>0</v>
      </c>
      <c r="BS50" s="374"/>
      <c r="BT50" s="374"/>
      <c r="BU50" s="155"/>
      <c r="BV50" s="155">
        <f t="shared" si="38"/>
        <v>0</v>
      </c>
      <c r="BW50" s="374"/>
      <c r="BX50" s="374"/>
      <c r="BY50" s="155"/>
      <c r="BZ50" s="155">
        <f t="shared" si="39"/>
        <v>0</v>
      </c>
      <c r="CA50" s="374"/>
      <c r="CB50" s="374"/>
      <c r="CC50" s="155">
        <f t="shared" si="40"/>
        <v>0</v>
      </c>
      <c r="CD50" s="374"/>
      <c r="CE50" s="374"/>
      <c r="CF50" s="155"/>
      <c r="CG50" s="155">
        <f t="shared" si="41"/>
        <v>0</v>
      </c>
      <c r="CH50" s="374"/>
      <c r="CI50" s="374"/>
      <c r="CJ50" s="155"/>
      <c r="CK50" s="374"/>
      <c r="CL50" s="374"/>
      <c r="CM50" s="155"/>
      <c r="CN50" s="374"/>
      <c r="CO50" s="374"/>
      <c r="CP50" s="155"/>
      <c r="CQ50" s="374"/>
      <c r="CR50" s="374"/>
      <c r="CS50" s="155">
        <f t="shared" si="42"/>
        <v>0</v>
      </c>
      <c r="CT50" s="374"/>
      <c r="CU50" s="374"/>
      <c r="CV50" s="155"/>
      <c r="CW50" s="155">
        <f t="shared" si="43"/>
        <v>0</v>
      </c>
      <c r="CX50" s="374"/>
      <c r="CY50" s="374"/>
      <c r="CZ50" s="155">
        <f t="shared" si="44"/>
        <v>0</v>
      </c>
      <c r="DA50" s="374"/>
      <c r="DB50" s="374"/>
      <c r="DC50" s="155">
        <f t="shared" si="45"/>
        <v>0</v>
      </c>
      <c r="DD50" s="374"/>
      <c r="DE50" s="374"/>
      <c r="DF50" s="155"/>
      <c r="DG50" s="155">
        <f t="shared" si="46"/>
        <v>0</v>
      </c>
      <c r="DH50" s="374"/>
      <c r="DI50" s="374"/>
      <c r="DJ50" s="374"/>
      <c r="DK50" s="155"/>
      <c r="DL50" s="155"/>
      <c r="DM50" s="155"/>
      <c r="DN50" s="155"/>
      <c r="DO50" s="155"/>
      <c r="DP50" s="155"/>
      <c r="DQ50" s="155"/>
      <c r="DR50" s="155"/>
      <c r="DS50" s="374"/>
      <c r="DT50" s="374"/>
      <c r="DU50" s="155"/>
      <c r="DV50" s="155"/>
      <c r="DW50" s="377"/>
      <c r="DX50" s="190">
        <f t="shared" si="50"/>
        <v>1195000</v>
      </c>
      <c r="DY50" s="341">
        <f t="shared" si="70"/>
        <v>0</v>
      </c>
      <c r="DZ50" s="342"/>
      <c r="EA50" s="373">
        <f t="shared" si="22"/>
        <v>0</v>
      </c>
      <c r="EC50" s="326"/>
    </row>
    <row r="51" spans="1:133" ht="12.75" customHeight="1" outlineLevel="1" x14ac:dyDescent="0.25">
      <c r="A51" s="392">
        <v>5903</v>
      </c>
      <c r="B51" s="393" t="s">
        <v>767</v>
      </c>
      <c r="C51" s="394">
        <v>60187.891499999998</v>
      </c>
      <c r="D51" s="394">
        <v>69012.591499999995</v>
      </c>
      <c r="E51" s="394">
        <v>69012.591499999995</v>
      </c>
      <c r="F51" s="373">
        <f t="shared" si="48"/>
        <v>69012.591499999995</v>
      </c>
      <c r="G51" s="395"/>
      <c r="H51" s="396"/>
      <c r="I51" s="396">
        <f>'[4]Krizové situace-5213'!$B$4</f>
        <v>69012.591499999995</v>
      </c>
      <c r="J51" s="396"/>
      <c r="K51" s="396"/>
      <c r="L51" s="396"/>
      <c r="M51" s="396"/>
      <c r="N51" s="396"/>
      <c r="O51" s="396">
        <f t="shared" si="23"/>
        <v>0</v>
      </c>
      <c r="P51" s="397"/>
      <c r="Q51" s="398"/>
      <c r="R51" s="396"/>
      <c r="S51" s="399">
        <f>+Q51+AP51+CE51+CB51+BX51+DJ51+AD51+AJ51+AS51+BB51+BH51+BK51+BN51+BQ51+BT51+CI51+CU51+CY51+DB51+DE51+AG51+DT51</f>
        <v>0</v>
      </c>
      <c r="T51" s="396"/>
      <c r="U51" s="396"/>
      <c r="V51" s="396"/>
      <c r="W51" s="396"/>
      <c r="X51" s="396"/>
      <c r="Y51" s="396"/>
      <c r="Z51" s="396"/>
      <c r="AA51" s="396"/>
      <c r="AB51" s="396"/>
      <c r="AC51" s="397"/>
      <c r="AD51" s="397"/>
      <c r="AE51" s="396"/>
      <c r="AF51" s="397"/>
      <c r="AG51" s="397"/>
      <c r="AH51" s="396"/>
      <c r="AI51" s="397"/>
      <c r="AJ51" s="397"/>
      <c r="AK51" s="396"/>
      <c r="AL51" s="396"/>
      <c r="AM51" s="396"/>
      <c r="AN51" s="396"/>
      <c r="AO51" s="397"/>
      <c r="AP51" s="397"/>
      <c r="AQ51" s="396"/>
      <c r="AR51" s="397"/>
      <c r="AS51" s="397"/>
      <c r="AT51" s="396"/>
      <c r="AU51" s="397"/>
      <c r="AV51" s="397"/>
      <c r="AW51" s="396"/>
      <c r="AX51" s="397"/>
      <c r="AY51" s="397"/>
      <c r="AZ51" s="396"/>
      <c r="BA51" s="397"/>
      <c r="BB51" s="397"/>
      <c r="BC51" s="396"/>
      <c r="BD51" s="397"/>
      <c r="BE51" s="397"/>
      <c r="BF51" s="396"/>
      <c r="BG51" s="397"/>
      <c r="BH51" s="397"/>
      <c r="BI51" s="396"/>
      <c r="BJ51" s="397"/>
      <c r="BK51" s="397"/>
      <c r="BL51" s="396"/>
      <c r="BM51" s="397"/>
      <c r="BN51" s="397"/>
      <c r="BO51" s="396"/>
      <c r="BP51" s="397"/>
      <c r="BQ51" s="397"/>
      <c r="BR51" s="396"/>
      <c r="BS51" s="397"/>
      <c r="BT51" s="397"/>
      <c r="BU51" s="396"/>
      <c r="BV51" s="396"/>
      <c r="BW51" s="397"/>
      <c r="BX51" s="397"/>
      <c r="BY51" s="396"/>
      <c r="BZ51" s="396"/>
      <c r="CA51" s="397"/>
      <c r="CB51" s="397"/>
      <c r="CC51" s="396"/>
      <c r="CD51" s="397"/>
      <c r="CE51" s="397"/>
      <c r="CF51" s="396"/>
      <c r="CG51" s="396"/>
      <c r="CH51" s="397"/>
      <c r="CI51" s="397"/>
      <c r="CJ51" s="396"/>
      <c r="CK51" s="397"/>
      <c r="CL51" s="397"/>
      <c r="CM51" s="396"/>
      <c r="CN51" s="397"/>
      <c r="CO51" s="397"/>
      <c r="CP51" s="396"/>
      <c r="CQ51" s="397"/>
      <c r="CR51" s="397"/>
      <c r="CS51" s="396"/>
      <c r="CT51" s="397"/>
      <c r="CU51" s="397"/>
      <c r="CV51" s="396"/>
      <c r="CW51" s="396"/>
      <c r="CX51" s="397"/>
      <c r="CY51" s="397"/>
      <c r="CZ51" s="396"/>
      <c r="DA51" s="397"/>
      <c r="DB51" s="397"/>
      <c r="DC51" s="396"/>
      <c r="DD51" s="397"/>
      <c r="DE51" s="397"/>
      <c r="DF51" s="396"/>
      <c r="DG51" s="396"/>
      <c r="DH51" s="397"/>
      <c r="DI51" s="397"/>
      <c r="DJ51" s="397"/>
      <c r="DK51" s="396"/>
      <c r="DL51" s="396"/>
      <c r="DM51" s="396"/>
      <c r="DN51" s="396"/>
      <c r="DO51" s="396"/>
      <c r="DP51" s="396"/>
      <c r="DQ51" s="396"/>
      <c r="DR51" s="396"/>
      <c r="DS51" s="397"/>
      <c r="DT51" s="397"/>
      <c r="DU51" s="396"/>
      <c r="DV51" s="396"/>
      <c r="DW51" s="400"/>
      <c r="DX51" s="190">
        <f t="shared" si="50"/>
        <v>69012.591499999995</v>
      </c>
      <c r="DY51" s="341"/>
      <c r="DZ51" s="342"/>
      <c r="EA51" s="394"/>
      <c r="EC51" s="326"/>
    </row>
    <row r="52" spans="1:133" ht="14.25" thickBot="1" x14ac:dyDescent="0.3">
      <c r="A52" s="213" t="s">
        <v>103</v>
      </c>
      <c r="B52" s="214"/>
      <c r="C52" s="378">
        <f>SUM(C17:C51)</f>
        <v>110803013.55816665</v>
      </c>
      <c r="D52" s="378">
        <v>114783084.5915</v>
      </c>
      <c r="E52" s="378">
        <v>110279134.5915</v>
      </c>
      <c r="F52" s="378">
        <f>SUM(F17:F51)</f>
        <v>125583306.5915</v>
      </c>
      <c r="G52" s="219">
        <f t="shared" ref="G52:H52" si="74">SUM(G17:G51)</f>
        <v>80000</v>
      </c>
      <c r="H52" s="217">
        <f t="shared" si="74"/>
        <v>0</v>
      </c>
      <c r="I52" s="217">
        <f>SUM(I17:I51)</f>
        <v>69012.591499999995</v>
      </c>
      <c r="J52" s="217">
        <f>SUM(J17:J51)</f>
        <v>0</v>
      </c>
      <c r="K52" s="217">
        <f t="shared" ref="K52:R52" si="75">SUM(K17:K51)</f>
        <v>4986072</v>
      </c>
      <c r="L52" s="217">
        <f t="shared" ref="L52" si="76">SUM(L17:L51)</f>
        <v>0</v>
      </c>
      <c r="M52" s="217">
        <f t="shared" si="75"/>
        <v>1520000</v>
      </c>
      <c r="N52" s="217">
        <f t="shared" si="75"/>
        <v>0</v>
      </c>
      <c r="O52" s="217">
        <f t="shared" si="75"/>
        <v>10145000</v>
      </c>
      <c r="P52" s="379">
        <f t="shared" si="75"/>
        <v>10075000</v>
      </c>
      <c r="Q52" s="380">
        <f t="shared" si="75"/>
        <v>70000</v>
      </c>
      <c r="R52" s="217">
        <f t="shared" si="75"/>
        <v>0</v>
      </c>
      <c r="S52" s="381">
        <f>SUM(S17:S50)-S22-S34-S35</f>
        <v>19700000</v>
      </c>
      <c r="T52" s="217">
        <f t="shared" ref="T52:CO52" si="77">SUM(T17:T51)</f>
        <v>479000</v>
      </c>
      <c r="U52" s="217">
        <f t="shared" si="77"/>
        <v>300000</v>
      </c>
      <c r="V52" s="217">
        <f t="shared" si="77"/>
        <v>1202600</v>
      </c>
      <c r="W52" s="217">
        <f t="shared" si="77"/>
        <v>115000</v>
      </c>
      <c r="X52" s="217">
        <f t="shared" ref="X52" si="78">SUM(X17:X51)</f>
        <v>1135200</v>
      </c>
      <c r="Y52" s="217">
        <f t="shared" si="77"/>
        <v>944850</v>
      </c>
      <c r="Z52" s="217">
        <f t="shared" si="77"/>
        <v>540000</v>
      </c>
      <c r="AA52" s="217">
        <f t="shared" si="77"/>
        <v>1520000</v>
      </c>
      <c r="AB52" s="217">
        <f t="shared" si="77"/>
        <v>3174240</v>
      </c>
      <c r="AC52" s="379">
        <f t="shared" si="77"/>
        <v>3174240</v>
      </c>
      <c r="AD52" s="379">
        <f t="shared" si="77"/>
        <v>0</v>
      </c>
      <c r="AE52" s="217">
        <f t="shared" si="77"/>
        <v>4490000</v>
      </c>
      <c r="AF52" s="379">
        <f t="shared" si="77"/>
        <v>4390000</v>
      </c>
      <c r="AG52" s="379">
        <f t="shared" si="77"/>
        <v>100000</v>
      </c>
      <c r="AH52" s="217">
        <f t="shared" si="77"/>
        <v>6470800</v>
      </c>
      <c r="AI52" s="379">
        <f t="shared" si="77"/>
        <v>6470800</v>
      </c>
      <c r="AJ52" s="379">
        <f t="shared" si="77"/>
        <v>0</v>
      </c>
      <c r="AK52" s="217">
        <f t="shared" si="77"/>
        <v>1356900</v>
      </c>
      <c r="AL52" s="217">
        <f t="shared" si="77"/>
        <v>480000</v>
      </c>
      <c r="AM52" s="217">
        <f t="shared" si="77"/>
        <v>0</v>
      </c>
      <c r="AN52" s="217">
        <f t="shared" si="77"/>
        <v>210000</v>
      </c>
      <c r="AO52" s="379">
        <f t="shared" si="77"/>
        <v>190000</v>
      </c>
      <c r="AP52" s="379">
        <f t="shared" si="77"/>
        <v>20000</v>
      </c>
      <c r="AQ52" s="217">
        <f t="shared" si="77"/>
        <v>240000</v>
      </c>
      <c r="AR52" s="379">
        <f t="shared" si="77"/>
        <v>240000</v>
      </c>
      <c r="AS52" s="379">
        <f t="shared" si="77"/>
        <v>0</v>
      </c>
      <c r="AT52" s="217">
        <f t="shared" ref="AT52:AV52" si="79">SUM(AT17:AT51)</f>
        <v>660000</v>
      </c>
      <c r="AU52" s="379">
        <f t="shared" si="79"/>
        <v>430000</v>
      </c>
      <c r="AV52" s="379">
        <f t="shared" si="79"/>
        <v>230000</v>
      </c>
      <c r="AW52" s="217">
        <f t="shared" ref="AW52:AY52" si="80">SUM(AW17:AW51)</f>
        <v>1757156</v>
      </c>
      <c r="AX52" s="379">
        <f t="shared" si="80"/>
        <v>1757156</v>
      </c>
      <c r="AY52" s="379">
        <f t="shared" si="80"/>
        <v>0</v>
      </c>
      <c r="AZ52" s="217">
        <f t="shared" si="77"/>
        <v>19144092</v>
      </c>
      <c r="BA52" s="379">
        <f t="shared" si="77"/>
        <v>19144092</v>
      </c>
      <c r="BB52" s="379">
        <f t="shared" si="77"/>
        <v>0</v>
      </c>
      <c r="BC52" s="217">
        <f t="shared" ref="BC52:BE52" si="81">SUM(BC17:BC51)</f>
        <v>1600000</v>
      </c>
      <c r="BD52" s="379">
        <f t="shared" si="81"/>
        <v>1600000</v>
      </c>
      <c r="BE52" s="379">
        <f t="shared" si="81"/>
        <v>0</v>
      </c>
      <c r="BF52" s="217">
        <f t="shared" si="77"/>
        <v>860000</v>
      </c>
      <c r="BG52" s="379">
        <f t="shared" si="77"/>
        <v>860000</v>
      </c>
      <c r="BH52" s="379">
        <f t="shared" si="77"/>
        <v>0</v>
      </c>
      <c r="BI52" s="217">
        <f t="shared" si="77"/>
        <v>1000000</v>
      </c>
      <c r="BJ52" s="379">
        <f t="shared" si="77"/>
        <v>980000</v>
      </c>
      <c r="BK52" s="379">
        <f t="shared" si="77"/>
        <v>20000</v>
      </c>
      <c r="BL52" s="217">
        <f t="shared" si="77"/>
        <v>320000</v>
      </c>
      <c r="BM52" s="379">
        <f t="shared" si="77"/>
        <v>290000</v>
      </c>
      <c r="BN52" s="379">
        <f t="shared" si="77"/>
        <v>30000</v>
      </c>
      <c r="BO52" s="217">
        <f t="shared" si="77"/>
        <v>4309000</v>
      </c>
      <c r="BP52" s="379">
        <f t="shared" si="77"/>
        <v>4279000</v>
      </c>
      <c r="BQ52" s="379">
        <f t="shared" si="77"/>
        <v>30000</v>
      </c>
      <c r="BR52" s="217">
        <f t="shared" si="77"/>
        <v>0</v>
      </c>
      <c r="BS52" s="379">
        <f t="shared" si="77"/>
        <v>0</v>
      </c>
      <c r="BT52" s="379">
        <f t="shared" si="77"/>
        <v>0</v>
      </c>
      <c r="BU52" s="217">
        <f t="shared" si="77"/>
        <v>270000</v>
      </c>
      <c r="BV52" s="217">
        <f t="shared" si="77"/>
        <v>610000</v>
      </c>
      <c r="BW52" s="379">
        <f t="shared" si="77"/>
        <v>580000</v>
      </c>
      <c r="BX52" s="379">
        <f t="shared" si="77"/>
        <v>30000</v>
      </c>
      <c r="BY52" s="217">
        <f t="shared" si="77"/>
        <v>500000</v>
      </c>
      <c r="BZ52" s="217">
        <f t="shared" si="77"/>
        <v>4392100</v>
      </c>
      <c r="CA52" s="379">
        <f t="shared" si="77"/>
        <v>4042100</v>
      </c>
      <c r="CB52" s="379">
        <f t="shared" si="77"/>
        <v>350000</v>
      </c>
      <c r="CC52" s="217">
        <f t="shared" si="77"/>
        <v>9460709</v>
      </c>
      <c r="CD52" s="379">
        <f t="shared" si="77"/>
        <v>7210709</v>
      </c>
      <c r="CE52" s="379">
        <f t="shared" si="77"/>
        <v>2250000</v>
      </c>
      <c r="CF52" s="217">
        <f t="shared" si="77"/>
        <v>3028575</v>
      </c>
      <c r="CG52" s="217">
        <f t="shared" si="77"/>
        <v>1470000</v>
      </c>
      <c r="CH52" s="379">
        <f t="shared" si="77"/>
        <v>1470000</v>
      </c>
      <c r="CI52" s="379">
        <f t="shared" si="77"/>
        <v>0</v>
      </c>
      <c r="CJ52" s="217">
        <f t="shared" si="77"/>
        <v>2500000</v>
      </c>
      <c r="CK52" s="379">
        <f t="shared" si="77"/>
        <v>2500000</v>
      </c>
      <c r="CL52" s="379">
        <f t="shared" si="77"/>
        <v>0</v>
      </c>
      <c r="CM52" s="217">
        <f t="shared" si="77"/>
        <v>870000</v>
      </c>
      <c r="CN52" s="379">
        <f t="shared" si="77"/>
        <v>870000</v>
      </c>
      <c r="CO52" s="379">
        <f t="shared" si="77"/>
        <v>0</v>
      </c>
      <c r="CP52" s="217">
        <f t="shared" ref="CP52:DW52" si="82">SUM(CP17:CP51)</f>
        <v>2500000</v>
      </c>
      <c r="CQ52" s="379">
        <f t="shared" si="82"/>
        <v>2500000</v>
      </c>
      <c r="CR52" s="379">
        <f t="shared" si="82"/>
        <v>0</v>
      </c>
      <c r="CS52" s="217">
        <f t="shared" si="82"/>
        <v>530000</v>
      </c>
      <c r="CT52" s="379">
        <f t="shared" si="82"/>
        <v>230000</v>
      </c>
      <c r="CU52" s="379">
        <f t="shared" si="82"/>
        <v>300000</v>
      </c>
      <c r="CV52" s="217">
        <f t="shared" si="82"/>
        <v>100000</v>
      </c>
      <c r="CW52" s="217">
        <f t="shared" si="82"/>
        <v>5500000</v>
      </c>
      <c r="CX52" s="379">
        <f t="shared" si="82"/>
        <v>0</v>
      </c>
      <c r="CY52" s="379">
        <f t="shared" si="82"/>
        <v>5500000</v>
      </c>
      <c r="CZ52" s="217">
        <f t="shared" si="82"/>
        <v>800000</v>
      </c>
      <c r="DA52" s="379">
        <f t="shared" si="82"/>
        <v>0</v>
      </c>
      <c r="DB52" s="379">
        <f t="shared" si="82"/>
        <v>800000</v>
      </c>
      <c r="DC52" s="217">
        <f t="shared" si="82"/>
        <v>70000</v>
      </c>
      <c r="DD52" s="379">
        <f t="shared" si="82"/>
        <v>0</v>
      </c>
      <c r="DE52" s="379">
        <f t="shared" si="82"/>
        <v>70000</v>
      </c>
      <c r="DF52" s="217">
        <f t="shared" si="82"/>
        <v>66500</v>
      </c>
      <c r="DG52" s="217">
        <f t="shared" si="82"/>
        <v>3000000</v>
      </c>
      <c r="DH52" s="379">
        <f t="shared" si="82"/>
        <v>1450000</v>
      </c>
      <c r="DI52" s="379">
        <f t="shared" si="82"/>
        <v>0</v>
      </c>
      <c r="DJ52" s="379">
        <f t="shared" si="82"/>
        <v>1550000</v>
      </c>
      <c r="DK52" s="217">
        <f t="shared" si="82"/>
        <v>356500</v>
      </c>
      <c r="DL52" s="217">
        <f t="shared" si="82"/>
        <v>0</v>
      </c>
      <c r="DM52" s="217">
        <f t="shared" si="82"/>
        <v>0</v>
      </c>
      <c r="DN52" s="217">
        <f t="shared" si="82"/>
        <v>0</v>
      </c>
      <c r="DO52" s="217">
        <f t="shared" si="82"/>
        <v>0</v>
      </c>
      <c r="DP52" s="217">
        <f t="shared" si="82"/>
        <v>0</v>
      </c>
      <c r="DQ52" s="217">
        <f t="shared" si="82"/>
        <v>0</v>
      </c>
      <c r="DR52" s="217">
        <f t="shared" si="82"/>
        <v>750000</v>
      </c>
      <c r="DS52" s="379">
        <f t="shared" ref="DS52:DT52" si="83">SUM(DS17:DS51)</f>
        <v>50000</v>
      </c>
      <c r="DT52" s="379">
        <f t="shared" si="83"/>
        <v>700000</v>
      </c>
      <c r="DU52" s="217">
        <f t="shared" si="82"/>
        <v>0</v>
      </c>
      <c r="DV52" s="217">
        <f t="shared" si="82"/>
        <v>0</v>
      </c>
      <c r="DW52" s="382">
        <f t="shared" si="82"/>
        <v>0</v>
      </c>
      <c r="DX52" s="190"/>
      <c r="DY52" s="341"/>
      <c r="DZ52" s="342"/>
      <c r="EA52" s="378">
        <f>SUM(EA17:EA50)</f>
        <v>11120000</v>
      </c>
      <c r="EC52" s="326"/>
    </row>
    <row r="53" spans="1:133" outlineLevel="1" x14ac:dyDescent="0.25">
      <c r="A53" s="222">
        <v>5141</v>
      </c>
      <c r="B53" s="205" t="s">
        <v>7</v>
      </c>
      <c r="C53" s="365">
        <v>3384502.7564800004</v>
      </c>
      <c r="D53" s="365">
        <v>3040031.8039999995</v>
      </c>
      <c r="E53" s="365">
        <v>2952545.0202600001</v>
      </c>
      <c r="F53" s="365">
        <f t="shared" ref="F53:F54" si="84">SUM(G53:O53)+SUM(T53:AB53)+AE53+AH53+SUM(AK53:AN53)+AQ53+AZ53+BF53+BI53+BL53+BO53+BR53+BU53+BV53+BY53+BZ53+CC53+SUM(CF53:CG53)+CP53+CS53+CV53+CW53+CZ53+DC53+DF53+DG53+SUM(DK53:DR53)+CJ53+CM53+SUM(DU53:DW53)+R53+AT53+AW53+BC53</f>
        <v>2952545.0202600001</v>
      </c>
      <c r="G53" s="404">
        <f>[4]Úroky!$B$4</f>
        <v>2952545.0202600001</v>
      </c>
      <c r="H53" s="405"/>
      <c r="I53" s="405"/>
      <c r="J53" s="405"/>
      <c r="K53" s="405"/>
      <c r="L53" s="405"/>
      <c r="M53" s="405"/>
      <c r="N53" s="405"/>
      <c r="O53" s="405">
        <f t="shared" ref="O53:O54" si="85">+P53+Q53</f>
        <v>0</v>
      </c>
      <c r="P53" s="406"/>
      <c r="Q53" s="407"/>
      <c r="R53" s="405"/>
      <c r="S53" s="408">
        <f t="shared" ref="S53:S54" si="86">+Q53+AP53+CE53+CB53+BX53+DJ53+AD53+AJ53+AS53+BB53+BH53+BK53+BN53+BQ53+BT53+CI53+CU53+CY53+DB53+DE53+AG53+DT53</f>
        <v>0</v>
      </c>
      <c r="T53" s="405"/>
      <c r="U53" s="405"/>
      <c r="V53" s="405"/>
      <c r="W53" s="405"/>
      <c r="X53" s="405"/>
      <c r="Y53" s="405"/>
      <c r="Z53" s="405"/>
      <c r="AA53" s="405"/>
      <c r="AB53" s="405">
        <f t="shared" ref="AB53:AB54" si="87">+AC53+AD53</f>
        <v>0</v>
      </c>
      <c r="AC53" s="406"/>
      <c r="AD53" s="406"/>
      <c r="AE53" s="405">
        <f t="shared" ref="AE53:AE54" si="88">+AF53+AG53</f>
        <v>0</v>
      </c>
      <c r="AF53" s="406"/>
      <c r="AG53" s="406"/>
      <c r="AH53" s="405">
        <f t="shared" ref="AH53:AH54" si="89">+AI53+AJ53</f>
        <v>0</v>
      </c>
      <c r="AI53" s="406"/>
      <c r="AJ53" s="406"/>
      <c r="AK53" s="405"/>
      <c r="AL53" s="405"/>
      <c r="AM53" s="405"/>
      <c r="AN53" s="405">
        <f t="shared" ref="AN53:AN54" si="90">+AO53+AP53</f>
        <v>0</v>
      </c>
      <c r="AO53" s="406"/>
      <c r="AP53" s="406"/>
      <c r="AQ53" s="405">
        <f t="shared" ref="AQ53:AQ54" si="91">+AR53+AS53</f>
        <v>0</v>
      </c>
      <c r="AR53" s="406"/>
      <c r="AS53" s="406"/>
      <c r="AT53" s="405">
        <f t="shared" ref="AT53:AT54" si="92">+AU53+AV53</f>
        <v>0</v>
      </c>
      <c r="AU53" s="406"/>
      <c r="AV53" s="406"/>
      <c r="AW53" s="405">
        <f t="shared" ref="AW53:AW54" si="93">+AX53+AY53</f>
        <v>0</v>
      </c>
      <c r="AX53" s="406"/>
      <c r="AY53" s="406"/>
      <c r="AZ53" s="405">
        <f t="shared" ref="AZ53:AZ54" si="94">+BA53+BB53</f>
        <v>0</v>
      </c>
      <c r="BA53" s="406"/>
      <c r="BB53" s="406"/>
      <c r="BC53" s="405">
        <f t="shared" ref="BC53:BC54" si="95">+BD53+BE53</f>
        <v>0</v>
      </c>
      <c r="BD53" s="406"/>
      <c r="BE53" s="406"/>
      <c r="BF53" s="405">
        <f t="shared" ref="BF53:BF54" si="96">+BG53+BH53</f>
        <v>0</v>
      </c>
      <c r="BG53" s="406"/>
      <c r="BH53" s="406"/>
      <c r="BI53" s="405">
        <f t="shared" ref="BI53:BI54" si="97">+BJ53+BK53</f>
        <v>0</v>
      </c>
      <c r="BJ53" s="406"/>
      <c r="BK53" s="406"/>
      <c r="BL53" s="405">
        <f t="shared" ref="BL53:BL54" si="98">+BM53+BN53</f>
        <v>0</v>
      </c>
      <c r="BM53" s="406"/>
      <c r="BN53" s="406"/>
      <c r="BO53" s="405">
        <f t="shared" ref="BO53:BO54" si="99">+BP53+BQ53</f>
        <v>0</v>
      </c>
      <c r="BP53" s="406"/>
      <c r="BQ53" s="406"/>
      <c r="BR53" s="405">
        <f t="shared" ref="BR53:BR54" si="100">+BS53+BT53</f>
        <v>0</v>
      </c>
      <c r="BS53" s="406"/>
      <c r="BT53" s="406"/>
      <c r="BU53" s="405"/>
      <c r="BV53" s="405">
        <f t="shared" ref="BV53:BV54" si="101">+BW53+BX53</f>
        <v>0</v>
      </c>
      <c r="BW53" s="406"/>
      <c r="BX53" s="406"/>
      <c r="BY53" s="405"/>
      <c r="BZ53" s="405">
        <f t="shared" ref="BZ53:BZ54" si="102">+CA53+CB53</f>
        <v>0</v>
      </c>
      <c r="CA53" s="406"/>
      <c r="CB53" s="406"/>
      <c r="CC53" s="405">
        <f t="shared" ref="CC53:CC54" si="103">+CD53+CE53</f>
        <v>0</v>
      </c>
      <c r="CD53" s="406"/>
      <c r="CE53" s="406"/>
      <c r="CF53" s="405"/>
      <c r="CG53" s="405">
        <f t="shared" ref="CG53:CG54" si="104">+CH53+CI53</f>
        <v>0</v>
      </c>
      <c r="CH53" s="406"/>
      <c r="CI53" s="406"/>
      <c r="CJ53" s="405"/>
      <c r="CK53" s="406"/>
      <c r="CL53" s="406"/>
      <c r="CM53" s="405"/>
      <c r="CN53" s="406"/>
      <c r="CO53" s="406"/>
      <c r="CP53" s="405"/>
      <c r="CQ53" s="406"/>
      <c r="CR53" s="406"/>
      <c r="CS53" s="405">
        <f t="shared" ref="CS53:CS54" si="105">+CT53+CU53</f>
        <v>0</v>
      </c>
      <c r="CT53" s="406"/>
      <c r="CU53" s="406"/>
      <c r="CV53" s="405"/>
      <c r="CW53" s="405">
        <f t="shared" ref="CW53:CW54" si="106">+CX53+CY53</f>
        <v>0</v>
      </c>
      <c r="CX53" s="406"/>
      <c r="CY53" s="406"/>
      <c r="CZ53" s="405">
        <f t="shared" ref="CZ53:CZ54" si="107">+DA53+DB53</f>
        <v>0</v>
      </c>
      <c r="DA53" s="406"/>
      <c r="DB53" s="406"/>
      <c r="DC53" s="405">
        <f t="shared" ref="DC53:DC54" si="108">+DD53+DE53</f>
        <v>0</v>
      </c>
      <c r="DD53" s="406"/>
      <c r="DE53" s="406"/>
      <c r="DF53" s="405"/>
      <c r="DG53" s="405">
        <f t="shared" ref="DG53:DG54" si="109">+DH53+DI53+DJ53</f>
        <v>0</v>
      </c>
      <c r="DH53" s="406"/>
      <c r="DI53" s="406"/>
      <c r="DJ53" s="406"/>
      <c r="DK53" s="405"/>
      <c r="DL53" s="405"/>
      <c r="DM53" s="405"/>
      <c r="DN53" s="405"/>
      <c r="DO53" s="405"/>
      <c r="DP53" s="405"/>
      <c r="DQ53" s="405"/>
      <c r="DR53" s="405"/>
      <c r="DS53" s="406"/>
      <c r="DT53" s="406"/>
      <c r="DU53" s="405"/>
      <c r="DV53" s="405"/>
      <c r="DW53" s="409"/>
      <c r="DX53" s="190">
        <f t="shared" ref="DX53:DX54" si="110">+G53+H53+I53+K53+M53+N53+O53+R53+S53+T53+U53+V53+W53+Y53+Z53+AA53+AB53+AE53+AH53+AK53+AL53+AM53+AN53+AQ53+AZ53+BF53+BI53+BL53+BO53+BR53+BU53+BV53+BY53+BZ53+CC53+CF53+CG53+CJ53+CM53+CP53+CS53+CV53+CW53+CZ53+DC53+DF53+DG53+DK53+DL53+DM53+DN53+DO53+DQ53+DR53+DU53+DV53+DW53+BC53+AW53+AT53+X53-S53</f>
        <v>2952545.0202600001</v>
      </c>
      <c r="DY53" s="341">
        <f t="shared" si="70"/>
        <v>0</v>
      </c>
      <c r="DZ53" s="342"/>
      <c r="EA53" s="403"/>
      <c r="EC53" s="326"/>
    </row>
    <row r="54" spans="1:133" outlineLevel="1" x14ac:dyDescent="0.25">
      <c r="A54" s="401">
        <v>5144</v>
      </c>
      <c r="B54" s="410" t="s">
        <v>679</v>
      </c>
      <c r="C54" s="403">
        <v>0</v>
      </c>
      <c r="D54" s="403">
        <v>0</v>
      </c>
      <c r="E54" s="403">
        <v>0</v>
      </c>
      <c r="F54" s="403">
        <f t="shared" si="84"/>
        <v>0</v>
      </c>
      <c r="G54" s="252"/>
      <c r="H54" s="411"/>
      <c r="I54" s="411"/>
      <c r="J54" s="411"/>
      <c r="K54" s="411"/>
      <c r="L54" s="411"/>
      <c r="M54" s="411"/>
      <c r="N54" s="411"/>
      <c r="O54" s="411">
        <f t="shared" si="85"/>
        <v>0</v>
      </c>
      <c r="P54" s="412"/>
      <c r="Q54" s="413"/>
      <c r="R54" s="411"/>
      <c r="S54" s="414">
        <f t="shared" si="86"/>
        <v>0</v>
      </c>
      <c r="T54" s="411"/>
      <c r="U54" s="411"/>
      <c r="V54" s="411"/>
      <c r="W54" s="411"/>
      <c r="X54" s="411"/>
      <c r="Y54" s="411"/>
      <c r="Z54" s="411"/>
      <c r="AA54" s="411"/>
      <c r="AB54" s="411">
        <f t="shared" si="87"/>
        <v>0</v>
      </c>
      <c r="AC54" s="412"/>
      <c r="AD54" s="412"/>
      <c r="AE54" s="411">
        <f t="shared" si="88"/>
        <v>0</v>
      </c>
      <c r="AF54" s="412"/>
      <c r="AG54" s="412"/>
      <c r="AH54" s="411">
        <f t="shared" si="89"/>
        <v>0</v>
      </c>
      <c r="AI54" s="412"/>
      <c r="AJ54" s="412"/>
      <c r="AK54" s="411"/>
      <c r="AL54" s="411"/>
      <c r="AM54" s="411"/>
      <c r="AN54" s="411">
        <f t="shared" si="90"/>
        <v>0</v>
      </c>
      <c r="AO54" s="412"/>
      <c r="AP54" s="412"/>
      <c r="AQ54" s="411">
        <f t="shared" si="91"/>
        <v>0</v>
      </c>
      <c r="AR54" s="412"/>
      <c r="AS54" s="412"/>
      <c r="AT54" s="411">
        <f t="shared" si="92"/>
        <v>0</v>
      </c>
      <c r="AU54" s="412"/>
      <c r="AV54" s="412"/>
      <c r="AW54" s="411">
        <f t="shared" si="93"/>
        <v>0</v>
      </c>
      <c r="AX54" s="412"/>
      <c r="AY54" s="412"/>
      <c r="AZ54" s="411">
        <f t="shared" si="94"/>
        <v>0</v>
      </c>
      <c r="BA54" s="412"/>
      <c r="BB54" s="412"/>
      <c r="BC54" s="411">
        <f t="shared" si="95"/>
        <v>0</v>
      </c>
      <c r="BD54" s="412"/>
      <c r="BE54" s="412"/>
      <c r="BF54" s="411">
        <f t="shared" si="96"/>
        <v>0</v>
      </c>
      <c r="BG54" s="412"/>
      <c r="BH54" s="412"/>
      <c r="BI54" s="411">
        <f t="shared" si="97"/>
        <v>0</v>
      </c>
      <c r="BJ54" s="412"/>
      <c r="BK54" s="412"/>
      <c r="BL54" s="411">
        <f t="shared" si="98"/>
        <v>0</v>
      </c>
      <c r="BM54" s="412"/>
      <c r="BN54" s="412"/>
      <c r="BO54" s="411">
        <f t="shared" si="99"/>
        <v>0</v>
      </c>
      <c r="BP54" s="412"/>
      <c r="BQ54" s="412"/>
      <c r="BR54" s="411">
        <f t="shared" si="100"/>
        <v>0</v>
      </c>
      <c r="BS54" s="412"/>
      <c r="BT54" s="412"/>
      <c r="BU54" s="411"/>
      <c r="BV54" s="411">
        <f t="shared" si="101"/>
        <v>0</v>
      </c>
      <c r="BW54" s="412"/>
      <c r="BX54" s="412"/>
      <c r="BY54" s="411"/>
      <c r="BZ54" s="411">
        <f t="shared" si="102"/>
        <v>0</v>
      </c>
      <c r="CA54" s="412"/>
      <c r="CB54" s="412"/>
      <c r="CC54" s="411">
        <f t="shared" si="103"/>
        <v>0</v>
      </c>
      <c r="CD54" s="412"/>
      <c r="CE54" s="412"/>
      <c r="CF54" s="411"/>
      <c r="CG54" s="411">
        <f t="shared" si="104"/>
        <v>0</v>
      </c>
      <c r="CH54" s="412"/>
      <c r="CI54" s="412"/>
      <c r="CJ54" s="411"/>
      <c r="CK54" s="412"/>
      <c r="CL54" s="412"/>
      <c r="CM54" s="411"/>
      <c r="CN54" s="412"/>
      <c r="CO54" s="412"/>
      <c r="CP54" s="411"/>
      <c r="CQ54" s="412"/>
      <c r="CR54" s="412"/>
      <c r="CS54" s="411">
        <f t="shared" si="105"/>
        <v>0</v>
      </c>
      <c r="CT54" s="412"/>
      <c r="CU54" s="412"/>
      <c r="CV54" s="411"/>
      <c r="CW54" s="411">
        <f t="shared" si="106"/>
        <v>0</v>
      </c>
      <c r="CX54" s="412"/>
      <c r="CY54" s="412"/>
      <c r="CZ54" s="411">
        <f t="shared" si="107"/>
        <v>0</v>
      </c>
      <c r="DA54" s="412"/>
      <c r="DB54" s="412"/>
      <c r="DC54" s="411">
        <f t="shared" si="108"/>
        <v>0</v>
      </c>
      <c r="DD54" s="412"/>
      <c r="DE54" s="412"/>
      <c r="DF54" s="411"/>
      <c r="DG54" s="411">
        <f t="shared" si="109"/>
        <v>0</v>
      </c>
      <c r="DH54" s="412"/>
      <c r="DI54" s="412"/>
      <c r="DJ54" s="412"/>
      <c r="DK54" s="411"/>
      <c r="DL54" s="411"/>
      <c r="DM54" s="411"/>
      <c r="DN54" s="411"/>
      <c r="DO54" s="411"/>
      <c r="DP54" s="411"/>
      <c r="DQ54" s="411"/>
      <c r="DR54" s="411"/>
      <c r="DS54" s="412"/>
      <c r="DT54" s="412"/>
      <c r="DU54" s="411"/>
      <c r="DV54" s="411"/>
      <c r="DW54" s="415"/>
      <c r="DX54" s="190">
        <f t="shared" si="110"/>
        <v>0</v>
      </c>
      <c r="DY54" s="341"/>
      <c r="DZ54" s="342"/>
      <c r="EA54" s="403"/>
      <c r="EC54" s="326"/>
    </row>
    <row r="55" spans="1:133" ht="14.25" thickBot="1" x14ac:dyDescent="0.3">
      <c r="A55" s="213" t="s">
        <v>104</v>
      </c>
      <c r="B55" s="214" t="s">
        <v>105</v>
      </c>
      <c r="C55" s="378">
        <f t="shared" ref="C55:J55" si="111">+C52+C53+C16+C54</f>
        <v>155961333.51464665</v>
      </c>
      <c r="D55" s="378">
        <v>161277372.03549999</v>
      </c>
      <c r="E55" s="378">
        <v>157240969.61176002</v>
      </c>
      <c r="F55" s="378">
        <f t="shared" si="111"/>
        <v>172545141.61176002</v>
      </c>
      <c r="G55" s="219">
        <f t="shared" si="111"/>
        <v>3032545.0202600001</v>
      </c>
      <c r="H55" s="217">
        <f t="shared" si="111"/>
        <v>0</v>
      </c>
      <c r="I55" s="217">
        <f t="shared" si="111"/>
        <v>69012.591499999995</v>
      </c>
      <c r="J55" s="217">
        <f t="shared" si="111"/>
        <v>0</v>
      </c>
      <c r="K55" s="217">
        <f t="shared" ref="K55:AR55" si="112">+K52+K53+K16+K54</f>
        <v>4986072</v>
      </c>
      <c r="L55" s="217">
        <f t="shared" ref="L55" si="113">+L52+L53+L16+L54</f>
        <v>0</v>
      </c>
      <c r="M55" s="217">
        <f t="shared" si="112"/>
        <v>5579484</v>
      </c>
      <c r="N55" s="217">
        <f t="shared" si="112"/>
        <v>0</v>
      </c>
      <c r="O55" s="217">
        <f t="shared" si="112"/>
        <v>35568760.600000001</v>
      </c>
      <c r="P55" s="379">
        <f t="shared" si="112"/>
        <v>35498760.600000001</v>
      </c>
      <c r="Q55" s="380">
        <f t="shared" si="112"/>
        <v>70000</v>
      </c>
      <c r="R55" s="217">
        <f t="shared" si="112"/>
        <v>2539193.7999999998</v>
      </c>
      <c r="S55" s="381">
        <f t="shared" si="112"/>
        <v>19750000</v>
      </c>
      <c r="T55" s="217">
        <f t="shared" si="112"/>
        <v>2723814</v>
      </c>
      <c r="U55" s="217">
        <f t="shared" si="112"/>
        <v>300000</v>
      </c>
      <c r="V55" s="217">
        <f t="shared" si="112"/>
        <v>8457247.4000000004</v>
      </c>
      <c r="W55" s="217">
        <f t="shared" si="112"/>
        <v>131130.4</v>
      </c>
      <c r="X55" s="217">
        <f t="shared" ref="X55" si="114">+X52+X53+X16+X54</f>
        <v>1135200</v>
      </c>
      <c r="Y55" s="217">
        <f t="shared" si="112"/>
        <v>3004215.2</v>
      </c>
      <c r="Z55" s="217">
        <f t="shared" si="112"/>
        <v>730753.6</v>
      </c>
      <c r="AA55" s="217">
        <f t="shared" si="112"/>
        <v>1520000</v>
      </c>
      <c r="AB55" s="217">
        <f t="shared" si="112"/>
        <v>3174240</v>
      </c>
      <c r="AC55" s="379">
        <f t="shared" si="112"/>
        <v>3174240</v>
      </c>
      <c r="AD55" s="379">
        <f t="shared" si="112"/>
        <v>0</v>
      </c>
      <c r="AE55" s="217">
        <f t="shared" si="112"/>
        <v>4490000</v>
      </c>
      <c r="AF55" s="379">
        <f t="shared" si="112"/>
        <v>4390000</v>
      </c>
      <c r="AG55" s="379">
        <f t="shared" si="112"/>
        <v>100000</v>
      </c>
      <c r="AH55" s="217">
        <f t="shared" si="112"/>
        <v>6470800</v>
      </c>
      <c r="AI55" s="379">
        <f t="shared" si="112"/>
        <v>6470800</v>
      </c>
      <c r="AJ55" s="379">
        <f t="shared" si="112"/>
        <v>0</v>
      </c>
      <c r="AK55" s="217">
        <f t="shared" si="112"/>
        <v>1528041</v>
      </c>
      <c r="AL55" s="217">
        <f t="shared" si="112"/>
        <v>480000</v>
      </c>
      <c r="AM55" s="217">
        <f t="shared" si="112"/>
        <v>0</v>
      </c>
      <c r="AN55" s="217">
        <f t="shared" si="112"/>
        <v>210000</v>
      </c>
      <c r="AO55" s="379">
        <f t="shared" si="112"/>
        <v>190000</v>
      </c>
      <c r="AP55" s="379">
        <f t="shared" si="112"/>
        <v>20000</v>
      </c>
      <c r="AQ55" s="217">
        <f t="shared" si="112"/>
        <v>240000</v>
      </c>
      <c r="AR55" s="379">
        <f t="shared" si="112"/>
        <v>240000</v>
      </c>
      <c r="AS55" s="379">
        <f t="shared" ref="AS55:CG55" si="115">+AS52+AS53+AS16+AS54</f>
        <v>0</v>
      </c>
      <c r="AT55" s="217">
        <f t="shared" si="115"/>
        <v>660000</v>
      </c>
      <c r="AU55" s="379">
        <f t="shared" si="115"/>
        <v>430000</v>
      </c>
      <c r="AV55" s="379">
        <f t="shared" ref="AV55:AX55" si="116">+AV52+AV53+AV16+AV54</f>
        <v>230000</v>
      </c>
      <c r="AW55" s="217">
        <f t="shared" si="116"/>
        <v>1757156</v>
      </c>
      <c r="AX55" s="379">
        <f t="shared" si="116"/>
        <v>1757156</v>
      </c>
      <c r="AY55" s="379">
        <f t="shared" ref="AY55" si="117">+AY52+AY53+AY16+AY54</f>
        <v>0</v>
      </c>
      <c r="AZ55" s="217">
        <f t="shared" si="115"/>
        <v>19144092</v>
      </c>
      <c r="BA55" s="379">
        <f t="shared" si="115"/>
        <v>19144092</v>
      </c>
      <c r="BB55" s="379">
        <f t="shared" si="115"/>
        <v>0</v>
      </c>
      <c r="BC55" s="217">
        <f t="shared" ref="BC55:BE55" si="118">+BC52+BC53+BC16+BC54</f>
        <v>1600000</v>
      </c>
      <c r="BD55" s="379">
        <f t="shared" si="118"/>
        <v>1600000</v>
      </c>
      <c r="BE55" s="379">
        <f t="shared" si="118"/>
        <v>0</v>
      </c>
      <c r="BF55" s="217">
        <f t="shared" si="115"/>
        <v>860000</v>
      </c>
      <c r="BG55" s="379">
        <f t="shared" si="115"/>
        <v>860000</v>
      </c>
      <c r="BH55" s="379">
        <f t="shared" si="115"/>
        <v>0</v>
      </c>
      <c r="BI55" s="217">
        <f t="shared" si="115"/>
        <v>1000000</v>
      </c>
      <c r="BJ55" s="379">
        <f t="shared" si="115"/>
        <v>980000</v>
      </c>
      <c r="BK55" s="379">
        <f t="shared" si="115"/>
        <v>20000</v>
      </c>
      <c r="BL55" s="217">
        <f t="shared" si="115"/>
        <v>320000</v>
      </c>
      <c r="BM55" s="379">
        <f t="shared" si="115"/>
        <v>290000</v>
      </c>
      <c r="BN55" s="379">
        <f t="shared" si="115"/>
        <v>30000</v>
      </c>
      <c r="BO55" s="217">
        <f t="shared" si="115"/>
        <v>4309000</v>
      </c>
      <c r="BP55" s="379">
        <f t="shared" si="115"/>
        <v>4279000</v>
      </c>
      <c r="BQ55" s="379">
        <f t="shared" si="115"/>
        <v>30000</v>
      </c>
      <c r="BR55" s="217">
        <f t="shared" si="115"/>
        <v>0</v>
      </c>
      <c r="BS55" s="379">
        <f t="shared" si="115"/>
        <v>0</v>
      </c>
      <c r="BT55" s="379">
        <f t="shared" si="115"/>
        <v>0</v>
      </c>
      <c r="BU55" s="217">
        <f t="shared" si="115"/>
        <v>270000</v>
      </c>
      <c r="BV55" s="217">
        <f t="shared" si="115"/>
        <v>610000</v>
      </c>
      <c r="BW55" s="379">
        <f t="shared" si="115"/>
        <v>580000</v>
      </c>
      <c r="BX55" s="379">
        <f t="shared" si="115"/>
        <v>30000</v>
      </c>
      <c r="BY55" s="217">
        <f t="shared" si="115"/>
        <v>500000</v>
      </c>
      <c r="BZ55" s="217">
        <f t="shared" si="115"/>
        <v>4392100</v>
      </c>
      <c r="CA55" s="379">
        <f t="shared" si="115"/>
        <v>4042100</v>
      </c>
      <c r="CB55" s="379">
        <f t="shared" si="115"/>
        <v>350000</v>
      </c>
      <c r="CC55" s="217">
        <f t="shared" si="115"/>
        <v>9460709</v>
      </c>
      <c r="CD55" s="379">
        <f t="shared" si="115"/>
        <v>7210709</v>
      </c>
      <c r="CE55" s="379">
        <f t="shared" si="115"/>
        <v>2250000</v>
      </c>
      <c r="CF55" s="217">
        <f t="shared" si="115"/>
        <v>3028575</v>
      </c>
      <c r="CG55" s="217">
        <f t="shared" si="115"/>
        <v>1470000</v>
      </c>
      <c r="CH55" s="379">
        <f t="shared" ref="CH55:CJ55" si="119">+CH52+CH53+CH16+CH54</f>
        <v>1470000</v>
      </c>
      <c r="CI55" s="379">
        <f t="shared" si="119"/>
        <v>0</v>
      </c>
      <c r="CJ55" s="217">
        <f t="shared" si="119"/>
        <v>2500000</v>
      </c>
      <c r="CK55" s="379"/>
      <c r="CL55" s="379"/>
      <c r="CM55" s="217">
        <f>+CM52+CM53+CM16+CM54</f>
        <v>870000</v>
      </c>
      <c r="CN55" s="379"/>
      <c r="CO55" s="379"/>
      <c r="CP55" s="217">
        <f>+CP52+CP53+CP16+CP54</f>
        <v>2500000</v>
      </c>
      <c r="CQ55" s="379"/>
      <c r="CR55" s="379"/>
      <c r="CS55" s="217">
        <f t="shared" ref="CS55:DW55" si="120">+CS52+CS53+CS16+CS54</f>
        <v>530000</v>
      </c>
      <c r="CT55" s="379">
        <f t="shared" si="120"/>
        <v>230000</v>
      </c>
      <c r="CU55" s="379">
        <f t="shared" si="120"/>
        <v>300000</v>
      </c>
      <c r="CV55" s="217">
        <f t="shared" si="120"/>
        <v>100000</v>
      </c>
      <c r="CW55" s="217">
        <f t="shared" si="120"/>
        <v>5500000</v>
      </c>
      <c r="CX55" s="379">
        <f t="shared" si="120"/>
        <v>0</v>
      </c>
      <c r="CY55" s="379">
        <f t="shared" si="120"/>
        <v>5500000</v>
      </c>
      <c r="CZ55" s="217">
        <f t="shared" si="120"/>
        <v>800000</v>
      </c>
      <c r="DA55" s="379">
        <f t="shared" si="120"/>
        <v>0</v>
      </c>
      <c r="DB55" s="379">
        <f t="shared" si="120"/>
        <v>800000</v>
      </c>
      <c r="DC55" s="217">
        <f t="shared" si="120"/>
        <v>70000</v>
      </c>
      <c r="DD55" s="379">
        <f t="shared" si="120"/>
        <v>0</v>
      </c>
      <c r="DE55" s="379">
        <f t="shared" si="120"/>
        <v>70000</v>
      </c>
      <c r="DF55" s="217">
        <f t="shared" si="120"/>
        <v>66500</v>
      </c>
      <c r="DG55" s="217">
        <f t="shared" si="120"/>
        <v>3000000</v>
      </c>
      <c r="DH55" s="379">
        <f t="shared" si="120"/>
        <v>1450000</v>
      </c>
      <c r="DI55" s="379">
        <f t="shared" si="120"/>
        <v>0</v>
      </c>
      <c r="DJ55" s="379">
        <f t="shared" si="120"/>
        <v>1550000</v>
      </c>
      <c r="DK55" s="217">
        <f t="shared" si="120"/>
        <v>356500</v>
      </c>
      <c r="DL55" s="217">
        <f t="shared" si="120"/>
        <v>0</v>
      </c>
      <c r="DM55" s="217">
        <f t="shared" si="120"/>
        <v>0</v>
      </c>
      <c r="DN55" s="217">
        <f t="shared" si="120"/>
        <v>0</v>
      </c>
      <c r="DO55" s="217">
        <f t="shared" si="120"/>
        <v>0</v>
      </c>
      <c r="DP55" s="217">
        <f t="shared" si="120"/>
        <v>0</v>
      </c>
      <c r="DQ55" s="217">
        <f t="shared" si="120"/>
        <v>0</v>
      </c>
      <c r="DR55" s="217">
        <f t="shared" si="120"/>
        <v>750000</v>
      </c>
      <c r="DS55" s="379">
        <f t="shared" ref="DS55:DT55" si="121">+DS52+DS53+DS16+DS54</f>
        <v>50000</v>
      </c>
      <c r="DT55" s="379">
        <f t="shared" si="121"/>
        <v>700000</v>
      </c>
      <c r="DU55" s="217">
        <f t="shared" si="120"/>
        <v>0</v>
      </c>
      <c r="DV55" s="217">
        <f t="shared" si="120"/>
        <v>0</v>
      </c>
      <c r="DW55" s="382">
        <f t="shared" si="120"/>
        <v>0</v>
      </c>
      <c r="DX55" s="190"/>
      <c r="DY55" s="341"/>
      <c r="DZ55" s="342"/>
      <c r="EA55" s="378">
        <f>+EA52+EA53+EA16</f>
        <v>11120000</v>
      </c>
      <c r="EC55" s="326"/>
    </row>
    <row r="56" spans="1:133" outlineLevel="1" x14ac:dyDescent="0.25">
      <c r="A56" s="222"/>
      <c r="B56" s="205"/>
      <c r="C56" s="416"/>
      <c r="D56" s="416"/>
      <c r="E56" s="416"/>
      <c r="F56" s="416"/>
      <c r="G56" s="417"/>
      <c r="H56" s="411"/>
      <c r="I56" s="411"/>
      <c r="J56" s="411"/>
      <c r="K56" s="411"/>
      <c r="L56" s="411"/>
      <c r="M56" s="411"/>
      <c r="N56" s="411"/>
      <c r="O56" s="411"/>
      <c r="P56" s="412"/>
      <c r="Q56" s="413"/>
      <c r="R56" s="411"/>
      <c r="S56" s="414">
        <f t="shared" ref="S56:S64" si="122">+Q56+AP56+CE56+CB56+BX56+DJ56+AD56+AJ56+AS56+BB56+BH56+BK56+BN56+BQ56+BT56+CI56+CU56+CY56+DB56+DE56+AG56+DT56</f>
        <v>0</v>
      </c>
      <c r="T56" s="411"/>
      <c r="U56" s="411"/>
      <c r="V56" s="411"/>
      <c r="W56" s="411"/>
      <c r="X56" s="411"/>
      <c r="Y56" s="411"/>
      <c r="Z56" s="411"/>
      <c r="AA56" s="411"/>
      <c r="AB56" s="411"/>
      <c r="AC56" s="412"/>
      <c r="AD56" s="412"/>
      <c r="AE56" s="411"/>
      <c r="AF56" s="412"/>
      <c r="AG56" s="412"/>
      <c r="AH56" s="411"/>
      <c r="AI56" s="412"/>
      <c r="AJ56" s="412"/>
      <c r="AK56" s="411"/>
      <c r="AL56" s="411"/>
      <c r="AM56" s="411"/>
      <c r="AN56" s="411"/>
      <c r="AO56" s="412"/>
      <c r="AP56" s="412"/>
      <c r="AQ56" s="411"/>
      <c r="AR56" s="412"/>
      <c r="AS56" s="412"/>
      <c r="AT56" s="411"/>
      <c r="AU56" s="412"/>
      <c r="AV56" s="412"/>
      <c r="AW56" s="411"/>
      <c r="AX56" s="412"/>
      <c r="AY56" s="412"/>
      <c r="AZ56" s="411"/>
      <c r="BA56" s="412"/>
      <c r="BB56" s="412"/>
      <c r="BC56" s="411"/>
      <c r="BD56" s="412"/>
      <c r="BE56" s="412"/>
      <c r="BF56" s="411"/>
      <c r="BG56" s="412"/>
      <c r="BH56" s="412"/>
      <c r="BI56" s="411"/>
      <c r="BJ56" s="412"/>
      <c r="BK56" s="412"/>
      <c r="BL56" s="411"/>
      <c r="BM56" s="412"/>
      <c r="BN56" s="412"/>
      <c r="BO56" s="411"/>
      <c r="BP56" s="412"/>
      <c r="BQ56" s="412"/>
      <c r="BR56" s="411"/>
      <c r="BS56" s="412"/>
      <c r="BT56" s="412"/>
      <c r="BU56" s="411"/>
      <c r="BV56" s="411"/>
      <c r="BW56" s="412"/>
      <c r="BX56" s="412"/>
      <c r="BY56" s="411"/>
      <c r="BZ56" s="411"/>
      <c r="CA56" s="412"/>
      <c r="CB56" s="412"/>
      <c r="CC56" s="411"/>
      <c r="CD56" s="412"/>
      <c r="CE56" s="412"/>
      <c r="CF56" s="411"/>
      <c r="CG56" s="411"/>
      <c r="CH56" s="412"/>
      <c r="CI56" s="412"/>
      <c r="CJ56" s="411"/>
      <c r="CK56" s="412"/>
      <c r="CL56" s="412"/>
      <c r="CM56" s="411"/>
      <c r="CN56" s="412"/>
      <c r="CO56" s="412"/>
      <c r="CP56" s="411"/>
      <c r="CQ56" s="412"/>
      <c r="CR56" s="412"/>
      <c r="CS56" s="411"/>
      <c r="CT56" s="412"/>
      <c r="CU56" s="412"/>
      <c r="CV56" s="411"/>
      <c r="CW56" s="411"/>
      <c r="CX56" s="412"/>
      <c r="CY56" s="412"/>
      <c r="CZ56" s="411"/>
      <c r="DA56" s="412"/>
      <c r="DB56" s="412"/>
      <c r="DC56" s="411"/>
      <c r="DD56" s="412"/>
      <c r="DE56" s="412"/>
      <c r="DF56" s="411"/>
      <c r="DG56" s="411"/>
      <c r="DH56" s="412"/>
      <c r="DI56" s="412"/>
      <c r="DJ56" s="412"/>
      <c r="DK56" s="411"/>
      <c r="DL56" s="411"/>
      <c r="DM56" s="411"/>
      <c r="DN56" s="411"/>
      <c r="DO56" s="411"/>
      <c r="DP56" s="411"/>
      <c r="DQ56" s="411"/>
      <c r="DR56" s="411"/>
      <c r="DS56" s="412"/>
      <c r="DT56" s="412"/>
      <c r="DU56" s="411"/>
      <c r="DV56" s="411"/>
      <c r="DW56" s="415"/>
      <c r="DX56" s="190">
        <f t="shared" ref="DX56:DX68" si="123">+G56+H56+I56+K56+M56+N56+O56+R56+S56+T56+U56+V56+W56+Y56+Z56+AA56+AB56+AE56+AH56+AK56+AL56+AM56+AN56+AQ56+AZ56+BF56+BI56+BL56+BO56+BR56+BU56+BV56+BY56+BZ56+CC56+CF56+CG56+CJ56+CM56+CP56+CS56+CV56+CW56+CZ56+DC56+DF56+DG56+DK56+DL56+DM56+DN56+DO56+DQ56+DR56+DU56+DV56+DW56+BC56+AW56+AT56+X56-S56</f>
        <v>0</v>
      </c>
      <c r="DY56" s="341"/>
      <c r="DZ56" s="342"/>
      <c r="EA56" s="403"/>
      <c r="EC56" s="326"/>
    </row>
    <row r="57" spans="1:133" outlineLevel="1" x14ac:dyDescent="0.25">
      <c r="A57" s="418">
        <v>6111</v>
      </c>
      <c r="B57" s="402" t="s">
        <v>91</v>
      </c>
      <c r="C57" s="373">
        <v>0</v>
      </c>
      <c r="D57" s="373">
        <v>0</v>
      </c>
      <c r="E57" s="373">
        <v>0</v>
      </c>
      <c r="F57" s="373">
        <f t="shared" ref="F57:F64" si="124">SUM(G57:O57)+SUM(T57:AB57)+AE57+AH57+SUM(AK57:AN57)+AQ57+AZ57+BF57+BI57+BL57+BO57+BR57+BU57+BV57+BY57+BZ57+CC57+SUM(CF57:CG57)+CP57+CS57+CV57+CW57+CZ57+DC57+DF57+DG57+SUM(DK57:DR57)+CJ57+CM57+SUM(DU57:DW57)+R57+AT57+AW57+BC57</f>
        <v>0</v>
      </c>
      <c r="G57" s="234"/>
      <c r="H57" s="155"/>
      <c r="I57" s="155"/>
      <c r="J57" s="155"/>
      <c r="K57" s="155"/>
      <c r="L57" s="155"/>
      <c r="M57" s="155"/>
      <c r="N57" s="155"/>
      <c r="O57" s="155">
        <f t="shared" ref="O57:O68" si="125">+P57+Q57</f>
        <v>0</v>
      </c>
      <c r="P57" s="374"/>
      <c r="Q57" s="375"/>
      <c r="R57" s="155"/>
      <c r="S57" s="384">
        <f t="shared" si="122"/>
        <v>0</v>
      </c>
      <c r="T57" s="155"/>
      <c r="U57" s="155"/>
      <c r="V57" s="155"/>
      <c r="W57" s="155"/>
      <c r="X57" s="155"/>
      <c r="Y57" s="155"/>
      <c r="Z57" s="155"/>
      <c r="AA57" s="155"/>
      <c r="AB57" s="155">
        <f t="shared" ref="AB57:AB68" si="126">+AC57+AD57</f>
        <v>0</v>
      </c>
      <c r="AC57" s="374"/>
      <c r="AD57" s="374"/>
      <c r="AE57" s="155">
        <f t="shared" ref="AE57:AE68" si="127">+AF57+AG57</f>
        <v>0</v>
      </c>
      <c r="AF57" s="374"/>
      <c r="AG57" s="374"/>
      <c r="AH57" s="155">
        <f t="shared" ref="AH57:AH68" si="128">+AI57+AJ57</f>
        <v>0</v>
      </c>
      <c r="AI57" s="374"/>
      <c r="AJ57" s="374"/>
      <c r="AK57" s="155"/>
      <c r="AL57" s="155"/>
      <c r="AM57" s="155"/>
      <c r="AN57" s="155">
        <f t="shared" ref="AN57:AN68" si="129">+AO57+AP57</f>
        <v>0</v>
      </c>
      <c r="AO57" s="374"/>
      <c r="AP57" s="374"/>
      <c r="AQ57" s="155">
        <f t="shared" ref="AQ57:AQ68" si="130">+AR57+AS57</f>
        <v>0</v>
      </c>
      <c r="AR57" s="374"/>
      <c r="AS57" s="374"/>
      <c r="AT57" s="155">
        <f t="shared" ref="AT57:AT64" si="131">+AU57+AV57</f>
        <v>0</v>
      </c>
      <c r="AU57" s="374"/>
      <c r="AV57" s="374"/>
      <c r="AW57" s="155">
        <f t="shared" ref="AW57:AW64" si="132">+AX57+AY57</f>
        <v>0</v>
      </c>
      <c r="AX57" s="374"/>
      <c r="AY57" s="374"/>
      <c r="AZ57" s="155">
        <f t="shared" ref="AZ57:AZ68" si="133">+BA57+BB57</f>
        <v>0</v>
      </c>
      <c r="BA57" s="374"/>
      <c r="BB57" s="374"/>
      <c r="BC57" s="155">
        <f t="shared" ref="BC57:BC64" si="134">+BD57+BE57</f>
        <v>0</v>
      </c>
      <c r="BD57" s="374"/>
      <c r="BE57" s="374"/>
      <c r="BF57" s="155">
        <f t="shared" ref="BF57:BF68" si="135">+BG57+BH57</f>
        <v>0</v>
      </c>
      <c r="BG57" s="374"/>
      <c r="BH57" s="374"/>
      <c r="BI57" s="155">
        <f t="shared" ref="BI57:BI68" si="136">+BJ57+BK57</f>
        <v>0</v>
      </c>
      <c r="BJ57" s="374"/>
      <c r="BK57" s="374"/>
      <c r="BL57" s="155">
        <f t="shared" ref="BL57:BL68" si="137">+BM57+BN57</f>
        <v>0</v>
      </c>
      <c r="BM57" s="374"/>
      <c r="BN57" s="374"/>
      <c r="BO57" s="155">
        <f t="shared" ref="BO57:BO68" si="138">+BP57+BQ57</f>
        <v>0</v>
      </c>
      <c r="BP57" s="374"/>
      <c r="BQ57" s="374"/>
      <c r="BR57" s="155">
        <f t="shared" ref="BR57:BR68" si="139">+BS57+BT57</f>
        <v>0</v>
      </c>
      <c r="BS57" s="374"/>
      <c r="BT57" s="374"/>
      <c r="BU57" s="155"/>
      <c r="BV57" s="155">
        <f t="shared" ref="BV57:BV68" si="140">+BW57+BX57</f>
        <v>0</v>
      </c>
      <c r="BW57" s="374"/>
      <c r="BX57" s="374"/>
      <c r="BY57" s="155"/>
      <c r="BZ57" s="155">
        <f t="shared" ref="BZ57:BZ68" si="141">+CA57+CB57</f>
        <v>0</v>
      </c>
      <c r="CA57" s="374"/>
      <c r="CB57" s="374"/>
      <c r="CC57" s="155">
        <f t="shared" ref="CC57:CC68" si="142">+CD57+CE57</f>
        <v>0</v>
      </c>
      <c r="CD57" s="374"/>
      <c r="CE57" s="374"/>
      <c r="CF57" s="155"/>
      <c r="CG57" s="155">
        <f t="shared" ref="CG57:CG68" si="143">+CH57+CI57</f>
        <v>0</v>
      </c>
      <c r="CH57" s="374"/>
      <c r="CI57" s="374"/>
      <c r="CJ57" s="155"/>
      <c r="CK57" s="374"/>
      <c r="CL57" s="374"/>
      <c r="CM57" s="155"/>
      <c r="CN57" s="374"/>
      <c r="CO57" s="374"/>
      <c r="CP57" s="155"/>
      <c r="CQ57" s="374"/>
      <c r="CR57" s="374"/>
      <c r="CS57" s="155">
        <f t="shared" ref="CS57:CS68" si="144">+CT57+CU57</f>
        <v>0</v>
      </c>
      <c r="CT57" s="374"/>
      <c r="CU57" s="374"/>
      <c r="CV57" s="155"/>
      <c r="CW57" s="155">
        <f t="shared" ref="CW57:CW68" si="145">+CX57+CY57</f>
        <v>0</v>
      </c>
      <c r="CX57" s="374"/>
      <c r="CY57" s="374"/>
      <c r="CZ57" s="155">
        <f t="shared" ref="CZ57:CZ68" si="146">+DA57+DB57</f>
        <v>0</v>
      </c>
      <c r="DA57" s="374"/>
      <c r="DB57" s="374"/>
      <c r="DC57" s="155">
        <f t="shared" ref="DC57:DC68" si="147">+DD57+DE57</f>
        <v>0</v>
      </c>
      <c r="DD57" s="374"/>
      <c r="DE57" s="374"/>
      <c r="DF57" s="155"/>
      <c r="DG57" s="155">
        <f t="shared" ref="DG57:DG68" si="148">+DH57+DI57+DJ57</f>
        <v>0</v>
      </c>
      <c r="DH57" s="374"/>
      <c r="DI57" s="374"/>
      <c r="DJ57" s="374"/>
      <c r="DK57" s="155"/>
      <c r="DL57" s="155"/>
      <c r="DM57" s="155"/>
      <c r="DN57" s="155"/>
      <c r="DO57" s="155"/>
      <c r="DP57" s="155"/>
      <c r="DQ57" s="155"/>
      <c r="DR57" s="155"/>
      <c r="DS57" s="374"/>
      <c r="DT57" s="374"/>
      <c r="DU57" s="155"/>
      <c r="DV57" s="155"/>
      <c r="DW57" s="377"/>
      <c r="DX57" s="190">
        <f t="shared" si="123"/>
        <v>0</v>
      </c>
      <c r="DY57" s="341">
        <f>DX57-F57</f>
        <v>0</v>
      </c>
      <c r="DZ57" s="342"/>
      <c r="EA57" s="373">
        <f t="shared" ref="EA57:EA68" si="149">+Q57+AD57+AG57++AJ57+AP57+AS57+BB57+BH57+BK57+BN57+BQ57+BT57+BX57+CB57+CE57+CI57+CU57+CY57+DB57+DE57+DJ57</f>
        <v>0</v>
      </c>
      <c r="EC57" s="326"/>
    </row>
    <row r="58" spans="1:133" outlineLevel="1" x14ac:dyDescent="0.25">
      <c r="A58" s="222">
        <v>6121</v>
      </c>
      <c r="B58" s="205" t="s">
        <v>106</v>
      </c>
      <c r="C58" s="373">
        <v>40704869.289999999</v>
      </c>
      <c r="D58" s="373">
        <v>50188654.480000004</v>
      </c>
      <c r="E58" s="373">
        <v>51938654.480000004</v>
      </c>
      <c r="F58" s="2601">
        <f t="shared" si="124"/>
        <v>55289654.480000004</v>
      </c>
      <c r="G58" s="234"/>
      <c r="H58" s="155"/>
      <c r="I58" s="155"/>
      <c r="J58" s="155"/>
      <c r="K58" s="155"/>
      <c r="L58" s="155"/>
      <c r="M58" s="155"/>
      <c r="N58" s="155"/>
      <c r="O58" s="155">
        <f t="shared" si="125"/>
        <v>0</v>
      </c>
      <c r="P58" s="374"/>
      <c r="Q58" s="375"/>
      <c r="R58" s="155"/>
      <c r="S58" s="385">
        <f t="shared" si="122"/>
        <v>0</v>
      </c>
      <c r="T58" s="155"/>
      <c r="U58" s="155"/>
      <c r="V58" s="155"/>
      <c r="W58" s="155"/>
      <c r="X58" s="155">
        <f>+'[5]Hotel Budka'!$B$4</f>
        <v>0</v>
      </c>
      <c r="Y58" s="155"/>
      <c r="Z58" s="155"/>
      <c r="AA58" s="155"/>
      <c r="AB58" s="155">
        <f t="shared" ref="AB58:AB60" si="150">+AC58+AD58</f>
        <v>2400000</v>
      </c>
      <c r="AC58" s="374">
        <f>+[5]Byty!$B$4</f>
        <v>2400000</v>
      </c>
      <c r="AD58" s="374"/>
      <c r="AE58" s="160">
        <f t="shared" si="127"/>
        <v>0</v>
      </c>
      <c r="AF58" s="177">
        <f>+[3]DPS!$B$49</f>
        <v>0</v>
      </c>
      <c r="AG58" s="177"/>
      <c r="AH58" s="160">
        <f t="shared" si="128"/>
        <v>60000</v>
      </c>
      <c r="AI58" s="177">
        <f>+[5]Nebyty!$B$4</f>
        <v>60000</v>
      </c>
      <c r="AJ58" s="177"/>
      <c r="AK58" s="155">
        <f>+[3]Hasiči!$B$40</f>
        <v>14700000</v>
      </c>
      <c r="AL58" s="155">
        <f>+'[3]Zdrav. středisko'!$B$19</f>
        <v>0</v>
      </c>
      <c r="AM58" s="155"/>
      <c r="AN58" s="155">
        <f t="shared" si="129"/>
        <v>0</v>
      </c>
      <c r="AO58" s="374">
        <f>+[3]Hřbitov!$B$34</f>
        <v>0</v>
      </c>
      <c r="AP58" s="374"/>
      <c r="AQ58" s="340">
        <f t="shared" si="130"/>
        <v>220000</v>
      </c>
      <c r="AR58" s="374">
        <f>+[5]Koupaliště!$B$4</f>
        <v>220000</v>
      </c>
      <c r="AS58" s="374"/>
      <c r="AT58" s="340">
        <f t="shared" si="131"/>
        <v>131000</v>
      </c>
      <c r="AU58" s="374">
        <f>+[5]Hřiště!$B$4</f>
        <v>131000</v>
      </c>
      <c r="AV58" s="374"/>
      <c r="AW58" s="340">
        <f t="shared" si="132"/>
        <v>0</v>
      </c>
      <c r="AX58" s="374"/>
      <c r="AY58" s="374"/>
      <c r="AZ58" s="155">
        <f t="shared" si="133"/>
        <v>31536654.48</v>
      </c>
      <c r="BA58" s="374">
        <f>+[5]ZŠ!$B$4</f>
        <v>31536654.48</v>
      </c>
      <c r="BB58" s="374"/>
      <c r="BC58" s="155">
        <f t="shared" si="134"/>
        <v>0</v>
      </c>
      <c r="BD58" s="374"/>
      <c r="BE58" s="374"/>
      <c r="BF58" s="155">
        <f t="shared" si="135"/>
        <v>0</v>
      </c>
      <c r="BG58" s="374">
        <f>+'[5]Č.p. 65'!$B$4</f>
        <v>0</v>
      </c>
      <c r="BH58" s="374"/>
      <c r="BI58" s="155">
        <f t="shared" si="136"/>
        <v>0</v>
      </c>
      <c r="BJ58" s="374"/>
      <c r="BK58" s="374"/>
      <c r="BL58" s="155">
        <f t="shared" si="137"/>
        <v>0</v>
      </c>
      <c r="BM58" s="374">
        <f>+'[5]MŠ Pražská'!$B$4</f>
        <v>0</v>
      </c>
      <c r="BN58" s="374"/>
      <c r="BO58" s="155">
        <f t="shared" si="138"/>
        <v>0</v>
      </c>
      <c r="BP58" s="374"/>
      <c r="BQ58" s="374"/>
      <c r="BR58" s="155">
        <f t="shared" si="139"/>
        <v>2500000</v>
      </c>
      <c r="BS58" s="374">
        <f>+'[5]Jídelna ZŠ'!$B$3</f>
        <v>2500000</v>
      </c>
      <c r="BT58" s="374"/>
      <c r="BU58" s="155"/>
      <c r="BV58" s="340">
        <f t="shared" si="140"/>
        <v>250000</v>
      </c>
      <c r="BW58" s="374">
        <f>+'[5]MŠ Cukrovar'!$B$4</f>
        <v>250000</v>
      </c>
      <c r="BX58" s="374"/>
      <c r="BY58" s="155"/>
      <c r="BZ58" s="155">
        <f t="shared" si="141"/>
        <v>592000</v>
      </c>
      <c r="CA58" s="386">
        <f>+[3]VO!$D$37</f>
        <v>592000</v>
      </c>
      <c r="CB58" s="374">
        <f>+[3]VO!$E$37</f>
        <v>0</v>
      </c>
      <c r="CC58" s="340">
        <f t="shared" si="142"/>
        <v>100000</v>
      </c>
      <c r="CD58" s="374">
        <f>+'[5]Silnice stavba'!$B$4</f>
        <v>100000</v>
      </c>
      <c r="CE58" s="374"/>
      <c r="CF58" s="155"/>
      <c r="CG58" s="155">
        <f t="shared" si="143"/>
        <v>2500000</v>
      </c>
      <c r="CH58" s="374">
        <f>+[5]Vodovod!$B$4</f>
        <v>2500000</v>
      </c>
      <c r="CI58" s="374"/>
      <c r="CJ58" s="155"/>
      <c r="CK58" s="374"/>
      <c r="CL58" s="374"/>
      <c r="CM58" s="155">
        <f>+CN58+CO58</f>
        <v>50000</v>
      </c>
      <c r="CN58" s="374">
        <f>+[5]Kanalizace!$B$4</f>
        <v>50000</v>
      </c>
      <c r="CO58" s="374"/>
      <c r="CP58" s="155"/>
      <c r="CQ58" s="374"/>
      <c r="CR58" s="374"/>
      <c r="CS58" s="155">
        <f t="shared" si="144"/>
        <v>250000</v>
      </c>
      <c r="CT58" s="374">
        <f>+'[5]Inženýrské sítě'!$B$4</f>
        <v>250000</v>
      </c>
      <c r="CU58" s="374"/>
      <c r="CV58" s="155"/>
      <c r="CW58" s="155">
        <f t="shared" si="145"/>
        <v>0</v>
      </c>
      <c r="CX58" s="374"/>
      <c r="CY58" s="374"/>
      <c r="CZ58" s="155">
        <f t="shared" si="146"/>
        <v>0</v>
      </c>
      <c r="DA58" s="374"/>
      <c r="DB58" s="374"/>
      <c r="DC58" s="155">
        <f t="shared" si="147"/>
        <v>0</v>
      </c>
      <c r="DD58" s="374"/>
      <c r="DE58" s="374"/>
      <c r="DF58" s="155">
        <f>'[6]Povodeň 3744'!$B$29</f>
        <v>0</v>
      </c>
      <c r="DG58" s="155">
        <f t="shared" si="148"/>
        <v>0</v>
      </c>
      <c r="DH58" s="374"/>
      <c r="DI58" s="374"/>
      <c r="DJ58" s="374"/>
      <c r="DK58" s="155"/>
      <c r="DL58" s="155"/>
      <c r="DM58" s="155"/>
      <c r="DN58" s="155"/>
      <c r="DO58" s="155">
        <v>0</v>
      </c>
      <c r="DP58" s="155"/>
      <c r="DQ58" s="155"/>
      <c r="DR58" s="374">
        <f>+DS58+DT58</f>
        <v>0</v>
      </c>
      <c r="DS58" s="374">
        <f>+'[5]Sběrný dvůr'!$B$4</f>
        <v>0</v>
      </c>
      <c r="DT58" s="374"/>
      <c r="DU58" s="155">
        <f>+[5]Pošembeří!$B$4</f>
        <v>0</v>
      </c>
      <c r="DV58" s="155">
        <f>+[5]Cyklostezky!$B$4</f>
        <v>0</v>
      </c>
      <c r="DW58" s="377"/>
      <c r="DX58" s="190">
        <f t="shared" si="123"/>
        <v>55289654.480000004</v>
      </c>
      <c r="DY58" s="341">
        <f>DX58-F58</f>
        <v>0</v>
      </c>
      <c r="DZ58" s="342"/>
      <c r="EA58" s="373">
        <f>+Q58+AD58+AG58++AJ58+AP58+AS58+BB58+BH58+BK58+BN58+BQ58+BT58+BX58+CB58+CE58+CI58+CU58+CY58+DB58+DE58+DJ58</f>
        <v>0</v>
      </c>
      <c r="EC58" s="326"/>
    </row>
    <row r="59" spans="1:133" outlineLevel="1" x14ac:dyDescent="0.25">
      <c r="A59" s="222">
        <v>6121</v>
      </c>
      <c r="B59" s="205" t="s">
        <v>107</v>
      </c>
      <c r="C59" s="373">
        <v>3580000</v>
      </c>
      <c r="D59" s="373">
        <v>12560000</v>
      </c>
      <c r="E59" s="373">
        <v>9560000</v>
      </c>
      <c r="F59" s="2601">
        <f t="shared" si="124"/>
        <v>8660000</v>
      </c>
      <c r="G59" s="234"/>
      <c r="H59" s="155"/>
      <c r="I59" s="155"/>
      <c r="J59" s="155"/>
      <c r="K59" s="155">
        <f>'[4]Všebecná pokladna'!$B$71</f>
        <v>0</v>
      </c>
      <c r="L59" s="155">
        <f>+'[3]Particitivní rozpočet'!$B$89+'[2]Participativní rozpočet'!$B$89</f>
        <v>0</v>
      </c>
      <c r="M59" s="155"/>
      <c r="N59" s="155"/>
      <c r="O59" s="155">
        <f t="shared" si="125"/>
        <v>0</v>
      </c>
      <c r="P59" s="374"/>
      <c r="Q59" s="375"/>
      <c r="R59" s="155"/>
      <c r="S59" s="384">
        <f t="shared" si="122"/>
        <v>0</v>
      </c>
      <c r="T59" s="155"/>
      <c r="U59" s="155"/>
      <c r="V59" s="155"/>
      <c r="W59" s="155"/>
      <c r="X59" s="155">
        <f>+'[5]Hotel Budka'!$B$5</f>
        <v>500000</v>
      </c>
      <c r="Y59" s="155"/>
      <c r="Z59" s="155"/>
      <c r="AA59" s="155"/>
      <c r="AB59" s="155">
        <f t="shared" si="150"/>
        <v>0</v>
      </c>
      <c r="AC59" s="374">
        <f>+[5]Byty!$B$5</f>
        <v>0</v>
      </c>
      <c r="AD59" s="374"/>
      <c r="AE59" s="160">
        <f t="shared" si="127"/>
        <v>0</v>
      </c>
      <c r="AF59" s="177"/>
      <c r="AG59" s="177"/>
      <c r="AH59" s="160">
        <f t="shared" si="128"/>
        <v>0</v>
      </c>
      <c r="AI59" s="374">
        <f>+[5]Nebyty!$B$5</f>
        <v>0</v>
      </c>
      <c r="AJ59" s="177"/>
      <c r="AK59" s="155"/>
      <c r="AL59" s="155">
        <f>+'[3]Zdrav. středisko'!$B$20</f>
        <v>150000</v>
      </c>
      <c r="AM59" s="155"/>
      <c r="AN59" s="155">
        <f t="shared" si="129"/>
        <v>0</v>
      </c>
      <c r="AO59" s="374">
        <f>+[3]Hřbitov!$B$33</f>
        <v>0</v>
      </c>
      <c r="AP59" s="374"/>
      <c r="AQ59" s="155">
        <f t="shared" si="130"/>
        <v>60000</v>
      </c>
      <c r="AR59" s="374">
        <f>+[5]Koupaliště!$B$5</f>
        <v>60000</v>
      </c>
      <c r="AS59" s="374"/>
      <c r="AT59" s="155">
        <f t="shared" si="131"/>
        <v>0</v>
      </c>
      <c r="AU59" s="374">
        <f>+[5]Hřiště!$B$5</f>
        <v>0</v>
      </c>
      <c r="AV59" s="374"/>
      <c r="AW59" s="155">
        <f t="shared" si="132"/>
        <v>0</v>
      </c>
      <c r="AX59" s="374"/>
      <c r="AY59" s="374"/>
      <c r="AZ59" s="155">
        <f t="shared" si="133"/>
        <v>200000</v>
      </c>
      <c r="BA59" s="374">
        <f>+[5]ZŠ!$B$5</f>
        <v>200000</v>
      </c>
      <c r="BB59" s="374"/>
      <c r="BC59" s="155">
        <f t="shared" si="134"/>
        <v>0</v>
      </c>
      <c r="BD59" s="374"/>
      <c r="BE59" s="374"/>
      <c r="BF59" s="155">
        <f t="shared" si="135"/>
        <v>0</v>
      </c>
      <c r="BG59" s="374">
        <f>+'[5]Č.p. 65'!$B$5</f>
        <v>0</v>
      </c>
      <c r="BH59" s="374"/>
      <c r="BI59" s="155">
        <f t="shared" si="136"/>
        <v>0</v>
      </c>
      <c r="BJ59" s="374"/>
      <c r="BK59" s="374"/>
      <c r="BL59" s="155">
        <f t="shared" si="137"/>
        <v>0</v>
      </c>
      <c r="BM59" s="374">
        <f>+'[5]MŠ Pražská'!$B$5</f>
        <v>0</v>
      </c>
      <c r="BN59" s="374"/>
      <c r="BO59" s="155">
        <f t="shared" si="138"/>
        <v>0</v>
      </c>
      <c r="BP59" s="374"/>
      <c r="BQ59" s="374"/>
      <c r="BR59" s="155">
        <f t="shared" si="139"/>
        <v>0</v>
      </c>
      <c r="BS59" s="374">
        <f>+'[5]Jídelna ZŠ'!$B$4</f>
        <v>0</v>
      </c>
      <c r="BT59" s="374"/>
      <c r="BU59" s="155"/>
      <c r="BV59" s="155">
        <f t="shared" si="140"/>
        <v>300000</v>
      </c>
      <c r="BW59" s="374">
        <f>+'[5]MŠ Cukrovar'!$B$5</f>
        <v>300000</v>
      </c>
      <c r="BX59" s="374"/>
      <c r="BY59" s="155">
        <f>'[6]Územní plán 3635'!$B$29</f>
        <v>550000</v>
      </c>
      <c r="BZ59" s="155">
        <f t="shared" si="141"/>
        <v>0</v>
      </c>
      <c r="CA59" s="374"/>
      <c r="CB59" s="374"/>
      <c r="CC59" s="155">
        <f t="shared" si="142"/>
        <v>2000000</v>
      </c>
      <c r="CD59" s="374">
        <f>+'[5]Silnice stavba'!$B$5</f>
        <v>2000000</v>
      </c>
      <c r="CE59" s="374"/>
      <c r="CF59" s="155"/>
      <c r="CG59" s="155">
        <f t="shared" si="143"/>
        <v>150000</v>
      </c>
      <c r="CH59" s="374">
        <f>+[5]Vodovod!$B$5</f>
        <v>150000</v>
      </c>
      <c r="CI59" s="374"/>
      <c r="CJ59" s="155"/>
      <c r="CK59" s="374"/>
      <c r="CL59" s="374"/>
      <c r="CM59" s="155">
        <f t="shared" ref="CM59" si="151">+CN59+CO59</f>
        <v>4600000</v>
      </c>
      <c r="CN59" s="374">
        <f>[5]Kanalizace!$B$5</f>
        <v>4600000</v>
      </c>
      <c r="CO59" s="374"/>
      <c r="CP59" s="155"/>
      <c r="CQ59" s="374"/>
      <c r="CR59" s="374"/>
      <c r="CS59" s="155">
        <f t="shared" si="144"/>
        <v>0</v>
      </c>
      <c r="CT59" s="374">
        <f>+'[5]Inženýrské sítě'!$B$5</f>
        <v>0</v>
      </c>
      <c r="CU59" s="374"/>
      <c r="CV59" s="155"/>
      <c r="CW59" s="155">
        <f t="shared" si="145"/>
        <v>0</v>
      </c>
      <c r="CX59" s="374"/>
      <c r="CY59" s="374"/>
      <c r="CZ59" s="155">
        <f t="shared" si="146"/>
        <v>0</v>
      </c>
      <c r="DA59" s="374"/>
      <c r="DB59" s="374"/>
      <c r="DC59" s="155">
        <f t="shared" si="147"/>
        <v>0</v>
      </c>
      <c r="DD59" s="374"/>
      <c r="DE59" s="374"/>
      <c r="DF59" s="155"/>
      <c r="DG59" s="155">
        <f t="shared" si="148"/>
        <v>150000</v>
      </c>
      <c r="DH59" s="374">
        <f>'[6]Příroda 3749'!$B$23</f>
        <v>150000</v>
      </c>
      <c r="DI59" s="374"/>
      <c r="DJ59" s="374"/>
      <c r="DK59" s="155">
        <f>'[6]Rybníky 3749-2'!$B$21</f>
        <v>0</v>
      </c>
      <c r="DL59" s="155"/>
      <c r="DM59" s="155"/>
      <c r="DN59" s="155"/>
      <c r="DO59" s="155">
        <v>0</v>
      </c>
      <c r="DP59" s="155"/>
      <c r="DQ59" s="155"/>
      <c r="DR59" s="374">
        <f t="shared" ref="DR59:DR60" si="152">+DS59+DT59</f>
        <v>0</v>
      </c>
      <c r="DS59" s="374">
        <f>+'[5]Sběrný dvůr'!$B$5</f>
        <v>0</v>
      </c>
      <c r="DT59" s="374"/>
      <c r="DU59" s="155">
        <f>+[5]Pošembeří!$B$5</f>
        <v>0</v>
      </c>
      <c r="DV59" s="155">
        <f>+[5]Cyklostezky!$B$5</f>
        <v>0</v>
      </c>
      <c r="DW59" s="377"/>
      <c r="DX59" s="190">
        <f t="shared" si="123"/>
        <v>8660000</v>
      </c>
      <c r="DY59" s="341">
        <f t="shared" si="70"/>
        <v>0</v>
      </c>
      <c r="DZ59" s="342"/>
      <c r="EA59" s="373">
        <f t="shared" si="149"/>
        <v>0</v>
      </c>
      <c r="EC59" s="326"/>
    </row>
    <row r="60" spans="1:133" outlineLevel="1" x14ac:dyDescent="0.25">
      <c r="A60" s="222">
        <v>6122</v>
      </c>
      <c r="B60" s="205" t="s">
        <v>108</v>
      </c>
      <c r="C60" s="373">
        <v>325000</v>
      </c>
      <c r="D60" s="373">
        <v>200000</v>
      </c>
      <c r="E60" s="373">
        <v>200000</v>
      </c>
      <c r="F60" s="373">
        <f t="shared" si="124"/>
        <v>200000</v>
      </c>
      <c r="G60" s="234"/>
      <c r="H60" s="155"/>
      <c r="I60" s="155"/>
      <c r="J60" s="155"/>
      <c r="K60" s="155"/>
      <c r="L60" s="155"/>
      <c r="M60" s="155"/>
      <c r="N60" s="155"/>
      <c r="O60" s="155">
        <f t="shared" si="125"/>
        <v>0</v>
      </c>
      <c r="P60" s="374"/>
      <c r="Q60" s="375"/>
      <c r="R60" s="155"/>
      <c r="S60" s="384">
        <f t="shared" si="122"/>
        <v>0</v>
      </c>
      <c r="T60" s="155"/>
      <c r="U60" s="155"/>
      <c r="V60" s="155"/>
      <c r="W60" s="155"/>
      <c r="X60" s="155"/>
      <c r="Y60" s="155"/>
      <c r="Z60" s="155"/>
      <c r="AA60" s="155"/>
      <c r="AB60" s="155">
        <f t="shared" si="150"/>
        <v>0</v>
      </c>
      <c r="AC60" s="374"/>
      <c r="AD60" s="374"/>
      <c r="AE60" s="155">
        <f t="shared" si="127"/>
        <v>0</v>
      </c>
      <c r="AF60" s="374"/>
      <c r="AG60" s="374"/>
      <c r="AH60" s="155">
        <f t="shared" si="128"/>
        <v>0</v>
      </c>
      <c r="AI60" s="374">
        <v>0</v>
      </c>
      <c r="AJ60" s="374"/>
      <c r="AK60" s="155">
        <f>[2]Hasiči!$B$82</f>
        <v>200000</v>
      </c>
      <c r="AL60" s="155"/>
      <c r="AM60" s="155"/>
      <c r="AN60" s="155">
        <f t="shared" si="129"/>
        <v>0</v>
      </c>
      <c r="AO60" s="374"/>
      <c r="AP60" s="374"/>
      <c r="AQ60" s="155">
        <f t="shared" si="130"/>
        <v>0</v>
      </c>
      <c r="AR60" s="374"/>
      <c r="AS60" s="374"/>
      <c r="AT60" s="155">
        <f t="shared" si="131"/>
        <v>0</v>
      </c>
      <c r="AU60" s="374"/>
      <c r="AV60" s="374"/>
      <c r="AW60" s="155">
        <f t="shared" si="132"/>
        <v>0</v>
      </c>
      <c r="AX60" s="374"/>
      <c r="AY60" s="374"/>
      <c r="AZ60" s="155">
        <f t="shared" si="133"/>
        <v>0</v>
      </c>
      <c r="BA60" s="374"/>
      <c r="BB60" s="374"/>
      <c r="BC60" s="155">
        <f t="shared" si="134"/>
        <v>0</v>
      </c>
      <c r="BD60" s="374"/>
      <c r="BE60" s="374"/>
      <c r="BF60" s="155">
        <f t="shared" si="135"/>
        <v>0</v>
      </c>
      <c r="BG60" s="374">
        <f>[2]č.p.65!$B$46</f>
        <v>0</v>
      </c>
      <c r="BH60" s="374"/>
      <c r="BI60" s="155">
        <f t="shared" si="136"/>
        <v>0</v>
      </c>
      <c r="BJ60" s="374"/>
      <c r="BK60" s="374"/>
      <c r="BL60" s="155">
        <f t="shared" si="137"/>
        <v>0</v>
      </c>
      <c r="BM60" s="374"/>
      <c r="BN60" s="374"/>
      <c r="BO60" s="155">
        <f t="shared" si="138"/>
        <v>0</v>
      </c>
      <c r="BP60" s="374"/>
      <c r="BQ60" s="374"/>
      <c r="BR60" s="155">
        <f t="shared" si="139"/>
        <v>0</v>
      </c>
      <c r="BS60" s="374"/>
      <c r="BT60" s="374"/>
      <c r="BU60" s="155"/>
      <c r="BV60" s="155">
        <f t="shared" si="140"/>
        <v>0</v>
      </c>
      <c r="BW60" s="374"/>
      <c r="BX60" s="374"/>
      <c r="BY60" s="155"/>
      <c r="BZ60" s="155">
        <f t="shared" si="141"/>
        <v>0</v>
      </c>
      <c r="CA60" s="374"/>
      <c r="CB60" s="374"/>
      <c r="CC60" s="155">
        <f t="shared" si="142"/>
        <v>0</v>
      </c>
      <c r="CD60" s="374"/>
      <c r="CE60" s="374"/>
      <c r="CF60" s="155"/>
      <c r="CG60" s="155">
        <f t="shared" si="143"/>
        <v>0</v>
      </c>
      <c r="CH60" s="374"/>
      <c r="CI60" s="374"/>
      <c r="CJ60" s="155"/>
      <c r="CK60" s="374"/>
      <c r="CL60" s="374"/>
      <c r="CM60" s="155"/>
      <c r="CN60" s="374"/>
      <c r="CO60" s="374"/>
      <c r="CP60" s="155"/>
      <c r="CQ60" s="374"/>
      <c r="CR60" s="374"/>
      <c r="CS60" s="155">
        <f t="shared" si="144"/>
        <v>0</v>
      </c>
      <c r="CT60" s="374"/>
      <c r="CU60" s="374"/>
      <c r="CV60" s="155"/>
      <c r="CW60" s="155">
        <f t="shared" si="145"/>
        <v>0</v>
      </c>
      <c r="CX60" s="374"/>
      <c r="CY60" s="374"/>
      <c r="CZ60" s="155">
        <f t="shared" si="146"/>
        <v>0</v>
      </c>
      <c r="DA60" s="374"/>
      <c r="DB60" s="374"/>
      <c r="DC60" s="155">
        <f t="shared" si="147"/>
        <v>0</v>
      </c>
      <c r="DD60" s="374"/>
      <c r="DE60" s="374"/>
      <c r="DF60" s="155"/>
      <c r="DG60" s="155">
        <f t="shared" si="148"/>
        <v>0</v>
      </c>
      <c r="DH60" s="374"/>
      <c r="DI60" s="374"/>
      <c r="DJ60" s="374"/>
      <c r="DK60" s="155"/>
      <c r="DL60" s="155"/>
      <c r="DM60" s="155"/>
      <c r="DN60" s="155"/>
      <c r="DO60" s="155"/>
      <c r="DP60" s="155"/>
      <c r="DQ60" s="155"/>
      <c r="DR60" s="374">
        <f t="shared" si="152"/>
        <v>0</v>
      </c>
      <c r="DS60" s="374"/>
      <c r="DT60" s="374"/>
      <c r="DU60" s="155"/>
      <c r="DV60" s="155"/>
      <c r="DW60" s="377"/>
      <c r="DX60" s="190">
        <f t="shared" si="123"/>
        <v>200000</v>
      </c>
      <c r="DY60" s="341">
        <f t="shared" si="70"/>
        <v>0</v>
      </c>
      <c r="DZ60" s="342"/>
      <c r="EA60" s="373">
        <f t="shared" si="149"/>
        <v>0</v>
      </c>
      <c r="EC60" s="326"/>
    </row>
    <row r="61" spans="1:133" outlineLevel="1" x14ac:dyDescent="0.25">
      <c r="A61" s="222">
        <v>6123</v>
      </c>
      <c r="B61" s="205" t="s">
        <v>109</v>
      </c>
      <c r="C61" s="373">
        <v>667700</v>
      </c>
      <c r="D61" s="373">
        <v>0</v>
      </c>
      <c r="E61" s="373">
        <v>0</v>
      </c>
      <c r="F61" s="373">
        <f t="shared" si="124"/>
        <v>0</v>
      </c>
      <c r="G61" s="234"/>
      <c r="H61" s="155"/>
      <c r="I61" s="155"/>
      <c r="J61" s="155"/>
      <c r="K61" s="155"/>
      <c r="L61" s="155"/>
      <c r="M61" s="155"/>
      <c r="N61" s="155"/>
      <c r="O61" s="160">
        <f t="shared" si="125"/>
        <v>0</v>
      </c>
      <c r="P61" s="177"/>
      <c r="Q61" s="419"/>
      <c r="R61" s="155"/>
      <c r="S61" s="384">
        <f t="shared" si="122"/>
        <v>0</v>
      </c>
      <c r="T61" s="155"/>
      <c r="U61" s="155"/>
      <c r="V61" s="155">
        <f>'[2]Městská policie'!$B$155</f>
        <v>0</v>
      </c>
      <c r="W61" s="155"/>
      <c r="X61" s="155"/>
      <c r="Y61" s="155"/>
      <c r="Z61" s="155"/>
      <c r="AA61" s="155"/>
      <c r="AB61" s="155">
        <f t="shared" si="126"/>
        <v>0</v>
      </c>
      <c r="AC61" s="374">
        <f>+[3]Nebyty!$B$22</f>
        <v>0</v>
      </c>
      <c r="AD61" s="374"/>
      <c r="AE61" s="155">
        <f t="shared" si="127"/>
        <v>0</v>
      </c>
      <c r="AF61" s="374"/>
      <c r="AG61" s="374"/>
      <c r="AH61" s="155">
        <f t="shared" si="128"/>
        <v>0</v>
      </c>
      <c r="AI61" s="374"/>
      <c r="AJ61" s="374"/>
      <c r="AK61" s="155">
        <f>+[3]Hasiči!$B$33</f>
        <v>0</v>
      </c>
      <c r="AL61" s="155"/>
      <c r="AM61" s="155"/>
      <c r="AN61" s="155">
        <f t="shared" si="129"/>
        <v>0</v>
      </c>
      <c r="AO61" s="374"/>
      <c r="AP61" s="374"/>
      <c r="AQ61" s="155">
        <f t="shared" si="130"/>
        <v>0</v>
      </c>
      <c r="AR61" s="374"/>
      <c r="AS61" s="374"/>
      <c r="AT61" s="155">
        <f t="shared" si="131"/>
        <v>0</v>
      </c>
      <c r="AU61" s="374"/>
      <c r="AV61" s="374"/>
      <c r="AW61" s="155">
        <f t="shared" si="132"/>
        <v>0</v>
      </c>
      <c r="AX61" s="374"/>
      <c r="AY61" s="374"/>
      <c r="AZ61" s="155">
        <f t="shared" si="133"/>
        <v>0</v>
      </c>
      <c r="BA61" s="374"/>
      <c r="BB61" s="374"/>
      <c r="BC61" s="155">
        <f t="shared" si="134"/>
        <v>0</v>
      </c>
      <c r="BD61" s="374"/>
      <c r="BE61" s="374"/>
      <c r="BF61" s="155">
        <f t="shared" si="135"/>
        <v>0</v>
      </c>
      <c r="BG61" s="374"/>
      <c r="BH61" s="374"/>
      <c r="BI61" s="155">
        <f t="shared" si="136"/>
        <v>0</v>
      </c>
      <c r="BJ61" s="374"/>
      <c r="BK61" s="374"/>
      <c r="BL61" s="155">
        <f t="shared" si="137"/>
        <v>0</v>
      </c>
      <c r="BM61" s="374"/>
      <c r="BN61" s="374"/>
      <c r="BO61" s="155">
        <f t="shared" si="138"/>
        <v>0</v>
      </c>
      <c r="BP61" s="374"/>
      <c r="BQ61" s="374"/>
      <c r="BR61" s="155">
        <f t="shared" si="139"/>
        <v>0</v>
      </c>
      <c r="BS61" s="374"/>
      <c r="BT61" s="374"/>
      <c r="BU61" s="155"/>
      <c r="BV61" s="155">
        <f t="shared" si="140"/>
        <v>0</v>
      </c>
      <c r="BW61" s="374"/>
      <c r="BX61" s="374"/>
      <c r="BY61" s="155"/>
      <c r="BZ61" s="155">
        <f t="shared" si="141"/>
        <v>0</v>
      </c>
      <c r="CA61" s="374"/>
      <c r="CB61" s="374"/>
      <c r="CC61" s="155">
        <f t="shared" si="142"/>
        <v>0</v>
      </c>
      <c r="CD61" s="374"/>
      <c r="CE61" s="374"/>
      <c r="CF61" s="155"/>
      <c r="CG61" s="155">
        <f t="shared" si="143"/>
        <v>0</v>
      </c>
      <c r="CH61" s="374"/>
      <c r="CI61" s="374"/>
      <c r="CJ61" s="155"/>
      <c r="CK61" s="374"/>
      <c r="CL61" s="374"/>
      <c r="CM61" s="155"/>
      <c r="CN61" s="374"/>
      <c r="CO61" s="374"/>
      <c r="CP61" s="155"/>
      <c r="CQ61" s="374"/>
      <c r="CR61" s="374"/>
      <c r="CS61" s="155">
        <f t="shared" si="144"/>
        <v>0</v>
      </c>
      <c r="CT61" s="374"/>
      <c r="CU61" s="374"/>
      <c r="CV61" s="155"/>
      <c r="CW61" s="155">
        <f t="shared" si="145"/>
        <v>0</v>
      </c>
      <c r="CX61" s="374"/>
      <c r="CY61" s="374"/>
      <c r="CZ61" s="155">
        <f t="shared" si="146"/>
        <v>0</v>
      </c>
      <c r="DA61" s="374"/>
      <c r="DB61" s="374"/>
      <c r="DC61" s="155">
        <f t="shared" si="147"/>
        <v>0</v>
      </c>
      <c r="DD61" s="374"/>
      <c r="DE61" s="374"/>
      <c r="DF61" s="155"/>
      <c r="DG61" s="155">
        <f t="shared" si="148"/>
        <v>0</v>
      </c>
      <c r="DH61" s="374"/>
      <c r="DI61" s="374"/>
      <c r="DJ61" s="374"/>
      <c r="DK61" s="155"/>
      <c r="DL61" s="155"/>
      <c r="DM61" s="155"/>
      <c r="DN61" s="155"/>
      <c r="DO61" s="155"/>
      <c r="DP61" s="155"/>
      <c r="DQ61" s="155"/>
      <c r="DR61" s="155"/>
      <c r="DS61" s="374"/>
      <c r="DT61" s="374"/>
      <c r="DU61" s="155"/>
      <c r="DV61" s="155"/>
      <c r="DW61" s="377"/>
      <c r="DX61" s="190">
        <f t="shared" si="123"/>
        <v>0</v>
      </c>
      <c r="DY61" s="341">
        <f t="shared" si="70"/>
        <v>0</v>
      </c>
      <c r="DZ61" s="342"/>
      <c r="EA61" s="373">
        <f t="shared" si="149"/>
        <v>0</v>
      </c>
      <c r="EC61" s="326"/>
    </row>
    <row r="62" spans="1:133" outlineLevel="1" x14ac:dyDescent="0.25">
      <c r="A62" s="222">
        <v>6125</v>
      </c>
      <c r="B62" s="205" t="s">
        <v>110</v>
      </c>
      <c r="C62" s="373">
        <v>240000</v>
      </c>
      <c r="D62" s="373">
        <v>240000</v>
      </c>
      <c r="E62" s="373">
        <v>240000</v>
      </c>
      <c r="F62" s="373">
        <f t="shared" si="124"/>
        <v>240000</v>
      </c>
      <c r="G62" s="234"/>
      <c r="H62" s="155"/>
      <c r="I62" s="155"/>
      <c r="J62" s="155"/>
      <c r="K62" s="155"/>
      <c r="L62" s="155"/>
      <c r="M62" s="374"/>
      <c r="N62" s="155"/>
      <c r="O62" s="155">
        <f t="shared" si="125"/>
        <v>240000</v>
      </c>
      <c r="P62" s="374">
        <f>[2]Správa!$B$145</f>
        <v>240000</v>
      </c>
      <c r="Q62" s="375"/>
      <c r="R62" s="155"/>
      <c r="S62" s="384">
        <f t="shared" si="122"/>
        <v>0</v>
      </c>
      <c r="T62" s="155"/>
      <c r="U62" s="155"/>
      <c r="V62" s="155">
        <f>'[2]Městská policie'!$B$162</f>
        <v>0</v>
      </c>
      <c r="W62" s="155"/>
      <c r="X62" s="155"/>
      <c r="Y62" s="155"/>
      <c r="Z62" s="155"/>
      <c r="AA62" s="155"/>
      <c r="AB62" s="155">
        <f t="shared" si="126"/>
        <v>0</v>
      </c>
      <c r="AC62" s="374"/>
      <c r="AD62" s="374"/>
      <c r="AE62" s="155">
        <f t="shared" si="127"/>
        <v>0</v>
      </c>
      <c r="AF62" s="374"/>
      <c r="AG62" s="374"/>
      <c r="AH62" s="155">
        <f t="shared" si="128"/>
        <v>0</v>
      </c>
      <c r="AI62" s="374"/>
      <c r="AJ62" s="374"/>
      <c r="AK62" s="155"/>
      <c r="AL62" s="155"/>
      <c r="AM62" s="155"/>
      <c r="AN62" s="155">
        <f t="shared" si="129"/>
        <v>0</v>
      </c>
      <c r="AO62" s="374"/>
      <c r="AP62" s="374"/>
      <c r="AQ62" s="155">
        <f t="shared" si="130"/>
        <v>0</v>
      </c>
      <c r="AR62" s="374"/>
      <c r="AS62" s="374"/>
      <c r="AT62" s="155">
        <f t="shared" si="131"/>
        <v>0</v>
      </c>
      <c r="AU62" s="374"/>
      <c r="AV62" s="374"/>
      <c r="AW62" s="155">
        <f t="shared" si="132"/>
        <v>0</v>
      </c>
      <c r="AX62" s="374"/>
      <c r="AY62" s="374"/>
      <c r="AZ62" s="155">
        <f t="shared" si="133"/>
        <v>0</v>
      </c>
      <c r="BA62" s="374"/>
      <c r="BB62" s="374"/>
      <c r="BC62" s="155">
        <f t="shared" si="134"/>
        <v>0</v>
      </c>
      <c r="BD62" s="374"/>
      <c r="BE62" s="374"/>
      <c r="BF62" s="155">
        <f t="shared" si="135"/>
        <v>0</v>
      </c>
      <c r="BG62" s="374"/>
      <c r="BH62" s="374"/>
      <c r="BI62" s="155">
        <f t="shared" si="136"/>
        <v>0</v>
      </c>
      <c r="BJ62" s="374"/>
      <c r="BK62" s="374"/>
      <c r="BL62" s="155">
        <f t="shared" si="137"/>
        <v>0</v>
      </c>
      <c r="BM62" s="374"/>
      <c r="BN62" s="374"/>
      <c r="BO62" s="155">
        <f t="shared" si="138"/>
        <v>0</v>
      </c>
      <c r="BP62" s="374"/>
      <c r="BQ62" s="374"/>
      <c r="BR62" s="155">
        <f t="shared" si="139"/>
        <v>0</v>
      </c>
      <c r="BS62" s="374"/>
      <c r="BT62" s="374"/>
      <c r="BU62" s="155"/>
      <c r="BV62" s="155">
        <f t="shared" si="140"/>
        <v>0</v>
      </c>
      <c r="BW62" s="374"/>
      <c r="BX62" s="374"/>
      <c r="BY62" s="155"/>
      <c r="BZ62" s="155">
        <f t="shared" si="141"/>
        <v>0</v>
      </c>
      <c r="CA62" s="374"/>
      <c r="CB62" s="374"/>
      <c r="CC62" s="155">
        <f t="shared" si="142"/>
        <v>0</v>
      </c>
      <c r="CD62" s="374"/>
      <c r="CE62" s="374"/>
      <c r="CF62" s="155"/>
      <c r="CG62" s="155">
        <f t="shared" si="143"/>
        <v>0</v>
      </c>
      <c r="CH62" s="374"/>
      <c r="CI62" s="374"/>
      <c r="CJ62" s="155"/>
      <c r="CK62" s="374"/>
      <c r="CL62" s="374"/>
      <c r="CM62" s="155"/>
      <c r="CN62" s="374"/>
      <c r="CO62" s="374"/>
      <c r="CP62" s="155"/>
      <c r="CQ62" s="374"/>
      <c r="CR62" s="374"/>
      <c r="CS62" s="155">
        <f t="shared" si="144"/>
        <v>0</v>
      </c>
      <c r="CT62" s="374"/>
      <c r="CU62" s="374"/>
      <c r="CV62" s="155"/>
      <c r="CW62" s="155">
        <f t="shared" si="145"/>
        <v>0</v>
      </c>
      <c r="CX62" s="374"/>
      <c r="CY62" s="374"/>
      <c r="CZ62" s="155">
        <f t="shared" si="146"/>
        <v>0</v>
      </c>
      <c r="DA62" s="374"/>
      <c r="DB62" s="374"/>
      <c r="DC62" s="155">
        <f t="shared" si="147"/>
        <v>0</v>
      </c>
      <c r="DD62" s="374"/>
      <c r="DE62" s="374"/>
      <c r="DF62" s="155"/>
      <c r="DG62" s="155">
        <f t="shared" si="148"/>
        <v>0</v>
      </c>
      <c r="DH62" s="374"/>
      <c r="DI62" s="374"/>
      <c r="DJ62" s="374"/>
      <c r="DK62" s="155"/>
      <c r="DL62" s="155"/>
      <c r="DM62" s="155"/>
      <c r="DN62" s="155"/>
      <c r="DO62" s="155"/>
      <c r="DP62" s="155"/>
      <c r="DQ62" s="155"/>
      <c r="DR62" s="155"/>
      <c r="DS62" s="374"/>
      <c r="DT62" s="374"/>
      <c r="DU62" s="155"/>
      <c r="DV62" s="155"/>
      <c r="DW62" s="377"/>
      <c r="DX62" s="190">
        <f t="shared" si="123"/>
        <v>240000</v>
      </c>
      <c r="DY62" s="341">
        <f t="shared" si="70"/>
        <v>0</v>
      </c>
      <c r="DZ62" s="342"/>
      <c r="EA62" s="373">
        <f t="shared" si="149"/>
        <v>0</v>
      </c>
      <c r="EC62" s="326"/>
    </row>
    <row r="63" spans="1:133" hidden="1" outlineLevel="1" x14ac:dyDescent="0.25">
      <c r="A63" s="222">
        <v>6129</v>
      </c>
      <c r="B63" s="205" t="s">
        <v>111</v>
      </c>
      <c r="C63" s="373">
        <v>0</v>
      </c>
      <c r="D63" s="373">
        <v>0</v>
      </c>
      <c r="E63" s="373">
        <v>0</v>
      </c>
      <c r="F63" s="373">
        <f t="shared" si="124"/>
        <v>0</v>
      </c>
      <c r="G63" s="234"/>
      <c r="H63" s="155"/>
      <c r="I63" s="155"/>
      <c r="J63" s="155"/>
      <c r="K63" s="155"/>
      <c r="L63" s="155"/>
      <c r="M63" s="155"/>
      <c r="N63" s="155"/>
      <c r="O63" s="155">
        <f t="shared" si="125"/>
        <v>0</v>
      </c>
      <c r="P63" s="374"/>
      <c r="Q63" s="375"/>
      <c r="R63" s="155"/>
      <c r="S63" s="384">
        <f t="shared" si="122"/>
        <v>0</v>
      </c>
      <c r="T63" s="155"/>
      <c r="U63" s="155"/>
      <c r="V63" s="155"/>
      <c r="W63" s="155"/>
      <c r="X63" s="155"/>
      <c r="Y63" s="155"/>
      <c r="Z63" s="155"/>
      <c r="AA63" s="155"/>
      <c r="AB63" s="155">
        <f t="shared" si="126"/>
        <v>0</v>
      </c>
      <c r="AC63" s="374"/>
      <c r="AD63" s="374"/>
      <c r="AE63" s="155">
        <f t="shared" si="127"/>
        <v>0</v>
      </c>
      <c r="AF63" s="374"/>
      <c r="AG63" s="374"/>
      <c r="AH63" s="155">
        <f t="shared" si="128"/>
        <v>0</v>
      </c>
      <c r="AI63" s="374"/>
      <c r="AJ63" s="374"/>
      <c r="AK63" s="155"/>
      <c r="AL63" s="155"/>
      <c r="AM63" s="155"/>
      <c r="AN63" s="155">
        <f t="shared" si="129"/>
        <v>0</v>
      </c>
      <c r="AO63" s="374"/>
      <c r="AP63" s="374"/>
      <c r="AQ63" s="155">
        <f t="shared" si="130"/>
        <v>0</v>
      </c>
      <c r="AR63" s="374"/>
      <c r="AS63" s="374"/>
      <c r="AT63" s="155">
        <f t="shared" si="131"/>
        <v>0</v>
      </c>
      <c r="AU63" s="374"/>
      <c r="AV63" s="374"/>
      <c r="AW63" s="155">
        <f t="shared" si="132"/>
        <v>0</v>
      </c>
      <c r="AX63" s="374"/>
      <c r="AY63" s="374"/>
      <c r="AZ63" s="155">
        <f t="shared" si="133"/>
        <v>0</v>
      </c>
      <c r="BA63" s="374"/>
      <c r="BB63" s="374"/>
      <c r="BC63" s="155">
        <f t="shared" si="134"/>
        <v>0</v>
      </c>
      <c r="BD63" s="374"/>
      <c r="BE63" s="374"/>
      <c r="BF63" s="155">
        <f t="shared" si="135"/>
        <v>0</v>
      </c>
      <c r="BG63" s="374"/>
      <c r="BH63" s="374"/>
      <c r="BI63" s="155">
        <f t="shared" si="136"/>
        <v>0</v>
      </c>
      <c r="BJ63" s="374"/>
      <c r="BK63" s="374"/>
      <c r="BL63" s="155">
        <f t="shared" si="137"/>
        <v>0</v>
      </c>
      <c r="BM63" s="374"/>
      <c r="BN63" s="374"/>
      <c r="BO63" s="155">
        <f t="shared" si="138"/>
        <v>0</v>
      </c>
      <c r="BP63" s="374"/>
      <c r="BQ63" s="374"/>
      <c r="BR63" s="155">
        <f t="shared" si="139"/>
        <v>0</v>
      </c>
      <c r="BS63" s="374"/>
      <c r="BT63" s="374"/>
      <c r="BU63" s="155"/>
      <c r="BV63" s="155">
        <f t="shared" si="140"/>
        <v>0</v>
      </c>
      <c r="BW63" s="374"/>
      <c r="BX63" s="374"/>
      <c r="BY63" s="155"/>
      <c r="BZ63" s="155">
        <f t="shared" si="141"/>
        <v>0</v>
      </c>
      <c r="CA63" s="374"/>
      <c r="CB63" s="374"/>
      <c r="CC63" s="155">
        <f t="shared" si="142"/>
        <v>0</v>
      </c>
      <c r="CD63" s="374"/>
      <c r="CE63" s="374"/>
      <c r="CF63" s="155"/>
      <c r="CG63" s="155">
        <f t="shared" si="143"/>
        <v>0</v>
      </c>
      <c r="CH63" s="374"/>
      <c r="CI63" s="374"/>
      <c r="CJ63" s="155"/>
      <c r="CK63" s="374"/>
      <c r="CL63" s="374"/>
      <c r="CM63" s="155"/>
      <c r="CN63" s="374"/>
      <c r="CO63" s="374"/>
      <c r="CP63" s="155"/>
      <c r="CQ63" s="374"/>
      <c r="CR63" s="374"/>
      <c r="CS63" s="155">
        <f t="shared" si="144"/>
        <v>0</v>
      </c>
      <c r="CT63" s="374"/>
      <c r="CU63" s="374"/>
      <c r="CV63" s="155"/>
      <c r="CW63" s="155">
        <f t="shared" si="145"/>
        <v>0</v>
      </c>
      <c r="CX63" s="374"/>
      <c r="CY63" s="374"/>
      <c r="CZ63" s="155">
        <f t="shared" si="146"/>
        <v>0</v>
      </c>
      <c r="DA63" s="374"/>
      <c r="DB63" s="374"/>
      <c r="DC63" s="155">
        <f t="shared" si="147"/>
        <v>0</v>
      </c>
      <c r="DD63" s="374"/>
      <c r="DE63" s="374"/>
      <c r="DF63" s="155"/>
      <c r="DG63" s="155">
        <f t="shared" si="148"/>
        <v>0</v>
      </c>
      <c r="DH63" s="374"/>
      <c r="DI63" s="374"/>
      <c r="DJ63" s="374"/>
      <c r="DK63" s="155"/>
      <c r="DL63" s="155"/>
      <c r="DM63" s="155"/>
      <c r="DN63" s="155"/>
      <c r="DO63" s="155"/>
      <c r="DP63" s="155"/>
      <c r="DQ63" s="155"/>
      <c r="DR63" s="155"/>
      <c r="DS63" s="374"/>
      <c r="DT63" s="374"/>
      <c r="DU63" s="155"/>
      <c r="DV63" s="155"/>
      <c r="DW63" s="377"/>
      <c r="DX63" s="190">
        <f t="shared" si="123"/>
        <v>0</v>
      </c>
      <c r="DY63" s="341">
        <f t="shared" si="70"/>
        <v>0</v>
      </c>
      <c r="DZ63" s="342"/>
      <c r="EA63" s="373">
        <f t="shared" si="149"/>
        <v>0</v>
      </c>
      <c r="EC63" s="326"/>
    </row>
    <row r="64" spans="1:133" ht="18" customHeight="1" outlineLevel="1" x14ac:dyDescent="0.25">
      <c r="A64" s="222">
        <v>6130</v>
      </c>
      <c r="B64" s="205" t="s">
        <v>112</v>
      </c>
      <c r="C64" s="373">
        <v>1785000</v>
      </c>
      <c r="D64" s="373">
        <v>625000</v>
      </c>
      <c r="E64" s="373">
        <v>2215000</v>
      </c>
      <c r="F64" s="2601">
        <f t="shared" si="124"/>
        <v>2472124</v>
      </c>
      <c r="G64" s="234"/>
      <c r="H64" s="155"/>
      <c r="I64" s="155"/>
      <c r="J64" s="155"/>
      <c r="K64" s="155">
        <f>'[4]Všebecná pokladna'!$B$78+'[6]Všeobecná pokladna 6409'!$B$29</f>
        <v>2372124</v>
      </c>
      <c r="L64" s="155"/>
      <c r="M64" s="155"/>
      <c r="N64" s="155"/>
      <c r="O64" s="155">
        <f t="shared" si="125"/>
        <v>0</v>
      </c>
      <c r="P64" s="374"/>
      <c r="Q64" s="375"/>
      <c r="R64" s="155"/>
      <c r="S64" s="384">
        <f t="shared" si="122"/>
        <v>0</v>
      </c>
      <c r="T64" s="155"/>
      <c r="U64" s="155"/>
      <c r="V64" s="155"/>
      <c r="W64" s="155"/>
      <c r="X64" s="155"/>
      <c r="Y64" s="155"/>
      <c r="Z64" s="155"/>
      <c r="AA64" s="155"/>
      <c r="AB64" s="155">
        <f t="shared" si="126"/>
        <v>0</v>
      </c>
      <c r="AC64" s="374"/>
      <c r="AD64" s="374"/>
      <c r="AE64" s="155">
        <f t="shared" si="127"/>
        <v>0</v>
      </c>
      <c r="AF64" s="374"/>
      <c r="AG64" s="374"/>
      <c r="AH64" s="155">
        <f t="shared" si="128"/>
        <v>0</v>
      </c>
      <c r="AI64" s="374"/>
      <c r="AJ64" s="374"/>
      <c r="AK64" s="155"/>
      <c r="AL64" s="155"/>
      <c r="AM64" s="155"/>
      <c r="AN64" s="155">
        <f t="shared" si="129"/>
        <v>0</v>
      </c>
      <c r="AO64" s="374"/>
      <c r="AP64" s="374"/>
      <c r="AQ64" s="155">
        <f t="shared" si="130"/>
        <v>0</v>
      </c>
      <c r="AR64" s="374"/>
      <c r="AS64" s="374"/>
      <c r="AT64" s="155">
        <f t="shared" si="131"/>
        <v>0</v>
      </c>
      <c r="AU64" s="374"/>
      <c r="AV64" s="374"/>
      <c r="AW64" s="155">
        <f t="shared" si="132"/>
        <v>0</v>
      </c>
      <c r="AX64" s="374"/>
      <c r="AY64" s="374"/>
      <c r="AZ64" s="155">
        <f t="shared" si="133"/>
        <v>0</v>
      </c>
      <c r="BA64" s="374"/>
      <c r="BB64" s="374"/>
      <c r="BC64" s="155">
        <f t="shared" si="134"/>
        <v>0</v>
      </c>
      <c r="BD64" s="374"/>
      <c r="BE64" s="374"/>
      <c r="BF64" s="155">
        <f t="shared" si="135"/>
        <v>0</v>
      </c>
      <c r="BG64" s="374"/>
      <c r="BH64" s="374"/>
      <c r="BI64" s="155">
        <f t="shared" si="136"/>
        <v>0</v>
      </c>
      <c r="BJ64" s="374"/>
      <c r="BK64" s="374"/>
      <c r="BL64" s="155">
        <f t="shared" si="137"/>
        <v>0</v>
      </c>
      <c r="BM64" s="374"/>
      <c r="BN64" s="374"/>
      <c r="BO64" s="155">
        <f t="shared" si="138"/>
        <v>0</v>
      </c>
      <c r="BP64" s="374"/>
      <c r="BQ64" s="374"/>
      <c r="BR64" s="155">
        <f t="shared" si="139"/>
        <v>0</v>
      </c>
      <c r="BS64" s="374"/>
      <c r="BT64" s="374"/>
      <c r="BU64" s="155"/>
      <c r="BV64" s="155">
        <f t="shared" si="140"/>
        <v>0</v>
      </c>
      <c r="BW64" s="374"/>
      <c r="BX64" s="374"/>
      <c r="BY64" s="155"/>
      <c r="BZ64" s="155">
        <f t="shared" si="141"/>
        <v>0</v>
      </c>
      <c r="CA64" s="374"/>
      <c r="CB64" s="374"/>
      <c r="CC64" s="155">
        <f t="shared" si="142"/>
        <v>100000</v>
      </c>
      <c r="CD64" s="374">
        <f>+'[5]Silnice - pozemky'!$B$4</f>
        <v>100000</v>
      </c>
      <c r="CE64" s="374"/>
      <c r="CF64" s="155"/>
      <c r="CG64" s="155">
        <f t="shared" si="143"/>
        <v>0</v>
      </c>
      <c r="CH64" s="374"/>
      <c r="CI64" s="374"/>
      <c r="CJ64" s="155"/>
      <c r="CK64" s="374"/>
      <c r="CL64" s="374"/>
      <c r="CM64" s="155"/>
      <c r="CN64" s="374"/>
      <c r="CO64" s="374"/>
      <c r="CP64" s="155"/>
      <c r="CQ64" s="374"/>
      <c r="CR64" s="374"/>
      <c r="CS64" s="155">
        <f t="shared" si="144"/>
        <v>0</v>
      </c>
      <c r="CT64" s="374"/>
      <c r="CU64" s="374"/>
      <c r="CV64" s="155"/>
      <c r="CW64" s="155">
        <f t="shared" si="145"/>
        <v>0</v>
      </c>
      <c r="CX64" s="374"/>
      <c r="CY64" s="374"/>
      <c r="CZ64" s="155">
        <f t="shared" si="146"/>
        <v>0</v>
      </c>
      <c r="DA64" s="374"/>
      <c r="DB64" s="374"/>
      <c r="DC64" s="155">
        <f t="shared" si="147"/>
        <v>0</v>
      </c>
      <c r="DD64" s="374"/>
      <c r="DE64" s="374"/>
      <c r="DF64" s="155"/>
      <c r="DG64" s="155">
        <f t="shared" si="148"/>
        <v>0</v>
      </c>
      <c r="DH64" s="374"/>
      <c r="DI64" s="374"/>
      <c r="DJ64" s="374"/>
      <c r="DK64" s="155"/>
      <c r="DL64" s="155"/>
      <c r="DM64" s="155"/>
      <c r="DN64" s="155"/>
      <c r="DO64" s="155"/>
      <c r="DP64" s="155"/>
      <c r="DQ64" s="155"/>
      <c r="DR64" s="155"/>
      <c r="DS64" s="374"/>
      <c r="DT64" s="374"/>
      <c r="DU64" s="155"/>
      <c r="DV64" s="155"/>
      <c r="DW64" s="377"/>
      <c r="DX64" s="190">
        <f t="shared" si="123"/>
        <v>2472124</v>
      </c>
      <c r="DY64" s="341">
        <f t="shared" si="70"/>
        <v>0</v>
      </c>
      <c r="DZ64" s="342"/>
      <c r="EA64" s="373">
        <f t="shared" si="149"/>
        <v>0</v>
      </c>
      <c r="EC64" s="326"/>
    </row>
    <row r="65" spans="1:133" ht="18" hidden="1" customHeight="1" outlineLevel="1" x14ac:dyDescent="0.25">
      <c r="A65" s="222">
        <v>6349</v>
      </c>
      <c r="B65" s="205" t="s">
        <v>1154</v>
      </c>
      <c r="C65" s="373">
        <v>0</v>
      </c>
      <c r="D65" s="373">
        <v>0</v>
      </c>
      <c r="E65" s="373">
        <v>0</v>
      </c>
      <c r="F65" s="373">
        <f>SUM(G65:O65)+SUM(T65:AB65)+AE65+AH65+SUM(AK65:AN65)+AQ65+AZ65+BF65+BI65+BL65+BO65+BR65+BU65+BV65+BY65+BZ65+CC65+SUM(CF65:CG65)+CP65+CS65+CV65+CW65+CZ65+DC65+DF65+DG65+SUM(DK65:DR65)+CJ65+CM65+SUM(DU65:DW65)+R65+AT65+AW65+BC65</f>
        <v>0</v>
      </c>
      <c r="G65" s="234"/>
      <c r="H65" s="155"/>
      <c r="I65" s="155"/>
      <c r="J65" s="155"/>
      <c r="K65" s="155">
        <f>'[4]Všebecná pokladna'!$B$85</f>
        <v>0</v>
      </c>
      <c r="L65" s="155"/>
      <c r="M65" s="155"/>
      <c r="N65" s="155"/>
      <c r="O65" s="155"/>
      <c r="P65" s="374"/>
      <c r="Q65" s="375"/>
      <c r="R65" s="155"/>
      <c r="S65" s="384"/>
      <c r="T65" s="155"/>
      <c r="U65" s="155"/>
      <c r="V65" s="155"/>
      <c r="W65" s="155"/>
      <c r="X65" s="155"/>
      <c r="Y65" s="155"/>
      <c r="Z65" s="155"/>
      <c r="AA65" s="155"/>
      <c r="AB65" s="155"/>
      <c r="AC65" s="374"/>
      <c r="AD65" s="374"/>
      <c r="AE65" s="155"/>
      <c r="AF65" s="374"/>
      <c r="AG65" s="374"/>
      <c r="AH65" s="155"/>
      <c r="AI65" s="374"/>
      <c r="AJ65" s="374"/>
      <c r="AK65" s="155"/>
      <c r="AL65" s="155"/>
      <c r="AM65" s="155"/>
      <c r="AN65" s="155"/>
      <c r="AO65" s="374"/>
      <c r="AP65" s="374"/>
      <c r="AQ65" s="155"/>
      <c r="AR65" s="374"/>
      <c r="AS65" s="374"/>
      <c r="AT65" s="155"/>
      <c r="AU65" s="374"/>
      <c r="AV65" s="374"/>
      <c r="AW65" s="155"/>
      <c r="AX65" s="374"/>
      <c r="AY65" s="374"/>
      <c r="AZ65" s="155"/>
      <c r="BA65" s="374"/>
      <c r="BB65" s="374"/>
      <c r="BC65" s="155"/>
      <c r="BD65" s="374"/>
      <c r="BE65" s="374"/>
      <c r="BF65" s="155"/>
      <c r="BG65" s="374"/>
      <c r="BH65" s="374"/>
      <c r="BI65" s="155"/>
      <c r="BJ65" s="374"/>
      <c r="BK65" s="374"/>
      <c r="BL65" s="155"/>
      <c r="BM65" s="374"/>
      <c r="BN65" s="374"/>
      <c r="BO65" s="155"/>
      <c r="BP65" s="374"/>
      <c r="BQ65" s="374"/>
      <c r="BR65" s="155"/>
      <c r="BS65" s="374"/>
      <c r="BT65" s="374"/>
      <c r="BU65" s="155"/>
      <c r="BV65" s="155"/>
      <c r="BW65" s="374"/>
      <c r="BX65" s="374"/>
      <c r="BY65" s="155"/>
      <c r="BZ65" s="155"/>
      <c r="CA65" s="374"/>
      <c r="CB65" s="374"/>
      <c r="CC65" s="155"/>
      <c r="CD65" s="374"/>
      <c r="CE65" s="374"/>
      <c r="CF65" s="155"/>
      <c r="CG65" s="155"/>
      <c r="CH65" s="374"/>
      <c r="CI65" s="374"/>
      <c r="CJ65" s="155"/>
      <c r="CK65" s="374"/>
      <c r="CL65" s="374"/>
      <c r="CM65" s="155"/>
      <c r="CN65" s="374"/>
      <c r="CO65" s="374"/>
      <c r="CP65" s="155"/>
      <c r="CQ65" s="374"/>
      <c r="CR65" s="374"/>
      <c r="CS65" s="155"/>
      <c r="CT65" s="374"/>
      <c r="CU65" s="374"/>
      <c r="CV65" s="155"/>
      <c r="CW65" s="155"/>
      <c r="CX65" s="374"/>
      <c r="CY65" s="374"/>
      <c r="CZ65" s="155"/>
      <c r="DA65" s="374"/>
      <c r="DB65" s="374"/>
      <c r="DC65" s="155"/>
      <c r="DD65" s="374"/>
      <c r="DE65" s="374"/>
      <c r="DF65" s="155"/>
      <c r="DG65" s="155"/>
      <c r="DH65" s="374"/>
      <c r="DI65" s="374"/>
      <c r="DJ65" s="374"/>
      <c r="DK65" s="155"/>
      <c r="DL65" s="155"/>
      <c r="DM65" s="155"/>
      <c r="DN65" s="155"/>
      <c r="DO65" s="155"/>
      <c r="DP65" s="155"/>
      <c r="DQ65" s="155"/>
      <c r="DR65" s="155"/>
      <c r="DS65" s="374"/>
      <c r="DT65" s="374"/>
      <c r="DU65" s="155"/>
      <c r="DV65" s="155"/>
      <c r="DW65" s="377"/>
      <c r="DX65" s="190">
        <f t="shared" si="123"/>
        <v>0</v>
      </c>
      <c r="DY65" s="341"/>
      <c r="DZ65" s="342"/>
      <c r="EA65" s="373"/>
      <c r="EC65" s="326"/>
    </row>
    <row r="66" spans="1:133" s="331" customFormat="1" ht="14.25" outlineLevel="1" thickBot="1" x14ac:dyDescent="0.3">
      <c r="A66" s="387">
        <v>6351</v>
      </c>
      <c r="B66" s="388" t="s">
        <v>296</v>
      </c>
      <c r="C66" s="389">
        <v>2492000</v>
      </c>
      <c r="D66" s="389">
        <v>2770000</v>
      </c>
      <c r="E66" s="389">
        <v>3370000</v>
      </c>
      <c r="F66" s="389">
        <f>SUM(G66:O66)+SUM(T66:AB66)+AE66+AH66+SUM(AK66:AN66)+AQ66+AZ66+BF66+BI66+BL66+BO66+BR66+BU66+BV66+BY66+BZ66+CC66+SUM(CF66:CG66)+CP66+CS66+CV66+CW66+CZ66+DC66+DF66+DG66+SUM(DK66:DR66)+CJ66+CM66+SUM(DU66:DW66)+R66+AT66+AW66+S66</f>
        <v>3370000</v>
      </c>
      <c r="G66" s="390"/>
      <c r="H66" s="374"/>
      <c r="I66" s="374"/>
      <c r="J66" s="374"/>
      <c r="K66" s="374">
        <f>'[4]Všebecná pokladna'!$B$92</f>
        <v>0</v>
      </c>
      <c r="L66" s="155">
        <f>+'[3]Particitivní rozpočet'!$B$117+'[2]Participativní rozpočet'!$B$117</f>
        <v>600000</v>
      </c>
      <c r="M66" s="374"/>
      <c r="N66" s="374"/>
      <c r="O66" s="374">
        <f t="shared" si="125"/>
        <v>0</v>
      </c>
      <c r="P66" s="374"/>
      <c r="Q66" s="375"/>
      <c r="R66" s="374"/>
      <c r="S66" s="1537">
        <f>[5]TSÚ!$B$4</f>
        <v>2770000</v>
      </c>
      <c r="T66" s="374"/>
      <c r="U66" s="374"/>
      <c r="V66" s="374"/>
      <c r="W66" s="374"/>
      <c r="X66" s="374"/>
      <c r="Y66" s="374"/>
      <c r="Z66" s="374"/>
      <c r="AA66" s="374"/>
      <c r="AB66" s="374">
        <f t="shared" si="126"/>
        <v>0</v>
      </c>
      <c r="AC66" s="374"/>
      <c r="AD66" s="374"/>
      <c r="AE66" s="374">
        <f t="shared" si="127"/>
        <v>0</v>
      </c>
      <c r="AF66" s="374"/>
      <c r="AG66" s="374"/>
      <c r="AH66" s="374">
        <f t="shared" si="128"/>
        <v>0</v>
      </c>
      <c r="AI66" s="374"/>
      <c r="AJ66" s="374"/>
      <c r="AK66" s="374"/>
      <c r="AL66" s="374"/>
      <c r="AM66" s="374"/>
      <c r="AN66" s="374">
        <f t="shared" si="129"/>
        <v>0</v>
      </c>
      <c r="AO66" s="374"/>
      <c r="AP66" s="374"/>
      <c r="AQ66" s="374">
        <f t="shared" si="130"/>
        <v>0</v>
      </c>
      <c r="AR66" s="374"/>
      <c r="AS66" s="374"/>
      <c r="AT66" s="374">
        <f t="shared" ref="AT66:AT68" si="153">+AU66+AV66</f>
        <v>0</v>
      </c>
      <c r="AU66" s="374"/>
      <c r="AV66" s="374"/>
      <c r="AW66" s="374">
        <f t="shared" ref="AW66:AW68" si="154">+AX66+AY66</f>
        <v>0</v>
      </c>
      <c r="AX66" s="374"/>
      <c r="AY66" s="374"/>
      <c r="AZ66" s="374">
        <f t="shared" si="133"/>
        <v>0</v>
      </c>
      <c r="BA66" s="374"/>
      <c r="BB66" s="374"/>
      <c r="BC66" s="374">
        <f t="shared" ref="BC66:BC68" si="155">+BD66+BE66</f>
        <v>0</v>
      </c>
      <c r="BD66" s="374"/>
      <c r="BE66" s="374"/>
      <c r="BF66" s="374">
        <f t="shared" si="135"/>
        <v>0</v>
      </c>
      <c r="BG66" s="374"/>
      <c r="BH66" s="374"/>
      <c r="BI66" s="374">
        <f t="shared" si="136"/>
        <v>0</v>
      </c>
      <c r="BJ66" s="374"/>
      <c r="BK66" s="374"/>
      <c r="BL66" s="374">
        <f t="shared" si="137"/>
        <v>0</v>
      </c>
      <c r="BM66" s="374"/>
      <c r="BN66" s="374"/>
      <c r="BO66" s="374">
        <f t="shared" si="138"/>
        <v>0</v>
      </c>
      <c r="BP66" s="374"/>
      <c r="BQ66" s="374"/>
      <c r="BR66" s="374">
        <f t="shared" si="139"/>
        <v>0</v>
      </c>
      <c r="BS66" s="374"/>
      <c r="BT66" s="374"/>
      <c r="BU66" s="374"/>
      <c r="BV66" s="374">
        <f t="shared" si="140"/>
        <v>0</v>
      </c>
      <c r="BW66" s="374"/>
      <c r="BX66" s="374"/>
      <c r="BY66" s="374"/>
      <c r="BZ66" s="374">
        <f t="shared" si="141"/>
        <v>0</v>
      </c>
      <c r="CA66" s="374"/>
      <c r="CB66" s="374"/>
      <c r="CC66" s="374">
        <f t="shared" si="142"/>
        <v>0</v>
      </c>
      <c r="CD66" s="374"/>
      <c r="CE66" s="374"/>
      <c r="CF66" s="374"/>
      <c r="CG66" s="374">
        <f t="shared" si="143"/>
        <v>0</v>
      </c>
      <c r="CH66" s="374"/>
      <c r="CI66" s="374"/>
      <c r="CJ66" s="374"/>
      <c r="CK66" s="374"/>
      <c r="CL66" s="374"/>
      <c r="CM66" s="374"/>
      <c r="CN66" s="374"/>
      <c r="CO66" s="374"/>
      <c r="CP66" s="374"/>
      <c r="CQ66" s="374"/>
      <c r="CR66" s="374"/>
      <c r="CS66" s="374">
        <f t="shared" si="144"/>
        <v>0</v>
      </c>
      <c r="CT66" s="374"/>
      <c r="CU66" s="374"/>
      <c r="CV66" s="374"/>
      <c r="CW66" s="374">
        <f t="shared" si="145"/>
        <v>0</v>
      </c>
      <c r="CX66" s="374"/>
      <c r="CY66" s="374"/>
      <c r="CZ66" s="374">
        <f t="shared" si="146"/>
        <v>0</v>
      </c>
      <c r="DA66" s="374"/>
      <c r="DB66" s="374"/>
      <c r="DC66" s="374">
        <f t="shared" si="147"/>
        <v>0</v>
      </c>
      <c r="DD66" s="374"/>
      <c r="DE66" s="374"/>
      <c r="DF66" s="374"/>
      <c r="DG66" s="374">
        <f t="shared" si="148"/>
        <v>0</v>
      </c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74"/>
      <c r="DV66" s="374"/>
      <c r="DW66" s="391"/>
      <c r="DX66" s="285">
        <f>+G66+H66+I66+K66+M66+N66+O66+R66+S66+T66+U66+V66+W66+Y66+Z66+AA66+AB66+AE66+AH66+AK66+AL66+AM66+AN66+AQ66+AZ66+BF66+BI66+BL66+BO66+BR66+BU66+BV66+BY66+BZ66+CC66+CF66+CG66+CJ66+CM66+CP66+CS66+CV66+CW66+CZ66+DC66+DF66+DG66+DK66+DL66+DM66+DN66+DO66+DQ66+DR66+DU66+DV66+DW66+BC66+AW66+AT66+X66</f>
        <v>2770000</v>
      </c>
      <c r="DY66" s="1538">
        <f t="shared" si="70"/>
        <v>-600000</v>
      </c>
      <c r="DZ66" s="1539"/>
      <c r="EA66" s="389">
        <f t="shared" si="149"/>
        <v>0</v>
      </c>
      <c r="EC66" s="327"/>
    </row>
    <row r="67" spans="1:133" s="442" customFormat="1" ht="14.25" outlineLevel="1" thickBot="1" x14ac:dyDescent="0.3">
      <c r="A67" s="849">
        <v>8115</v>
      </c>
      <c r="B67" s="850" t="s">
        <v>1544</v>
      </c>
      <c r="C67" s="851">
        <v>297149.955353342</v>
      </c>
      <c r="D67" s="851">
        <v>167151.69960071146</v>
      </c>
      <c r="E67" s="851">
        <v>53665.908239975572</v>
      </c>
      <c r="F67" s="389">
        <f t="shared" ref="F67" si="156">SUM(G67:O67)+SUM(T67:AB67)+AE67+AH67+SUM(AK67:AN67)+AQ67+AZ67+BF67+BI67+BL67+BO67+BR67+BU67+BV67+BY67+BZ67+CC67+SUM(CF67:CG67)+CP67+CS67+CV67+CW67+CZ67+DC67+DF67+DG67+SUM(DK67:DR67)+CJ67+CM67+SUM(DU67:DW67)+R67+AT67+AW67</f>
        <v>168221.90823997557</v>
      </c>
      <c r="G67" s="853"/>
      <c r="H67" s="854"/>
      <c r="I67" s="855"/>
      <c r="J67" s="374"/>
      <c r="K67" s="584">
        <f>K75</f>
        <v>168221.90823997557</v>
      </c>
      <c r="L67" s="2157"/>
      <c r="M67" s="856"/>
      <c r="N67" s="856"/>
      <c r="O67" s="855">
        <f t="shared" si="125"/>
        <v>0</v>
      </c>
      <c r="P67" s="855"/>
      <c r="Q67" s="854"/>
      <c r="R67" s="855"/>
      <c r="S67" s="857">
        <f>+Q67+AP67+CE67+CB67+BX67+DJ67+AD67+AJ67+AS67+BB67+BH67+BK67+BN67+BQ67+BT67+CI67+CU67+CY67+DB67+DE67+AG67+DT67</f>
        <v>0</v>
      </c>
      <c r="T67" s="855"/>
      <c r="U67" s="855"/>
      <c r="V67" s="855"/>
      <c r="W67" s="855"/>
      <c r="X67" s="855"/>
      <c r="Y67" s="855"/>
      <c r="Z67" s="855"/>
      <c r="AA67" s="855"/>
      <c r="AB67" s="855">
        <f t="shared" si="126"/>
        <v>0</v>
      </c>
      <c r="AC67" s="855"/>
      <c r="AD67" s="855"/>
      <c r="AE67" s="855">
        <f t="shared" si="127"/>
        <v>0</v>
      </c>
      <c r="AF67" s="855"/>
      <c r="AG67" s="855"/>
      <c r="AH67" s="855">
        <f t="shared" si="128"/>
        <v>0</v>
      </c>
      <c r="AI67" s="855"/>
      <c r="AJ67" s="855"/>
      <c r="AK67" s="855"/>
      <c r="AL67" s="855"/>
      <c r="AM67" s="855"/>
      <c r="AN67" s="855">
        <f t="shared" si="129"/>
        <v>0</v>
      </c>
      <c r="AO67" s="855"/>
      <c r="AP67" s="855"/>
      <c r="AQ67" s="855">
        <f t="shared" si="130"/>
        <v>0</v>
      </c>
      <c r="AR67" s="855"/>
      <c r="AS67" s="855"/>
      <c r="AT67" s="855">
        <f t="shared" si="153"/>
        <v>0</v>
      </c>
      <c r="AU67" s="855"/>
      <c r="AV67" s="855"/>
      <c r="AW67" s="855">
        <f t="shared" si="154"/>
        <v>0</v>
      </c>
      <c r="AX67" s="855"/>
      <c r="AY67" s="855"/>
      <c r="AZ67" s="855">
        <f t="shared" si="133"/>
        <v>0</v>
      </c>
      <c r="BA67" s="855"/>
      <c r="BB67" s="855"/>
      <c r="BC67" s="855">
        <f t="shared" si="155"/>
        <v>0</v>
      </c>
      <c r="BD67" s="855"/>
      <c r="BE67" s="855"/>
      <c r="BF67" s="855">
        <f t="shared" si="135"/>
        <v>0</v>
      </c>
      <c r="BG67" s="855"/>
      <c r="BH67" s="855"/>
      <c r="BI67" s="855">
        <f t="shared" si="136"/>
        <v>0</v>
      </c>
      <c r="BJ67" s="855"/>
      <c r="BK67" s="855"/>
      <c r="BL67" s="855">
        <f t="shared" si="137"/>
        <v>0</v>
      </c>
      <c r="BM67" s="855"/>
      <c r="BN67" s="855"/>
      <c r="BO67" s="855">
        <f t="shared" si="138"/>
        <v>0</v>
      </c>
      <c r="BP67" s="855"/>
      <c r="BQ67" s="855"/>
      <c r="BR67" s="855">
        <f t="shared" si="139"/>
        <v>0</v>
      </c>
      <c r="BS67" s="855"/>
      <c r="BT67" s="855"/>
      <c r="BU67" s="855"/>
      <c r="BV67" s="855">
        <f t="shared" si="140"/>
        <v>0</v>
      </c>
      <c r="BW67" s="855"/>
      <c r="BX67" s="855"/>
      <c r="BY67" s="855"/>
      <c r="BZ67" s="855">
        <f t="shared" si="141"/>
        <v>0</v>
      </c>
      <c r="CA67" s="855"/>
      <c r="CB67" s="855"/>
      <c r="CC67" s="855">
        <f t="shared" si="142"/>
        <v>0</v>
      </c>
      <c r="CD67" s="855"/>
      <c r="CE67" s="855"/>
      <c r="CF67" s="855"/>
      <c r="CG67" s="855">
        <f t="shared" si="143"/>
        <v>0</v>
      </c>
      <c r="CH67" s="855"/>
      <c r="CI67" s="855"/>
      <c r="CJ67" s="855"/>
      <c r="CK67" s="855"/>
      <c r="CL67" s="855"/>
      <c r="CM67" s="855"/>
      <c r="CN67" s="855"/>
      <c r="CO67" s="855"/>
      <c r="CP67" s="855"/>
      <c r="CQ67" s="855"/>
      <c r="CR67" s="855"/>
      <c r="CS67" s="855">
        <f t="shared" si="144"/>
        <v>0</v>
      </c>
      <c r="CT67" s="855"/>
      <c r="CU67" s="855"/>
      <c r="CV67" s="855"/>
      <c r="CW67" s="855">
        <f t="shared" si="145"/>
        <v>0</v>
      </c>
      <c r="CX67" s="855"/>
      <c r="CY67" s="855"/>
      <c r="CZ67" s="855">
        <f t="shared" si="146"/>
        <v>0</v>
      </c>
      <c r="DA67" s="855"/>
      <c r="DB67" s="855"/>
      <c r="DC67" s="855">
        <f t="shared" si="147"/>
        <v>0</v>
      </c>
      <c r="DD67" s="855"/>
      <c r="DE67" s="855"/>
      <c r="DF67" s="855"/>
      <c r="DG67" s="855">
        <f t="shared" si="148"/>
        <v>0</v>
      </c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5"/>
      <c r="DV67" s="855"/>
      <c r="DW67" s="858"/>
      <c r="DX67" s="290">
        <f t="shared" si="123"/>
        <v>168221.90823997557</v>
      </c>
      <c r="DY67" s="886">
        <f t="shared" si="70"/>
        <v>0</v>
      </c>
      <c r="DZ67" s="887"/>
      <c r="EA67" s="851">
        <f t="shared" si="149"/>
        <v>0</v>
      </c>
      <c r="EC67" s="437"/>
    </row>
    <row r="68" spans="1:133" hidden="1" outlineLevel="1" x14ac:dyDescent="0.25">
      <c r="A68" s="222">
        <v>6349</v>
      </c>
      <c r="B68" s="205" t="s">
        <v>296</v>
      </c>
      <c r="C68" s="373">
        <v>0</v>
      </c>
      <c r="D68" s="373">
        <v>0</v>
      </c>
      <c r="E68" s="373">
        <v>0</v>
      </c>
      <c r="F68" s="373">
        <f>SUM(G68:O68)+SUM(T68:AB68)+AE68+AH68+SUM(AK68:AN68)+AQ68+AZ68+BF68+BI68+BL68+BO68+BR68+BU68+BV68+BY68+BZ68+CC68+SUM(CF68:CG68)+CP68+CS68+CV68+CW68+CZ68+DC68+DF68+DG68+SUM(DK68:DR68)+CJ68+CM68+SUM(DU68:DW68)+R68+AT68+AW68+BC68</f>
        <v>0</v>
      </c>
      <c r="G68" s="234"/>
      <c r="H68" s="155"/>
      <c r="I68" s="374"/>
      <c r="J68" s="368"/>
      <c r="K68" s="367"/>
      <c r="L68" s="367"/>
      <c r="M68" s="155"/>
      <c r="N68" s="155"/>
      <c r="O68" s="155">
        <f t="shared" si="125"/>
        <v>0</v>
      </c>
      <c r="P68" s="374"/>
      <c r="Q68" s="375"/>
      <c r="R68" s="155"/>
      <c r="S68" s="384"/>
      <c r="T68" s="155"/>
      <c r="U68" s="155"/>
      <c r="V68" s="155"/>
      <c r="W68" s="155"/>
      <c r="X68" s="155"/>
      <c r="Y68" s="155"/>
      <c r="Z68" s="155"/>
      <c r="AA68" s="155"/>
      <c r="AB68" s="155">
        <f t="shared" si="126"/>
        <v>0</v>
      </c>
      <c r="AC68" s="374"/>
      <c r="AD68" s="374"/>
      <c r="AE68" s="155">
        <f t="shared" si="127"/>
        <v>0</v>
      </c>
      <c r="AF68" s="374"/>
      <c r="AG68" s="374"/>
      <c r="AH68" s="155">
        <f t="shared" si="128"/>
        <v>0</v>
      </c>
      <c r="AI68" s="374"/>
      <c r="AJ68" s="374"/>
      <c r="AK68" s="155"/>
      <c r="AL68" s="155"/>
      <c r="AM68" s="155"/>
      <c r="AN68" s="155">
        <f t="shared" si="129"/>
        <v>0</v>
      </c>
      <c r="AO68" s="374"/>
      <c r="AP68" s="374"/>
      <c r="AQ68" s="155">
        <f t="shared" si="130"/>
        <v>0</v>
      </c>
      <c r="AR68" s="374"/>
      <c r="AS68" s="374"/>
      <c r="AT68" s="155">
        <f t="shared" si="153"/>
        <v>0</v>
      </c>
      <c r="AU68" s="374"/>
      <c r="AV68" s="374"/>
      <c r="AW68" s="155">
        <f t="shared" si="154"/>
        <v>0</v>
      </c>
      <c r="AX68" s="374"/>
      <c r="AY68" s="374"/>
      <c r="AZ68" s="155">
        <f t="shared" si="133"/>
        <v>0</v>
      </c>
      <c r="BA68" s="374"/>
      <c r="BB68" s="374"/>
      <c r="BC68" s="155">
        <f t="shared" si="155"/>
        <v>0</v>
      </c>
      <c r="BD68" s="374"/>
      <c r="BE68" s="374"/>
      <c r="BF68" s="155">
        <f t="shared" si="135"/>
        <v>0</v>
      </c>
      <c r="BG68" s="374"/>
      <c r="BH68" s="374"/>
      <c r="BI68" s="155">
        <f t="shared" si="136"/>
        <v>0</v>
      </c>
      <c r="BJ68" s="374"/>
      <c r="BK68" s="374"/>
      <c r="BL68" s="155">
        <f t="shared" si="137"/>
        <v>0</v>
      </c>
      <c r="BM68" s="374"/>
      <c r="BN68" s="374"/>
      <c r="BO68" s="155">
        <f t="shared" si="138"/>
        <v>0</v>
      </c>
      <c r="BP68" s="374"/>
      <c r="BQ68" s="374"/>
      <c r="BR68" s="155">
        <f t="shared" si="139"/>
        <v>0</v>
      </c>
      <c r="BS68" s="374"/>
      <c r="BT68" s="374"/>
      <c r="BU68" s="155"/>
      <c r="BV68" s="155">
        <f t="shared" si="140"/>
        <v>0</v>
      </c>
      <c r="BW68" s="374"/>
      <c r="BX68" s="374"/>
      <c r="BY68" s="155"/>
      <c r="BZ68" s="155">
        <f t="shared" si="141"/>
        <v>0</v>
      </c>
      <c r="CA68" s="374"/>
      <c r="CB68" s="374"/>
      <c r="CC68" s="155">
        <f t="shared" si="142"/>
        <v>0</v>
      </c>
      <c r="CD68" s="374"/>
      <c r="CE68" s="374"/>
      <c r="CF68" s="155"/>
      <c r="CG68" s="155">
        <f t="shared" si="143"/>
        <v>0</v>
      </c>
      <c r="CH68" s="374"/>
      <c r="CI68" s="374"/>
      <c r="CJ68" s="155"/>
      <c r="CK68" s="374"/>
      <c r="CL68" s="374"/>
      <c r="CM68" s="155"/>
      <c r="CN68" s="374"/>
      <c r="CO68" s="374"/>
      <c r="CP68" s="155"/>
      <c r="CQ68" s="374"/>
      <c r="CR68" s="374"/>
      <c r="CS68" s="155">
        <f t="shared" si="144"/>
        <v>0</v>
      </c>
      <c r="CT68" s="374"/>
      <c r="CU68" s="374"/>
      <c r="CV68" s="155"/>
      <c r="CW68" s="155">
        <f t="shared" si="145"/>
        <v>0</v>
      </c>
      <c r="CX68" s="374"/>
      <c r="CY68" s="374"/>
      <c r="CZ68" s="155">
        <f t="shared" si="146"/>
        <v>0</v>
      </c>
      <c r="DA68" s="374"/>
      <c r="DB68" s="374"/>
      <c r="DC68" s="155">
        <f t="shared" si="147"/>
        <v>0</v>
      </c>
      <c r="DD68" s="374"/>
      <c r="DE68" s="374"/>
      <c r="DF68" s="155"/>
      <c r="DG68" s="155">
        <f t="shared" si="148"/>
        <v>0</v>
      </c>
      <c r="DH68" s="374"/>
      <c r="DI68" s="374"/>
      <c r="DJ68" s="374"/>
      <c r="DK68" s="155"/>
      <c r="DL68" s="155"/>
      <c r="DM68" s="155"/>
      <c r="DN68" s="155"/>
      <c r="DO68" s="155"/>
      <c r="DP68" s="155"/>
      <c r="DQ68" s="155"/>
      <c r="DR68" s="155"/>
      <c r="DS68" s="374"/>
      <c r="DT68" s="374"/>
      <c r="DU68" s="155"/>
      <c r="DV68" s="155"/>
      <c r="DW68" s="377"/>
      <c r="DX68" s="190">
        <f t="shared" si="123"/>
        <v>0</v>
      </c>
      <c r="DY68" s="341">
        <f t="shared" si="70"/>
        <v>0</v>
      </c>
      <c r="DZ68" s="342"/>
      <c r="EA68" s="373">
        <f t="shared" si="149"/>
        <v>0</v>
      </c>
      <c r="EC68" s="326"/>
    </row>
    <row r="69" spans="1:133" ht="14.25" thickBot="1" x14ac:dyDescent="0.3">
      <c r="A69" s="213" t="s">
        <v>114</v>
      </c>
      <c r="B69" s="214" t="s">
        <v>115</v>
      </c>
      <c r="C69" s="378">
        <v>50091719.245353341</v>
      </c>
      <c r="D69" s="378">
        <v>66750806.179600716</v>
      </c>
      <c r="E69" s="378">
        <v>67577320.38823998</v>
      </c>
      <c r="F69" s="378">
        <f t="shared" ref="F69:J69" si="157">SUM(F57:F68)</f>
        <v>70400000.38823998</v>
      </c>
      <c r="G69" s="219">
        <f t="shared" si="157"/>
        <v>0</v>
      </c>
      <c r="H69" s="217">
        <f t="shared" si="157"/>
        <v>0</v>
      </c>
      <c r="I69" s="217">
        <f t="shared" si="157"/>
        <v>0</v>
      </c>
      <c r="J69" s="217">
        <f t="shared" si="157"/>
        <v>0</v>
      </c>
      <c r="K69" s="217">
        <f t="shared" ref="K69:R69" si="158">SUM(K57:K68)</f>
        <v>2540345.9082399756</v>
      </c>
      <c r="L69" s="217">
        <f t="shared" si="158"/>
        <v>600000</v>
      </c>
      <c r="M69" s="217">
        <f t="shared" si="158"/>
        <v>0</v>
      </c>
      <c r="N69" s="217">
        <f t="shared" si="158"/>
        <v>0</v>
      </c>
      <c r="O69" s="217">
        <f t="shared" si="158"/>
        <v>240000</v>
      </c>
      <c r="P69" s="379">
        <f t="shared" si="158"/>
        <v>240000</v>
      </c>
      <c r="Q69" s="380">
        <f t="shared" si="158"/>
        <v>0</v>
      </c>
      <c r="R69" s="217">
        <f t="shared" si="158"/>
        <v>0</v>
      </c>
      <c r="S69" s="381">
        <f>SUM(S66:S68)</f>
        <v>2770000</v>
      </c>
      <c r="T69" s="217">
        <f t="shared" ref="T69:BI69" si="159">SUM(T57:T68)</f>
        <v>0</v>
      </c>
      <c r="U69" s="217">
        <f t="shared" si="159"/>
        <v>0</v>
      </c>
      <c r="V69" s="217">
        <f t="shared" si="159"/>
        <v>0</v>
      </c>
      <c r="W69" s="217">
        <f t="shared" si="159"/>
        <v>0</v>
      </c>
      <c r="X69" s="217">
        <f t="shared" ref="X69" si="160">SUM(X57:X68)</f>
        <v>500000</v>
      </c>
      <c r="Y69" s="217">
        <f t="shared" si="159"/>
        <v>0</v>
      </c>
      <c r="Z69" s="217">
        <f t="shared" si="159"/>
        <v>0</v>
      </c>
      <c r="AA69" s="217">
        <f t="shared" si="159"/>
        <v>0</v>
      </c>
      <c r="AB69" s="217">
        <f t="shared" si="159"/>
        <v>2400000</v>
      </c>
      <c r="AC69" s="379">
        <f t="shared" si="159"/>
        <v>2400000</v>
      </c>
      <c r="AD69" s="379">
        <f t="shared" si="159"/>
        <v>0</v>
      </c>
      <c r="AE69" s="217">
        <f t="shared" si="159"/>
        <v>0</v>
      </c>
      <c r="AF69" s="379">
        <f t="shared" si="159"/>
        <v>0</v>
      </c>
      <c r="AG69" s="379">
        <f t="shared" si="159"/>
        <v>0</v>
      </c>
      <c r="AH69" s="217">
        <f t="shared" si="159"/>
        <v>60000</v>
      </c>
      <c r="AI69" s="379">
        <f t="shared" si="159"/>
        <v>60000</v>
      </c>
      <c r="AJ69" s="379">
        <f t="shared" si="159"/>
        <v>0</v>
      </c>
      <c r="AK69" s="217">
        <f t="shared" si="159"/>
        <v>14900000</v>
      </c>
      <c r="AL69" s="217">
        <f t="shared" si="159"/>
        <v>150000</v>
      </c>
      <c r="AM69" s="217">
        <f t="shared" si="159"/>
        <v>0</v>
      </c>
      <c r="AN69" s="217">
        <f t="shared" si="159"/>
        <v>0</v>
      </c>
      <c r="AO69" s="379">
        <f t="shared" si="159"/>
        <v>0</v>
      </c>
      <c r="AP69" s="379">
        <f t="shared" si="159"/>
        <v>0</v>
      </c>
      <c r="AQ69" s="217">
        <f t="shared" si="159"/>
        <v>280000</v>
      </c>
      <c r="AR69" s="379">
        <f t="shared" si="159"/>
        <v>280000</v>
      </c>
      <c r="AS69" s="379">
        <f t="shared" si="159"/>
        <v>0</v>
      </c>
      <c r="AT69" s="217">
        <f t="shared" ref="AT69:AV69" si="161">SUM(AT57:AT68)</f>
        <v>131000</v>
      </c>
      <c r="AU69" s="379">
        <f t="shared" si="161"/>
        <v>131000</v>
      </c>
      <c r="AV69" s="379">
        <f t="shared" si="161"/>
        <v>0</v>
      </c>
      <c r="AW69" s="217">
        <f t="shared" ref="AW69:AY69" si="162">SUM(AW57:AW68)</f>
        <v>0</v>
      </c>
      <c r="AX69" s="379">
        <f t="shared" si="162"/>
        <v>0</v>
      </c>
      <c r="AY69" s="379">
        <f t="shared" si="162"/>
        <v>0</v>
      </c>
      <c r="AZ69" s="217">
        <f t="shared" si="159"/>
        <v>31736654.48</v>
      </c>
      <c r="BA69" s="379">
        <f t="shared" si="159"/>
        <v>31736654.48</v>
      </c>
      <c r="BB69" s="379">
        <f t="shared" si="159"/>
        <v>0</v>
      </c>
      <c r="BC69" s="217">
        <f t="shared" ref="BC69:BE69" si="163">SUM(BC57:BC68)</f>
        <v>0</v>
      </c>
      <c r="BD69" s="379">
        <f t="shared" si="163"/>
        <v>0</v>
      </c>
      <c r="BE69" s="379">
        <f t="shared" si="163"/>
        <v>0</v>
      </c>
      <c r="BF69" s="217">
        <f t="shared" si="159"/>
        <v>0</v>
      </c>
      <c r="BG69" s="379">
        <f t="shared" si="159"/>
        <v>0</v>
      </c>
      <c r="BH69" s="379">
        <f t="shared" si="159"/>
        <v>0</v>
      </c>
      <c r="BI69" s="217">
        <f t="shared" si="159"/>
        <v>0</v>
      </c>
      <c r="BJ69" s="379">
        <f t="shared" ref="BJ69:CJ69" si="164">SUM(BJ57:BJ68)</f>
        <v>0</v>
      </c>
      <c r="BK69" s="379">
        <f t="shared" si="164"/>
        <v>0</v>
      </c>
      <c r="BL69" s="217">
        <f t="shared" si="164"/>
        <v>0</v>
      </c>
      <c r="BM69" s="379">
        <f t="shared" si="164"/>
        <v>0</v>
      </c>
      <c r="BN69" s="379">
        <f t="shared" si="164"/>
        <v>0</v>
      </c>
      <c r="BO69" s="217">
        <f t="shared" si="164"/>
        <v>0</v>
      </c>
      <c r="BP69" s="379">
        <f t="shared" si="164"/>
        <v>0</v>
      </c>
      <c r="BQ69" s="379">
        <f t="shared" si="164"/>
        <v>0</v>
      </c>
      <c r="BR69" s="217">
        <f t="shared" si="164"/>
        <v>2500000</v>
      </c>
      <c r="BS69" s="379">
        <f t="shared" si="164"/>
        <v>2500000</v>
      </c>
      <c r="BT69" s="379">
        <f t="shared" si="164"/>
        <v>0</v>
      </c>
      <c r="BU69" s="217">
        <f t="shared" si="164"/>
        <v>0</v>
      </c>
      <c r="BV69" s="217">
        <f t="shared" si="164"/>
        <v>550000</v>
      </c>
      <c r="BW69" s="379">
        <f t="shared" si="164"/>
        <v>550000</v>
      </c>
      <c r="BX69" s="379">
        <f t="shared" si="164"/>
        <v>0</v>
      </c>
      <c r="BY69" s="217">
        <f t="shared" si="164"/>
        <v>550000</v>
      </c>
      <c r="BZ69" s="217">
        <f t="shared" si="164"/>
        <v>592000</v>
      </c>
      <c r="CA69" s="379">
        <f t="shared" si="164"/>
        <v>592000</v>
      </c>
      <c r="CB69" s="379">
        <f t="shared" si="164"/>
        <v>0</v>
      </c>
      <c r="CC69" s="217">
        <f>SUM(CC57:CC68)</f>
        <v>2200000</v>
      </c>
      <c r="CD69" s="379">
        <f t="shared" si="164"/>
        <v>2200000</v>
      </c>
      <c r="CE69" s="379">
        <f t="shared" si="164"/>
        <v>0</v>
      </c>
      <c r="CF69" s="217">
        <f t="shared" si="164"/>
        <v>0</v>
      </c>
      <c r="CG69" s="217">
        <f t="shared" si="164"/>
        <v>2650000</v>
      </c>
      <c r="CH69" s="379">
        <f t="shared" si="164"/>
        <v>2650000</v>
      </c>
      <c r="CI69" s="379">
        <f t="shared" si="164"/>
        <v>0</v>
      </c>
      <c r="CJ69" s="217">
        <f t="shared" si="164"/>
        <v>0</v>
      </c>
      <c r="CK69" s="379"/>
      <c r="CL69" s="379"/>
      <c r="CM69" s="217">
        <f>SUM(CM57:CM68)</f>
        <v>4650000</v>
      </c>
      <c r="CN69" s="379"/>
      <c r="CO69" s="379"/>
      <c r="CP69" s="217">
        <f>SUM(CP57:CP68)</f>
        <v>0</v>
      </c>
      <c r="CQ69" s="379"/>
      <c r="CR69" s="379"/>
      <c r="CS69" s="217">
        <f t="shared" ref="CS69:DW69" si="165">SUM(CS57:CS68)</f>
        <v>250000</v>
      </c>
      <c r="CT69" s="379">
        <f t="shared" si="165"/>
        <v>250000</v>
      </c>
      <c r="CU69" s="379">
        <f t="shared" si="165"/>
        <v>0</v>
      </c>
      <c r="CV69" s="217">
        <f t="shared" si="165"/>
        <v>0</v>
      </c>
      <c r="CW69" s="217">
        <f t="shared" si="165"/>
        <v>0</v>
      </c>
      <c r="CX69" s="379">
        <f t="shared" si="165"/>
        <v>0</v>
      </c>
      <c r="CY69" s="379">
        <f t="shared" si="165"/>
        <v>0</v>
      </c>
      <c r="CZ69" s="217">
        <f t="shared" si="165"/>
        <v>0</v>
      </c>
      <c r="DA69" s="379">
        <f t="shared" si="165"/>
        <v>0</v>
      </c>
      <c r="DB69" s="379">
        <f t="shared" si="165"/>
        <v>0</v>
      </c>
      <c r="DC69" s="217">
        <f t="shared" si="165"/>
        <v>0</v>
      </c>
      <c r="DD69" s="379">
        <f t="shared" si="165"/>
        <v>0</v>
      </c>
      <c r="DE69" s="379">
        <f t="shared" si="165"/>
        <v>0</v>
      </c>
      <c r="DF69" s="217">
        <f t="shared" si="165"/>
        <v>0</v>
      </c>
      <c r="DG69" s="217">
        <f t="shared" si="165"/>
        <v>150000</v>
      </c>
      <c r="DH69" s="379">
        <f t="shared" si="165"/>
        <v>150000</v>
      </c>
      <c r="DI69" s="379">
        <f t="shared" si="165"/>
        <v>0</v>
      </c>
      <c r="DJ69" s="379">
        <f t="shared" si="165"/>
        <v>0</v>
      </c>
      <c r="DK69" s="217">
        <f t="shared" si="165"/>
        <v>0</v>
      </c>
      <c r="DL69" s="217">
        <f t="shared" si="165"/>
        <v>0</v>
      </c>
      <c r="DM69" s="217">
        <f t="shared" si="165"/>
        <v>0</v>
      </c>
      <c r="DN69" s="217">
        <f t="shared" si="165"/>
        <v>0</v>
      </c>
      <c r="DO69" s="217">
        <f t="shared" si="165"/>
        <v>0</v>
      </c>
      <c r="DP69" s="217">
        <f t="shared" si="165"/>
        <v>0</v>
      </c>
      <c r="DQ69" s="217">
        <f t="shared" si="165"/>
        <v>0</v>
      </c>
      <c r="DR69" s="217">
        <f t="shared" si="165"/>
        <v>0</v>
      </c>
      <c r="DS69" s="379">
        <f t="shared" ref="DS69:DT69" si="166">SUM(DS57:DS68)</f>
        <v>0</v>
      </c>
      <c r="DT69" s="379">
        <f t="shared" si="166"/>
        <v>0</v>
      </c>
      <c r="DU69" s="217">
        <f t="shared" si="165"/>
        <v>0</v>
      </c>
      <c r="DV69" s="217">
        <f t="shared" si="165"/>
        <v>0</v>
      </c>
      <c r="DW69" s="382">
        <f t="shared" si="165"/>
        <v>0</v>
      </c>
      <c r="DX69" s="190"/>
      <c r="DY69" s="341"/>
      <c r="DZ69" s="342"/>
      <c r="EA69" s="378">
        <f>SUM(EA57:EA68)</f>
        <v>0</v>
      </c>
      <c r="EC69" s="326"/>
    </row>
    <row r="70" spans="1:133" outlineLevel="1" x14ac:dyDescent="0.25">
      <c r="A70" s="222"/>
      <c r="B70" s="205"/>
      <c r="C70" s="403"/>
      <c r="D70" s="403"/>
      <c r="E70" s="403"/>
      <c r="F70" s="403"/>
      <c r="G70" s="417"/>
      <c r="H70" s="411"/>
      <c r="I70" s="411"/>
      <c r="J70" s="411"/>
      <c r="K70" s="411"/>
      <c r="L70" s="411"/>
      <c r="M70" s="411"/>
      <c r="N70" s="411"/>
      <c r="O70" s="411">
        <f t="shared" ref="O70:O71" si="167">+P70+Q70</f>
        <v>0</v>
      </c>
      <c r="P70" s="412"/>
      <c r="Q70" s="413"/>
      <c r="R70" s="411"/>
      <c r="S70" s="414">
        <f t="shared" ref="S70:S71" si="168">+Q70+AP70+CE70+CB70+BX70+DJ70+AD70+AJ70+AS70+BB70+BH70+BK70+BN70+BQ70+BT70+CI70+CU70+CY70+DB70+DE70+AG70+DT70</f>
        <v>0</v>
      </c>
      <c r="T70" s="411"/>
      <c r="U70" s="411"/>
      <c r="V70" s="411"/>
      <c r="W70" s="411"/>
      <c r="X70" s="411"/>
      <c r="Y70" s="411"/>
      <c r="Z70" s="411"/>
      <c r="AA70" s="411"/>
      <c r="AB70" s="411">
        <f t="shared" ref="AB70:AB71" si="169">+AC70+AD70</f>
        <v>0</v>
      </c>
      <c r="AC70" s="412"/>
      <c r="AD70" s="412"/>
      <c r="AE70" s="411">
        <f t="shared" ref="AE70:AE71" si="170">+AF70+AG70</f>
        <v>0</v>
      </c>
      <c r="AF70" s="412"/>
      <c r="AG70" s="412"/>
      <c r="AH70" s="411">
        <f t="shared" ref="AH70:AH71" si="171">+AI70+AJ70</f>
        <v>0</v>
      </c>
      <c r="AI70" s="412"/>
      <c r="AJ70" s="412"/>
      <c r="AK70" s="411"/>
      <c r="AL70" s="411"/>
      <c r="AM70" s="411"/>
      <c r="AN70" s="411">
        <f t="shared" ref="AN70:AN71" si="172">+AO70+AP70</f>
        <v>0</v>
      </c>
      <c r="AO70" s="412"/>
      <c r="AP70" s="412"/>
      <c r="AQ70" s="411">
        <f t="shared" ref="AQ70:AQ71" si="173">+AR70+AS70</f>
        <v>0</v>
      </c>
      <c r="AR70" s="412"/>
      <c r="AS70" s="412"/>
      <c r="AT70" s="411">
        <f t="shared" ref="AT70:AT71" si="174">+AU70+AV70</f>
        <v>0</v>
      </c>
      <c r="AU70" s="412"/>
      <c r="AV70" s="412"/>
      <c r="AW70" s="411">
        <f t="shared" ref="AW70:AW71" si="175">+AX70+AY70</f>
        <v>0</v>
      </c>
      <c r="AX70" s="412"/>
      <c r="AY70" s="412"/>
      <c r="AZ70" s="411">
        <f t="shared" ref="AZ70:AZ71" si="176">+BA70+BB70</f>
        <v>0</v>
      </c>
      <c r="BA70" s="412"/>
      <c r="BB70" s="412"/>
      <c r="BC70" s="411">
        <f t="shared" ref="BC70:BC71" si="177">+BD70+BE70</f>
        <v>0</v>
      </c>
      <c r="BD70" s="412"/>
      <c r="BE70" s="412"/>
      <c r="BF70" s="411">
        <f t="shared" ref="BF70:BF71" si="178">+BG70+BH70</f>
        <v>0</v>
      </c>
      <c r="BG70" s="412"/>
      <c r="BH70" s="412"/>
      <c r="BI70" s="411">
        <f t="shared" ref="BI70:BI71" si="179">+BJ70+BK70</f>
        <v>0</v>
      </c>
      <c r="BJ70" s="412"/>
      <c r="BK70" s="412"/>
      <c r="BL70" s="411">
        <f t="shared" ref="BL70:BL71" si="180">+BM70+BN70</f>
        <v>0</v>
      </c>
      <c r="BM70" s="412"/>
      <c r="BN70" s="412"/>
      <c r="BO70" s="411">
        <f t="shared" ref="BO70:BO71" si="181">+BP70+BQ70</f>
        <v>0</v>
      </c>
      <c r="BP70" s="412"/>
      <c r="BQ70" s="412"/>
      <c r="BR70" s="411">
        <f t="shared" ref="BR70:BR71" si="182">+BS70+BT70</f>
        <v>0</v>
      </c>
      <c r="BS70" s="412"/>
      <c r="BT70" s="412"/>
      <c r="BU70" s="411"/>
      <c r="BV70" s="411">
        <f t="shared" ref="BV70:BV71" si="183">+BW70+BX70</f>
        <v>0</v>
      </c>
      <c r="BW70" s="412"/>
      <c r="BX70" s="412"/>
      <c r="BY70" s="411"/>
      <c r="BZ70" s="411">
        <f t="shared" ref="BZ70:BZ71" si="184">+CA70+CB70</f>
        <v>0</v>
      </c>
      <c r="CA70" s="412"/>
      <c r="CB70" s="412"/>
      <c r="CC70" s="411">
        <f t="shared" ref="CC70:CC71" si="185">+CD70+CE70</f>
        <v>0</v>
      </c>
      <c r="CD70" s="412"/>
      <c r="CE70" s="412"/>
      <c r="CF70" s="411"/>
      <c r="CG70" s="411">
        <f t="shared" ref="CG70:CG71" si="186">+CH70+CI70</f>
        <v>0</v>
      </c>
      <c r="CH70" s="412"/>
      <c r="CI70" s="412"/>
      <c r="CJ70" s="411"/>
      <c r="CK70" s="412"/>
      <c r="CL70" s="412"/>
      <c r="CM70" s="411"/>
      <c r="CN70" s="412"/>
      <c r="CO70" s="412"/>
      <c r="CP70" s="411"/>
      <c r="CQ70" s="412"/>
      <c r="CR70" s="412"/>
      <c r="CS70" s="411">
        <f t="shared" ref="CS70:CS71" si="187">+CT70+CU70</f>
        <v>0</v>
      </c>
      <c r="CT70" s="412"/>
      <c r="CU70" s="412"/>
      <c r="CV70" s="411"/>
      <c r="CW70" s="411">
        <f t="shared" ref="CW70:CW71" si="188">+CX70+CY70</f>
        <v>0</v>
      </c>
      <c r="CX70" s="412"/>
      <c r="CY70" s="412"/>
      <c r="CZ70" s="411">
        <f t="shared" ref="CZ70:CZ71" si="189">+DA70+DB70</f>
        <v>0</v>
      </c>
      <c r="DA70" s="412"/>
      <c r="DB70" s="412"/>
      <c r="DC70" s="411">
        <f t="shared" ref="DC70:DC71" si="190">+DD70+DE70</f>
        <v>0</v>
      </c>
      <c r="DD70" s="412"/>
      <c r="DE70" s="412"/>
      <c r="DF70" s="411"/>
      <c r="DG70" s="411">
        <f t="shared" ref="DG70:DG71" si="191">+DH70+DI70+DJ70</f>
        <v>0</v>
      </c>
      <c r="DH70" s="412"/>
      <c r="DI70" s="412"/>
      <c r="DJ70" s="412"/>
      <c r="DK70" s="411"/>
      <c r="DL70" s="411"/>
      <c r="DM70" s="411"/>
      <c r="DN70" s="411"/>
      <c r="DO70" s="411"/>
      <c r="DP70" s="411"/>
      <c r="DQ70" s="411"/>
      <c r="DR70" s="411"/>
      <c r="DS70" s="412"/>
      <c r="DT70" s="412"/>
      <c r="DU70" s="411"/>
      <c r="DV70" s="411"/>
      <c r="DW70" s="415"/>
      <c r="DX70" s="190">
        <f t="shared" si="47"/>
        <v>0</v>
      </c>
      <c r="DY70" s="341">
        <f t="shared" si="70"/>
        <v>0</v>
      </c>
      <c r="DZ70" s="342"/>
      <c r="EA70" s="403"/>
      <c r="EC70" s="326"/>
    </row>
    <row r="71" spans="1:133" outlineLevel="1" x14ac:dyDescent="0.25">
      <c r="A71" s="418" t="s">
        <v>116</v>
      </c>
      <c r="B71" s="402" t="s">
        <v>117</v>
      </c>
      <c r="C71" s="394">
        <v>19702784</v>
      </c>
      <c r="D71" s="394">
        <v>19114264</v>
      </c>
      <c r="E71" s="394">
        <v>19114264</v>
      </c>
      <c r="F71" s="394">
        <f>SUM(G71:O71)+SUM(T71:AB71)+AE71+AH71+SUM(AK71:AN71)+AQ71+AZ71+BF71+BI71+BL71+BO71+BR71+BU71+BV71+BY71+BZ71+CC71+SUM(CF71:CG71)+CP71+CS71+CV71+CW71+CZ71+DC71+DF71+DG71+SUM(DK71:DR71)+CJ71+CM71+SUM(DU71:DW71)+R71+AT71+AW71</f>
        <v>19114264</v>
      </c>
      <c r="G71" s="420"/>
      <c r="H71" s="396">
        <f>'[4]Splátky jistiny'!$B$4</f>
        <v>19114264</v>
      </c>
      <c r="I71" s="396"/>
      <c r="J71" s="396"/>
      <c r="K71" s="421"/>
      <c r="L71" s="421"/>
      <c r="M71" s="421"/>
      <c r="N71" s="421"/>
      <c r="O71" s="421">
        <f t="shared" si="167"/>
        <v>0</v>
      </c>
      <c r="P71" s="422"/>
      <c r="Q71" s="423"/>
      <c r="R71" s="421"/>
      <c r="S71" s="424">
        <f t="shared" si="168"/>
        <v>0</v>
      </c>
      <c r="T71" s="421"/>
      <c r="U71" s="421"/>
      <c r="V71" s="421"/>
      <c r="W71" s="421"/>
      <c r="X71" s="421"/>
      <c r="Y71" s="421"/>
      <c r="Z71" s="421"/>
      <c r="AA71" s="421"/>
      <c r="AB71" s="421">
        <f t="shared" si="169"/>
        <v>0</v>
      </c>
      <c r="AC71" s="422"/>
      <c r="AD71" s="422"/>
      <c r="AE71" s="421">
        <f t="shared" si="170"/>
        <v>0</v>
      </c>
      <c r="AF71" s="422"/>
      <c r="AG71" s="422"/>
      <c r="AH71" s="421">
        <f t="shared" si="171"/>
        <v>0</v>
      </c>
      <c r="AI71" s="422"/>
      <c r="AJ71" s="422"/>
      <c r="AK71" s="421"/>
      <c r="AL71" s="421"/>
      <c r="AM71" s="421"/>
      <c r="AN71" s="421">
        <f t="shared" si="172"/>
        <v>0</v>
      </c>
      <c r="AO71" s="422"/>
      <c r="AP71" s="422"/>
      <c r="AQ71" s="421">
        <f t="shared" si="173"/>
        <v>0</v>
      </c>
      <c r="AR71" s="422"/>
      <c r="AS71" s="422"/>
      <c r="AT71" s="421">
        <f t="shared" si="174"/>
        <v>0</v>
      </c>
      <c r="AU71" s="422"/>
      <c r="AV71" s="422"/>
      <c r="AW71" s="421">
        <f t="shared" si="175"/>
        <v>0</v>
      </c>
      <c r="AX71" s="422"/>
      <c r="AY71" s="422"/>
      <c r="AZ71" s="421">
        <f t="shared" si="176"/>
        <v>0</v>
      </c>
      <c r="BA71" s="422"/>
      <c r="BB71" s="422"/>
      <c r="BC71" s="421">
        <f t="shared" si="177"/>
        <v>0</v>
      </c>
      <c r="BD71" s="422"/>
      <c r="BE71" s="422"/>
      <c r="BF71" s="421">
        <f t="shared" si="178"/>
        <v>0</v>
      </c>
      <c r="BG71" s="422"/>
      <c r="BH71" s="422"/>
      <c r="BI71" s="421">
        <f t="shared" si="179"/>
        <v>0</v>
      </c>
      <c r="BJ71" s="422"/>
      <c r="BK71" s="422"/>
      <c r="BL71" s="421">
        <f t="shared" si="180"/>
        <v>0</v>
      </c>
      <c r="BM71" s="422"/>
      <c r="BN71" s="422"/>
      <c r="BO71" s="421">
        <f t="shared" si="181"/>
        <v>0</v>
      </c>
      <c r="BP71" s="422"/>
      <c r="BQ71" s="422"/>
      <c r="BR71" s="421">
        <f t="shared" si="182"/>
        <v>0</v>
      </c>
      <c r="BS71" s="422"/>
      <c r="BT71" s="422"/>
      <c r="BU71" s="421"/>
      <c r="BV71" s="421">
        <f t="shared" si="183"/>
        <v>0</v>
      </c>
      <c r="BW71" s="422"/>
      <c r="BX71" s="422"/>
      <c r="BY71" s="421"/>
      <c r="BZ71" s="421">
        <f t="shared" si="184"/>
        <v>0</v>
      </c>
      <c r="CA71" s="422"/>
      <c r="CB71" s="422"/>
      <c r="CC71" s="421">
        <f t="shared" si="185"/>
        <v>0</v>
      </c>
      <c r="CD71" s="422"/>
      <c r="CE71" s="422"/>
      <c r="CF71" s="421"/>
      <c r="CG71" s="421">
        <f t="shared" si="186"/>
        <v>0</v>
      </c>
      <c r="CH71" s="422"/>
      <c r="CI71" s="422"/>
      <c r="CJ71" s="421"/>
      <c r="CK71" s="422"/>
      <c r="CL71" s="422"/>
      <c r="CM71" s="421"/>
      <c r="CN71" s="422"/>
      <c r="CO71" s="422"/>
      <c r="CP71" s="421"/>
      <c r="CQ71" s="422"/>
      <c r="CR71" s="422"/>
      <c r="CS71" s="421">
        <f t="shared" si="187"/>
        <v>0</v>
      </c>
      <c r="CT71" s="422"/>
      <c r="CU71" s="422"/>
      <c r="CV71" s="421"/>
      <c r="CW71" s="421">
        <f t="shared" si="188"/>
        <v>0</v>
      </c>
      <c r="CX71" s="422"/>
      <c r="CY71" s="422"/>
      <c r="CZ71" s="421">
        <f t="shared" si="189"/>
        <v>0</v>
      </c>
      <c r="DA71" s="422"/>
      <c r="DB71" s="422"/>
      <c r="DC71" s="421">
        <f t="shared" si="190"/>
        <v>0</v>
      </c>
      <c r="DD71" s="422"/>
      <c r="DE71" s="422"/>
      <c r="DF71" s="421"/>
      <c r="DG71" s="421">
        <f t="shared" si="191"/>
        <v>0</v>
      </c>
      <c r="DH71" s="422"/>
      <c r="DI71" s="422"/>
      <c r="DJ71" s="422"/>
      <c r="DK71" s="421"/>
      <c r="DL71" s="421"/>
      <c r="DM71" s="421"/>
      <c r="DN71" s="421"/>
      <c r="DO71" s="421"/>
      <c r="DP71" s="421"/>
      <c r="DQ71" s="421"/>
      <c r="DR71" s="421"/>
      <c r="DS71" s="422"/>
      <c r="DT71" s="422"/>
      <c r="DU71" s="421"/>
      <c r="DV71" s="421"/>
      <c r="DW71" s="425"/>
      <c r="DX71" s="190">
        <f>+G71+H71+I71+K71+M71+N71+O71+R71+S71+T71+U71+V71+W71+Y71+Z71+AA71+AB71+AE71+AH71+AK71+AL71+AM71+AN71+AQ71+AZ71+BF71+BI71+BL71+BO71+BR71+BU71+BV71+BY71+BZ71+CC71+CF71+CG71+CJ71+CM71+CP71+CS71+CV71+CW71+CZ71+DC71+DF71+DG71+DK71+DL71+DM71+DN71+DO71+DQ71+DR71+DU71+DV71+DW71+BC71+AW71+AT71+X71-S71</f>
        <v>19114264</v>
      </c>
      <c r="DY71" s="341">
        <f t="shared" si="70"/>
        <v>0</v>
      </c>
      <c r="DZ71" s="342"/>
      <c r="EA71" s="394"/>
      <c r="EC71" s="326"/>
    </row>
    <row r="72" spans="1:133" ht="16.5" customHeight="1" thickBot="1" x14ac:dyDescent="0.3">
      <c r="A72" s="213" t="s">
        <v>118</v>
      </c>
      <c r="B72" s="214" t="s">
        <v>117</v>
      </c>
      <c r="C72" s="378">
        <v>19702784</v>
      </c>
      <c r="D72" s="378">
        <v>19114264</v>
      </c>
      <c r="E72" s="378">
        <v>19114264</v>
      </c>
      <c r="F72" s="378">
        <f>+F71</f>
        <v>19114264</v>
      </c>
      <c r="G72" s="219">
        <f t="shared" ref="G72:DW72" si="192">+G71</f>
        <v>0</v>
      </c>
      <c r="H72" s="217">
        <f t="shared" si="192"/>
        <v>19114264</v>
      </c>
      <c r="I72" s="217">
        <f t="shared" si="192"/>
        <v>0</v>
      </c>
      <c r="J72" s="217">
        <f t="shared" si="192"/>
        <v>0</v>
      </c>
      <c r="K72" s="217">
        <f t="shared" si="192"/>
        <v>0</v>
      </c>
      <c r="L72" s="217">
        <f t="shared" ref="L72" si="193">+L71</f>
        <v>0</v>
      </c>
      <c r="M72" s="217">
        <f t="shared" si="192"/>
        <v>0</v>
      </c>
      <c r="N72" s="217">
        <f t="shared" ref="N72" si="194">+N71</f>
        <v>0</v>
      </c>
      <c r="O72" s="217">
        <f t="shared" si="192"/>
        <v>0</v>
      </c>
      <c r="P72" s="379">
        <f>+P71</f>
        <v>0</v>
      </c>
      <c r="Q72" s="380">
        <f>+Q71</f>
        <v>0</v>
      </c>
      <c r="R72" s="217">
        <f t="shared" ref="R72" si="195">+R71</f>
        <v>0</v>
      </c>
      <c r="S72" s="381">
        <f t="shared" si="192"/>
        <v>0</v>
      </c>
      <c r="T72" s="217">
        <f t="shared" si="192"/>
        <v>0</v>
      </c>
      <c r="U72" s="217">
        <f t="shared" si="192"/>
        <v>0</v>
      </c>
      <c r="V72" s="217">
        <f t="shared" si="192"/>
        <v>0</v>
      </c>
      <c r="W72" s="217">
        <f t="shared" si="192"/>
        <v>0</v>
      </c>
      <c r="X72" s="217">
        <f t="shared" ref="X72" si="196">+X71</f>
        <v>0</v>
      </c>
      <c r="Y72" s="217">
        <f t="shared" si="192"/>
        <v>0</v>
      </c>
      <c r="Z72" s="217">
        <f t="shared" si="192"/>
        <v>0</v>
      </c>
      <c r="AA72" s="217">
        <f t="shared" si="192"/>
        <v>0</v>
      </c>
      <c r="AB72" s="217">
        <f t="shared" si="192"/>
        <v>0</v>
      </c>
      <c r="AC72" s="379">
        <f>+AC71</f>
        <v>0</v>
      </c>
      <c r="AD72" s="379">
        <f>+AD71</f>
        <v>0</v>
      </c>
      <c r="AE72" s="217">
        <f t="shared" si="192"/>
        <v>0</v>
      </c>
      <c r="AF72" s="379">
        <f>+AF71</f>
        <v>0</v>
      </c>
      <c r="AG72" s="379">
        <f>+AG71</f>
        <v>0</v>
      </c>
      <c r="AH72" s="217">
        <f t="shared" si="192"/>
        <v>0</v>
      </c>
      <c r="AI72" s="379">
        <f>+AI71</f>
        <v>0</v>
      </c>
      <c r="AJ72" s="379">
        <f>+AJ71</f>
        <v>0</v>
      </c>
      <c r="AK72" s="217">
        <f t="shared" si="192"/>
        <v>0</v>
      </c>
      <c r="AL72" s="217">
        <f t="shared" si="192"/>
        <v>0</v>
      </c>
      <c r="AM72" s="217">
        <f t="shared" si="192"/>
        <v>0</v>
      </c>
      <c r="AN72" s="217">
        <f t="shared" si="192"/>
        <v>0</v>
      </c>
      <c r="AO72" s="379">
        <f>+AO71</f>
        <v>0</v>
      </c>
      <c r="AP72" s="379">
        <f>+AP71</f>
        <v>0</v>
      </c>
      <c r="AQ72" s="217">
        <f t="shared" si="192"/>
        <v>0</v>
      </c>
      <c r="AR72" s="379">
        <f>+AR71</f>
        <v>0</v>
      </c>
      <c r="AS72" s="379">
        <f>+AS71</f>
        <v>0</v>
      </c>
      <c r="AT72" s="217">
        <f t="shared" ref="AT72" si="197">+AT71</f>
        <v>0</v>
      </c>
      <c r="AU72" s="379">
        <f>+AU71</f>
        <v>0</v>
      </c>
      <c r="AV72" s="379">
        <f>+AV71</f>
        <v>0</v>
      </c>
      <c r="AW72" s="217">
        <f t="shared" ref="AW72" si="198">+AW71</f>
        <v>0</v>
      </c>
      <c r="AX72" s="379">
        <f>+AX71</f>
        <v>0</v>
      </c>
      <c r="AY72" s="379">
        <f>+AY71</f>
        <v>0</v>
      </c>
      <c r="AZ72" s="217">
        <f t="shared" si="192"/>
        <v>0</v>
      </c>
      <c r="BA72" s="379">
        <f t="shared" si="192"/>
        <v>0</v>
      </c>
      <c r="BB72" s="379">
        <f t="shared" si="192"/>
        <v>0</v>
      </c>
      <c r="BC72" s="217">
        <f t="shared" ref="BC72:BE72" si="199">+BC71</f>
        <v>0</v>
      </c>
      <c r="BD72" s="379">
        <f t="shared" si="199"/>
        <v>0</v>
      </c>
      <c r="BE72" s="379">
        <f t="shared" si="199"/>
        <v>0</v>
      </c>
      <c r="BF72" s="217">
        <f t="shared" si="192"/>
        <v>0</v>
      </c>
      <c r="BG72" s="379">
        <f t="shared" si="192"/>
        <v>0</v>
      </c>
      <c r="BH72" s="379">
        <f t="shared" si="192"/>
        <v>0</v>
      </c>
      <c r="BI72" s="217">
        <f t="shared" si="192"/>
        <v>0</v>
      </c>
      <c r="BJ72" s="379">
        <f t="shared" si="192"/>
        <v>0</v>
      </c>
      <c r="BK72" s="379">
        <f t="shared" si="192"/>
        <v>0</v>
      </c>
      <c r="BL72" s="217">
        <f t="shared" si="192"/>
        <v>0</v>
      </c>
      <c r="BM72" s="379">
        <f t="shared" si="192"/>
        <v>0</v>
      </c>
      <c r="BN72" s="379">
        <f t="shared" si="192"/>
        <v>0</v>
      </c>
      <c r="BO72" s="217">
        <f t="shared" si="192"/>
        <v>0</v>
      </c>
      <c r="BP72" s="379">
        <f t="shared" si="192"/>
        <v>0</v>
      </c>
      <c r="BQ72" s="379">
        <f t="shared" si="192"/>
        <v>0</v>
      </c>
      <c r="BR72" s="217">
        <f t="shared" si="192"/>
        <v>0</v>
      </c>
      <c r="BS72" s="379">
        <f t="shared" si="192"/>
        <v>0</v>
      </c>
      <c r="BT72" s="379">
        <f t="shared" si="192"/>
        <v>0</v>
      </c>
      <c r="BU72" s="217">
        <f t="shared" si="192"/>
        <v>0</v>
      </c>
      <c r="BV72" s="217">
        <f>+BV71</f>
        <v>0</v>
      </c>
      <c r="BW72" s="379">
        <f>+BW71</f>
        <v>0</v>
      </c>
      <c r="BX72" s="379">
        <f>+BX71</f>
        <v>0</v>
      </c>
      <c r="BY72" s="217">
        <f t="shared" si="192"/>
        <v>0</v>
      </c>
      <c r="BZ72" s="217">
        <f t="shared" si="192"/>
        <v>0</v>
      </c>
      <c r="CA72" s="379">
        <f t="shared" si="192"/>
        <v>0</v>
      </c>
      <c r="CB72" s="379">
        <f t="shared" si="192"/>
        <v>0</v>
      </c>
      <c r="CC72" s="217">
        <f t="shared" si="192"/>
        <v>0</v>
      </c>
      <c r="CD72" s="379">
        <f>+CD71</f>
        <v>0</v>
      </c>
      <c r="CE72" s="379">
        <f>+CE71</f>
        <v>0</v>
      </c>
      <c r="CF72" s="217">
        <f t="shared" si="192"/>
        <v>0</v>
      </c>
      <c r="CG72" s="217">
        <f t="shared" si="192"/>
        <v>0</v>
      </c>
      <c r="CH72" s="379">
        <f t="shared" si="192"/>
        <v>0</v>
      </c>
      <c r="CI72" s="379">
        <f t="shared" si="192"/>
        <v>0</v>
      </c>
      <c r="CJ72" s="217">
        <f t="shared" si="192"/>
        <v>0</v>
      </c>
      <c r="CK72" s="379"/>
      <c r="CL72" s="379"/>
      <c r="CM72" s="217">
        <f t="shared" si="192"/>
        <v>0</v>
      </c>
      <c r="CN72" s="379"/>
      <c r="CO72" s="379"/>
      <c r="CP72" s="217">
        <f t="shared" si="192"/>
        <v>0</v>
      </c>
      <c r="CQ72" s="379"/>
      <c r="CR72" s="379"/>
      <c r="CS72" s="217">
        <f t="shared" si="192"/>
        <v>0</v>
      </c>
      <c r="CT72" s="379">
        <f>+CT71</f>
        <v>0</v>
      </c>
      <c r="CU72" s="379">
        <f>+CU71</f>
        <v>0</v>
      </c>
      <c r="CV72" s="217">
        <f t="shared" si="192"/>
        <v>0</v>
      </c>
      <c r="CW72" s="217">
        <f t="shared" si="192"/>
        <v>0</v>
      </c>
      <c r="CX72" s="379">
        <f>+CX71</f>
        <v>0</v>
      </c>
      <c r="CY72" s="379">
        <f>+CY71</f>
        <v>0</v>
      </c>
      <c r="CZ72" s="217">
        <f t="shared" si="192"/>
        <v>0</v>
      </c>
      <c r="DA72" s="379">
        <f>+DA71</f>
        <v>0</v>
      </c>
      <c r="DB72" s="379">
        <f>+DB71</f>
        <v>0</v>
      </c>
      <c r="DC72" s="217">
        <f t="shared" si="192"/>
        <v>0</v>
      </c>
      <c r="DD72" s="379">
        <f>+DD71</f>
        <v>0</v>
      </c>
      <c r="DE72" s="379">
        <f>+DE71</f>
        <v>0</v>
      </c>
      <c r="DF72" s="217">
        <f t="shared" si="192"/>
        <v>0</v>
      </c>
      <c r="DG72" s="217">
        <f t="shared" si="192"/>
        <v>0</v>
      </c>
      <c r="DH72" s="379">
        <f t="shared" ref="DH72:DQ72" si="200">+DH71</f>
        <v>0</v>
      </c>
      <c r="DI72" s="379">
        <f t="shared" si="200"/>
        <v>0</v>
      </c>
      <c r="DJ72" s="379">
        <f t="shared" si="200"/>
        <v>0</v>
      </c>
      <c r="DK72" s="217">
        <f t="shared" si="200"/>
        <v>0</v>
      </c>
      <c r="DL72" s="217">
        <f t="shared" ref="DL72:DN72" si="201">+DL71</f>
        <v>0</v>
      </c>
      <c r="DM72" s="217">
        <f t="shared" si="201"/>
        <v>0</v>
      </c>
      <c r="DN72" s="217">
        <f t="shared" si="201"/>
        <v>0</v>
      </c>
      <c r="DO72" s="217">
        <f t="shared" si="200"/>
        <v>0</v>
      </c>
      <c r="DP72" s="217">
        <f t="shared" si="200"/>
        <v>0</v>
      </c>
      <c r="DQ72" s="217">
        <f t="shared" si="200"/>
        <v>0</v>
      </c>
      <c r="DR72" s="217">
        <f t="shared" si="192"/>
        <v>0</v>
      </c>
      <c r="DS72" s="379">
        <f t="shared" si="192"/>
        <v>0</v>
      </c>
      <c r="DT72" s="379">
        <f t="shared" si="192"/>
        <v>0</v>
      </c>
      <c r="DU72" s="217">
        <f t="shared" si="192"/>
        <v>0</v>
      </c>
      <c r="DV72" s="217">
        <f t="shared" si="192"/>
        <v>0</v>
      </c>
      <c r="DW72" s="382">
        <f t="shared" si="192"/>
        <v>0</v>
      </c>
      <c r="DX72" s="190">
        <f t="shared" si="47"/>
        <v>19114264</v>
      </c>
      <c r="DY72" s="341">
        <f t="shared" si="70"/>
        <v>0</v>
      </c>
      <c r="DZ72" s="342"/>
      <c r="EA72" s="378">
        <f>+EA71</f>
        <v>0</v>
      </c>
      <c r="EC72" s="326"/>
    </row>
    <row r="73" spans="1:133" ht="14.25" thickBot="1" x14ac:dyDescent="0.3">
      <c r="A73" s="418">
        <v>8115</v>
      </c>
      <c r="B73" s="426" t="s">
        <v>119</v>
      </c>
      <c r="C73" s="403">
        <v>0</v>
      </c>
      <c r="D73" s="403">
        <v>0</v>
      </c>
      <c r="E73" s="403">
        <v>0</v>
      </c>
      <c r="F73" s="403">
        <f>SUM(G73:O73)+SUM(S73:AB73)+AE73+AH73+SUM(AK73:AN73)+AQ73+AZ73+BF73+BI73+BL73+BO73+BR73+BU73+BV73+BY73+BZ73+CC73+SUM(CF73:CG73)+CP73+CS73+CV73+CW73+CZ73+DC73+DF73+DG73+SUM(DK73:DW73)+CJ73+CM73</f>
        <v>0</v>
      </c>
      <c r="G73" s="417"/>
      <c r="H73" s="411"/>
      <c r="I73" s="411"/>
      <c r="J73" s="411"/>
      <c r="K73" s="411"/>
      <c r="L73" s="411"/>
      <c r="M73" s="411"/>
      <c r="N73" s="411"/>
      <c r="O73" s="411"/>
      <c r="P73" s="412"/>
      <c r="Q73" s="413"/>
      <c r="R73" s="411"/>
      <c r="S73" s="414"/>
      <c r="T73" s="411"/>
      <c r="U73" s="411"/>
      <c r="V73" s="411"/>
      <c r="W73" s="411"/>
      <c r="X73" s="411"/>
      <c r="Y73" s="411"/>
      <c r="Z73" s="411"/>
      <c r="AA73" s="411"/>
      <c r="AB73" s="411">
        <f>+AC73+AD73</f>
        <v>0</v>
      </c>
      <c r="AC73" s="412"/>
      <c r="AD73" s="412"/>
      <c r="AE73" s="411"/>
      <c r="AF73" s="412"/>
      <c r="AG73" s="412"/>
      <c r="AH73" s="411"/>
      <c r="AI73" s="412"/>
      <c r="AJ73" s="412"/>
      <c r="AK73" s="411"/>
      <c r="AL73" s="411"/>
      <c r="AM73" s="411"/>
      <c r="AN73" s="411"/>
      <c r="AO73" s="412"/>
      <c r="AP73" s="412"/>
      <c r="AQ73" s="411"/>
      <c r="AR73" s="412"/>
      <c r="AS73" s="412"/>
      <c r="AT73" s="411"/>
      <c r="AU73" s="412"/>
      <c r="AV73" s="412"/>
      <c r="AW73" s="411"/>
      <c r="AX73" s="412"/>
      <c r="AY73" s="412"/>
      <c r="AZ73" s="411"/>
      <c r="BA73" s="412"/>
      <c r="BB73" s="412"/>
      <c r="BC73" s="411"/>
      <c r="BD73" s="412"/>
      <c r="BE73" s="412"/>
      <c r="BF73" s="411"/>
      <c r="BG73" s="412"/>
      <c r="BH73" s="412"/>
      <c r="BI73" s="411"/>
      <c r="BJ73" s="412"/>
      <c r="BK73" s="412"/>
      <c r="BL73" s="411"/>
      <c r="BM73" s="412"/>
      <c r="BN73" s="412"/>
      <c r="BO73" s="411"/>
      <c r="BP73" s="412"/>
      <c r="BQ73" s="412"/>
      <c r="BR73" s="411"/>
      <c r="BS73" s="412"/>
      <c r="BT73" s="412"/>
      <c r="BU73" s="411"/>
      <c r="BV73" s="411"/>
      <c r="BW73" s="412"/>
      <c r="BX73" s="412"/>
      <c r="BY73" s="411"/>
      <c r="BZ73" s="411"/>
      <c r="CA73" s="412"/>
      <c r="CB73" s="412"/>
      <c r="CC73" s="411"/>
      <c r="CD73" s="412"/>
      <c r="CE73" s="412"/>
      <c r="CF73" s="411"/>
      <c r="CG73" s="411"/>
      <c r="CH73" s="412"/>
      <c r="CI73" s="412"/>
      <c r="CJ73" s="411"/>
      <c r="CK73" s="412"/>
      <c r="CL73" s="412"/>
      <c r="CM73" s="411"/>
      <c r="CN73" s="412"/>
      <c r="CO73" s="412"/>
      <c r="CP73" s="411"/>
      <c r="CQ73" s="412"/>
      <c r="CR73" s="412"/>
      <c r="CS73" s="411"/>
      <c r="CT73" s="412"/>
      <c r="CU73" s="412"/>
      <c r="CV73" s="411"/>
      <c r="CW73" s="411"/>
      <c r="CX73" s="412"/>
      <c r="CY73" s="412"/>
      <c r="CZ73" s="411"/>
      <c r="DA73" s="412"/>
      <c r="DB73" s="412"/>
      <c r="DC73" s="411"/>
      <c r="DD73" s="412"/>
      <c r="DE73" s="412"/>
      <c r="DF73" s="411"/>
      <c r="DG73" s="411"/>
      <c r="DH73" s="412"/>
      <c r="DI73" s="412"/>
      <c r="DJ73" s="412"/>
      <c r="DK73" s="411"/>
      <c r="DL73" s="411"/>
      <c r="DM73" s="411"/>
      <c r="DN73" s="411"/>
      <c r="DO73" s="411"/>
      <c r="DP73" s="411"/>
      <c r="DQ73" s="411"/>
      <c r="DR73" s="411"/>
      <c r="DS73" s="412"/>
      <c r="DT73" s="412"/>
      <c r="DU73" s="411"/>
      <c r="DV73" s="411"/>
      <c r="DW73" s="415"/>
      <c r="DX73" s="190">
        <f t="shared" si="47"/>
        <v>0</v>
      </c>
      <c r="DY73" s="341">
        <f t="shared" si="70"/>
        <v>0</v>
      </c>
      <c r="DZ73" s="342"/>
      <c r="EA73" s="403"/>
      <c r="EC73" s="326"/>
    </row>
    <row r="74" spans="1:133" ht="19.5" customHeight="1" thickBot="1" x14ac:dyDescent="0.3">
      <c r="A74" s="2617" t="s">
        <v>120</v>
      </c>
      <c r="B74" s="2618"/>
      <c r="C74" s="336">
        <v>225755836.75999999</v>
      </c>
      <c r="D74" s="336">
        <v>247142442.21510071</v>
      </c>
      <c r="E74" s="336">
        <v>243932554</v>
      </c>
      <c r="F74" s="336">
        <f t="shared" ref="F74:J74" si="202">+F55+F69+F72</f>
        <v>262059406</v>
      </c>
      <c r="G74" s="262">
        <f t="shared" si="202"/>
        <v>3032545.0202600001</v>
      </c>
      <c r="H74" s="260">
        <f t="shared" si="202"/>
        <v>19114264</v>
      </c>
      <c r="I74" s="260">
        <f t="shared" si="202"/>
        <v>69012.591499999995</v>
      </c>
      <c r="J74" s="260">
        <f t="shared" si="202"/>
        <v>0</v>
      </c>
      <c r="K74" s="260">
        <f t="shared" ref="K74:AR74" si="203">+K55+K69+K72</f>
        <v>7526417.9082399756</v>
      </c>
      <c r="L74" s="260">
        <f t="shared" ref="L74" si="204">+L55+L69+L72</f>
        <v>600000</v>
      </c>
      <c r="M74" s="260">
        <f t="shared" si="203"/>
        <v>5579484</v>
      </c>
      <c r="N74" s="260">
        <f t="shared" si="203"/>
        <v>0</v>
      </c>
      <c r="O74" s="260">
        <f t="shared" si="203"/>
        <v>35808760.600000001</v>
      </c>
      <c r="P74" s="427">
        <f t="shared" si="203"/>
        <v>35738760.600000001</v>
      </c>
      <c r="Q74" s="428">
        <f t="shared" si="203"/>
        <v>70000</v>
      </c>
      <c r="R74" s="260">
        <f t="shared" si="203"/>
        <v>2539193.7999999998</v>
      </c>
      <c r="S74" s="429">
        <f t="shared" si="203"/>
        <v>22520000</v>
      </c>
      <c r="T74" s="260">
        <f t="shared" si="203"/>
        <v>2723814</v>
      </c>
      <c r="U74" s="260">
        <f t="shared" si="203"/>
        <v>300000</v>
      </c>
      <c r="V74" s="260">
        <f t="shared" si="203"/>
        <v>8457247.4000000004</v>
      </c>
      <c r="W74" s="260">
        <f t="shared" si="203"/>
        <v>131130.4</v>
      </c>
      <c r="X74" s="260">
        <f t="shared" ref="X74" si="205">+X55+X69+X72</f>
        <v>1635200</v>
      </c>
      <c r="Y74" s="260">
        <f t="shared" si="203"/>
        <v>3004215.2</v>
      </c>
      <c r="Z74" s="260">
        <f t="shared" si="203"/>
        <v>730753.6</v>
      </c>
      <c r="AA74" s="260">
        <f t="shared" si="203"/>
        <v>1520000</v>
      </c>
      <c r="AB74" s="260">
        <f t="shared" si="203"/>
        <v>5574240</v>
      </c>
      <c r="AC74" s="427">
        <f t="shared" si="203"/>
        <v>5574240</v>
      </c>
      <c r="AD74" s="427">
        <f t="shared" si="203"/>
        <v>0</v>
      </c>
      <c r="AE74" s="260">
        <f t="shared" si="203"/>
        <v>4490000</v>
      </c>
      <c r="AF74" s="427">
        <f t="shared" si="203"/>
        <v>4390000</v>
      </c>
      <c r="AG74" s="427">
        <f t="shared" si="203"/>
        <v>100000</v>
      </c>
      <c r="AH74" s="260">
        <f t="shared" si="203"/>
        <v>6530800</v>
      </c>
      <c r="AI74" s="427">
        <f t="shared" si="203"/>
        <v>6530800</v>
      </c>
      <c r="AJ74" s="427">
        <f t="shared" si="203"/>
        <v>0</v>
      </c>
      <c r="AK74" s="260">
        <f t="shared" si="203"/>
        <v>16428041</v>
      </c>
      <c r="AL74" s="260">
        <f t="shared" si="203"/>
        <v>630000</v>
      </c>
      <c r="AM74" s="260">
        <f t="shared" si="203"/>
        <v>0</v>
      </c>
      <c r="AN74" s="260">
        <f t="shared" si="203"/>
        <v>210000</v>
      </c>
      <c r="AO74" s="427">
        <f t="shared" si="203"/>
        <v>190000</v>
      </c>
      <c r="AP74" s="427">
        <f t="shared" si="203"/>
        <v>20000</v>
      </c>
      <c r="AQ74" s="260">
        <f t="shared" si="203"/>
        <v>520000</v>
      </c>
      <c r="AR74" s="427">
        <f t="shared" si="203"/>
        <v>520000</v>
      </c>
      <c r="AS74" s="427">
        <f t="shared" ref="AS74:CJ74" si="206">+AS55+AS69+AS72</f>
        <v>0</v>
      </c>
      <c r="AT74" s="260">
        <f t="shared" si="206"/>
        <v>791000</v>
      </c>
      <c r="AU74" s="427">
        <f t="shared" si="206"/>
        <v>561000</v>
      </c>
      <c r="AV74" s="427">
        <f t="shared" ref="AV74:AX74" si="207">+AV55+AV69+AV72</f>
        <v>230000</v>
      </c>
      <c r="AW74" s="260">
        <f t="shared" si="207"/>
        <v>1757156</v>
      </c>
      <c r="AX74" s="427">
        <f t="shared" si="207"/>
        <v>1757156</v>
      </c>
      <c r="AY74" s="427">
        <f t="shared" ref="AY74" si="208">+AY55+AY69+AY72</f>
        <v>0</v>
      </c>
      <c r="AZ74" s="260">
        <f t="shared" si="206"/>
        <v>50880746.480000004</v>
      </c>
      <c r="BA74" s="427">
        <f t="shared" si="206"/>
        <v>50880746.480000004</v>
      </c>
      <c r="BB74" s="427">
        <f t="shared" si="206"/>
        <v>0</v>
      </c>
      <c r="BC74" s="260">
        <f t="shared" ref="BC74:BE74" si="209">+BC55+BC69+BC72</f>
        <v>1600000</v>
      </c>
      <c r="BD74" s="427">
        <f t="shared" si="209"/>
        <v>1600000</v>
      </c>
      <c r="BE74" s="427">
        <f t="shared" si="209"/>
        <v>0</v>
      </c>
      <c r="BF74" s="260">
        <f t="shared" si="206"/>
        <v>860000</v>
      </c>
      <c r="BG74" s="427">
        <f t="shared" si="206"/>
        <v>860000</v>
      </c>
      <c r="BH74" s="427">
        <f t="shared" si="206"/>
        <v>0</v>
      </c>
      <c r="BI74" s="260">
        <f t="shared" si="206"/>
        <v>1000000</v>
      </c>
      <c r="BJ74" s="427">
        <f t="shared" si="206"/>
        <v>980000</v>
      </c>
      <c r="BK74" s="427">
        <f t="shared" si="206"/>
        <v>20000</v>
      </c>
      <c r="BL74" s="260">
        <f t="shared" si="206"/>
        <v>320000</v>
      </c>
      <c r="BM74" s="427">
        <f t="shared" si="206"/>
        <v>290000</v>
      </c>
      <c r="BN74" s="427">
        <f t="shared" si="206"/>
        <v>30000</v>
      </c>
      <c r="BO74" s="260">
        <f t="shared" si="206"/>
        <v>4309000</v>
      </c>
      <c r="BP74" s="427">
        <f t="shared" si="206"/>
        <v>4279000</v>
      </c>
      <c r="BQ74" s="427">
        <f t="shared" si="206"/>
        <v>30000</v>
      </c>
      <c r="BR74" s="260">
        <f t="shared" si="206"/>
        <v>2500000</v>
      </c>
      <c r="BS74" s="427">
        <f t="shared" si="206"/>
        <v>2500000</v>
      </c>
      <c r="BT74" s="427">
        <f t="shared" si="206"/>
        <v>0</v>
      </c>
      <c r="BU74" s="260">
        <f t="shared" si="206"/>
        <v>270000</v>
      </c>
      <c r="BV74" s="260">
        <f t="shared" si="206"/>
        <v>1160000</v>
      </c>
      <c r="BW74" s="427">
        <f t="shared" si="206"/>
        <v>1130000</v>
      </c>
      <c r="BX74" s="427">
        <f t="shared" si="206"/>
        <v>30000</v>
      </c>
      <c r="BY74" s="260">
        <f t="shared" si="206"/>
        <v>1050000</v>
      </c>
      <c r="BZ74" s="260">
        <f t="shared" si="206"/>
        <v>4984100</v>
      </c>
      <c r="CA74" s="427">
        <f t="shared" si="206"/>
        <v>4634100</v>
      </c>
      <c r="CB74" s="427">
        <f t="shared" si="206"/>
        <v>350000</v>
      </c>
      <c r="CC74" s="260">
        <f t="shared" si="206"/>
        <v>11660709</v>
      </c>
      <c r="CD74" s="427">
        <f t="shared" si="206"/>
        <v>9410709</v>
      </c>
      <c r="CE74" s="427">
        <f t="shared" si="206"/>
        <v>2250000</v>
      </c>
      <c r="CF74" s="260">
        <f t="shared" si="206"/>
        <v>3028575</v>
      </c>
      <c r="CG74" s="260">
        <f t="shared" si="206"/>
        <v>4120000</v>
      </c>
      <c r="CH74" s="427">
        <f t="shared" si="206"/>
        <v>4120000</v>
      </c>
      <c r="CI74" s="427">
        <f t="shared" si="206"/>
        <v>0</v>
      </c>
      <c r="CJ74" s="260">
        <f t="shared" si="206"/>
        <v>2500000</v>
      </c>
      <c r="CK74" s="427"/>
      <c r="CL74" s="427"/>
      <c r="CM74" s="260">
        <f>+CM55+CM69+CM72</f>
        <v>5520000</v>
      </c>
      <c r="CN74" s="427"/>
      <c r="CO74" s="427"/>
      <c r="CP74" s="260">
        <f>+CP55+CP69+CP72</f>
        <v>2500000</v>
      </c>
      <c r="CQ74" s="427"/>
      <c r="CR74" s="427"/>
      <c r="CS74" s="260">
        <f t="shared" ref="CS74:DW74" si="210">+CS55+CS69+CS72</f>
        <v>780000</v>
      </c>
      <c r="CT74" s="427">
        <f t="shared" si="210"/>
        <v>480000</v>
      </c>
      <c r="CU74" s="427">
        <f t="shared" si="210"/>
        <v>300000</v>
      </c>
      <c r="CV74" s="260">
        <f t="shared" si="210"/>
        <v>100000</v>
      </c>
      <c r="CW74" s="260">
        <f t="shared" si="210"/>
        <v>5500000</v>
      </c>
      <c r="CX74" s="427">
        <f t="shared" si="210"/>
        <v>0</v>
      </c>
      <c r="CY74" s="427">
        <f t="shared" si="210"/>
        <v>5500000</v>
      </c>
      <c r="CZ74" s="260">
        <f t="shared" si="210"/>
        <v>800000</v>
      </c>
      <c r="DA74" s="427">
        <f t="shared" si="210"/>
        <v>0</v>
      </c>
      <c r="DB74" s="427">
        <f t="shared" si="210"/>
        <v>800000</v>
      </c>
      <c r="DC74" s="260">
        <f t="shared" si="210"/>
        <v>70000</v>
      </c>
      <c r="DD74" s="427">
        <f t="shared" si="210"/>
        <v>0</v>
      </c>
      <c r="DE74" s="427">
        <f t="shared" si="210"/>
        <v>70000</v>
      </c>
      <c r="DF74" s="260">
        <f t="shared" si="210"/>
        <v>66500</v>
      </c>
      <c r="DG74" s="260">
        <f t="shared" si="210"/>
        <v>3150000</v>
      </c>
      <c r="DH74" s="427">
        <f t="shared" si="210"/>
        <v>1600000</v>
      </c>
      <c r="DI74" s="427">
        <f t="shared" si="210"/>
        <v>0</v>
      </c>
      <c r="DJ74" s="427">
        <f t="shared" si="210"/>
        <v>1550000</v>
      </c>
      <c r="DK74" s="260">
        <f t="shared" si="210"/>
        <v>356500</v>
      </c>
      <c r="DL74" s="260">
        <f t="shared" si="210"/>
        <v>0</v>
      </c>
      <c r="DM74" s="260">
        <f t="shared" si="210"/>
        <v>0</v>
      </c>
      <c r="DN74" s="260">
        <f t="shared" si="210"/>
        <v>0</v>
      </c>
      <c r="DO74" s="260">
        <f t="shared" si="210"/>
        <v>0</v>
      </c>
      <c r="DP74" s="260">
        <f t="shared" si="210"/>
        <v>0</v>
      </c>
      <c r="DQ74" s="260">
        <f t="shared" si="210"/>
        <v>0</v>
      </c>
      <c r="DR74" s="260">
        <f t="shared" si="210"/>
        <v>750000</v>
      </c>
      <c r="DS74" s="427">
        <f t="shared" ref="DS74:DT74" si="211">+DS55+DS69+DS72</f>
        <v>50000</v>
      </c>
      <c r="DT74" s="427">
        <f t="shared" si="211"/>
        <v>700000</v>
      </c>
      <c r="DU74" s="260">
        <f t="shared" si="210"/>
        <v>0</v>
      </c>
      <c r="DV74" s="260">
        <f t="shared" si="210"/>
        <v>0</v>
      </c>
      <c r="DW74" s="430">
        <f t="shared" si="210"/>
        <v>0</v>
      </c>
      <c r="DX74" s="190"/>
      <c r="DY74" s="341"/>
      <c r="DZ74" s="342"/>
      <c r="EA74" s="336">
        <f>+EA55+EA69+EA72</f>
        <v>11120000</v>
      </c>
      <c r="EC74" s="326"/>
    </row>
    <row r="75" spans="1:133" ht="20.25" customHeight="1" thickBot="1" x14ac:dyDescent="0.3">
      <c r="A75" s="2617" t="s">
        <v>129</v>
      </c>
      <c r="B75" s="2619"/>
      <c r="C75" s="431">
        <v>0</v>
      </c>
      <c r="D75" s="431">
        <v>0</v>
      </c>
      <c r="E75" s="431">
        <v>0</v>
      </c>
      <c r="F75" s="431">
        <f>+'Příjmy kapitol celkem'!G99-'Výdaje kapitol celkem'!F74</f>
        <v>0</v>
      </c>
      <c r="G75" s="333"/>
      <c r="H75" s="434"/>
      <c r="I75" s="333"/>
      <c r="J75" s="333"/>
      <c r="K75" s="432">
        <f>'Příjmy kapitol celkem'!G99-F55-SUM(F56:F66)-F68-F71</f>
        <v>168221.90823997557</v>
      </c>
      <c r="L75" s="432"/>
      <c r="M75" s="333"/>
      <c r="N75" s="333"/>
      <c r="O75" s="333"/>
      <c r="P75" s="322"/>
      <c r="Q75" s="432"/>
      <c r="R75" s="333"/>
      <c r="S75" s="322">
        <f>+S66+S58+S44+S35+S34+S22+S16</f>
        <v>34570000</v>
      </c>
      <c r="T75" s="333"/>
      <c r="U75" s="333"/>
      <c r="V75" s="333"/>
      <c r="W75" s="333"/>
      <c r="X75" s="333"/>
      <c r="Y75" s="333"/>
      <c r="Z75" s="333"/>
      <c r="AA75" s="333"/>
      <c r="AB75" s="333"/>
      <c r="AC75" s="322"/>
      <c r="AD75" s="322"/>
      <c r="AE75" s="333"/>
      <c r="AF75" s="322"/>
      <c r="AG75" s="322"/>
      <c r="AH75" s="333"/>
      <c r="AI75" s="322"/>
      <c r="AJ75" s="322"/>
      <c r="AK75" s="333"/>
      <c r="AL75" s="333"/>
      <c r="AM75" s="333"/>
      <c r="AN75" s="333"/>
      <c r="AO75" s="322"/>
      <c r="AP75" s="322"/>
      <c r="AQ75" s="333"/>
      <c r="AR75" s="322"/>
      <c r="AS75" s="322"/>
      <c r="AT75" s="333"/>
      <c r="AU75" s="322"/>
      <c r="AV75" s="322"/>
      <c r="AW75" s="333"/>
      <c r="AX75" s="322"/>
      <c r="AY75" s="322"/>
      <c r="AZ75" s="333"/>
      <c r="BA75" s="322"/>
      <c r="BB75" s="322"/>
      <c r="BC75" s="333"/>
      <c r="BD75" s="322"/>
      <c r="BE75" s="322"/>
      <c r="BF75" s="333"/>
      <c r="BG75" s="322"/>
      <c r="BH75" s="322"/>
      <c r="BI75" s="333"/>
      <c r="BJ75" s="322"/>
      <c r="BK75" s="322"/>
      <c r="BL75" s="333"/>
      <c r="BM75" s="322"/>
      <c r="BN75" s="322"/>
      <c r="BO75" s="333"/>
      <c r="BP75" s="322"/>
      <c r="BQ75" s="322"/>
      <c r="BR75" s="333"/>
      <c r="BS75" s="322"/>
      <c r="BT75" s="322"/>
      <c r="BU75" s="333"/>
      <c r="BV75" s="333"/>
      <c r="BW75" s="322"/>
      <c r="BX75" s="322"/>
      <c r="BY75" s="333"/>
      <c r="BZ75" s="333"/>
      <c r="CA75" s="322"/>
      <c r="CB75" s="322"/>
      <c r="CC75" s="333"/>
      <c r="CD75" s="322"/>
      <c r="CE75" s="322"/>
      <c r="CF75" s="333"/>
      <c r="CG75" s="333"/>
      <c r="CH75" s="322"/>
      <c r="CI75" s="322"/>
      <c r="CJ75" s="333"/>
      <c r="CK75" s="322"/>
      <c r="CL75" s="322"/>
      <c r="CM75" s="333"/>
      <c r="CN75" s="322"/>
      <c r="CO75" s="322"/>
      <c r="CP75" s="333"/>
      <c r="CQ75" s="322"/>
      <c r="CR75" s="322"/>
      <c r="CS75" s="333"/>
      <c r="CT75" s="322"/>
      <c r="CU75" s="322"/>
      <c r="CV75" s="333"/>
      <c r="CW75" s="333"/>
      <c r="CX75" s="322"/>
      <c r="CY75" s="322"/>
      <c r="CZ75" s="333"/>
      <c r="DA75" s="322"/>
      <c r="DB75" s="322"/>
      <c r="DC75" s="333"/>
      <c r="DD75" s="322"/>
      <c r="DE75" s="322"/>
      <c r="DF75" s="333"/>
      <c r="DG75" s="333"/>
      <c r="DH75" s="322"/>
      <c r="DI75" s="322"/>
      <c r="DJ75" s="322"/>
      <c r="DK75" s="333"/>
      <c r="DL75" s="333"/>
      <c r="DM75" s="333"/>
      <c r="DN75" s="333"/>
      <c r="DO75" s="333"/>
      <c r="DP75" s="333"/>
      <c r="DQ75" s="333"/>
      <c r="DR75" s="333"/>
      <c r="DS75" s="322"/>
      <c r="DT75" s="322"/>
      <c r="DU75" s="333"/>
      <c r="DV75" s="333"/>
      <c r="DW75" s="333"/>
      <c r="DX75" s="109"/>
      <c r="DY75" s="341"/>
      <c r="DZ75" s="342"/>
      <c r="EA75" s="308"/>
    </row>
    <row r="76" spans="1:133" x14ac:dyDescent="0.25">
      <c r="A76" s="433"/>
      <c r="B76" s="275"/>
      <c r="C76" s="275"/>
      <c r="D76" s="2158"/>
      <c r="E76" s="2158"/>
      <c r="F76" s="333"/>
      <c r="G76" s="434"/>
      <c r="H76" s="434"/>
      <c r="I76" s="434"/>
      <c r="J76" s="434"/>
      <c r="K76" s="434"/>
      <c r="L76" s="434"/>
      <c r="M76" s="434"/>
      <c r="N76" s="434"/>
      <c r="O76" s="434"/>
      <c r="P76" s="435"/>
      <c r="Q76" s="436" t="s">
        <v>641</v>
      </c>
      <c r="R76" s="434"/>
      <c r="S76" s="436">
        <f>+S75/12</f>
        <v>2880833.3333333335</v>
      </c>
      <c r="T76" s="434"/>
      <c r="U76" s="434"/>
      <c r="V76" s="434"/>
      <c r="W76" s="434"/>
      <c r="X76" s="434"/>
      <c r="Y76" s="434"/>
      <c r="Z76" s="434"/>
      <c r="AA76" s="434"/>
      <c r="AB76" s="434"/>
      <c r="AC76" s="435"/>
      <c r="AD76" s="435"/>
      <c r="AE76" s="434"/>
      <c r="AF76" s="435"/>
      <c r="AG76" s="435"/>
      <c r="AH76" s="434"/>
      <c r="AI76" s="435"/>
      <c r="AJ76" s="435"/>
      <c r="AK76" s="434"/>
      <c r="AL76" s="434"/>
      <c r="AM76" s="434"/>
      <c r="AN76" s="434"/>
      <c r="AO76" s="435"/>
      <c r="AP76" s="435"/>
      <c r="AQ76" s="434"/>
      <c r="AR76" s="435"/>
      <c r="AS76" s="435"/>
      <c r="AT76" s="434"/>
      <c r="AU76" s="435"/>
      <c r="AV76" s="435"/>
      <c r="AW76" s="434"/>
      <c r="AX76" s="435"/>
      <c r="AY76" s="435"/>
      <c r="AZ76" s="434"/>
      <c r="BA76" s="435"/>
      <c r="BB76" s="435"/>
      <c r="BC76" s="434"/>
      <c r="BD76" s="435"/>
      <c r="BE76" s="435"/>
      <c r="BF76" s="434"/>
      <c r="BG76" s="435"/>
      <c r="BH76" s="435"/>
      <c r="BI76" s="434"/>
      <c r="BJ76" s="435"/>
      <c r="BK76" s="435"/>
      <c r="BL76" s="434"/>
      <c r="BM76" s="435"/>
      <c r="BN76" s="435"/>
      <c r="BO76" s="434"/>
      <c r="BP76" s="435"/>
      <c r="BQ76" s="435"/>
      <c r="BR76" s="434"/>
      <c r="BS76" s="435"/>
      <c r="BT76" s="435"/>
      <c r="BU76" s="434"/>
      <c r="BV76" s="434"/>
      <c r="BW76" s="435"/>
      <c r="BX76" s="435"/>
      <c r="BY76" s="434"/>
      <c r="BZ76" s="434"/>
      <c r="CA76" s="435"/>
      <c r="CB76" s="435"/>
      <c r="CC76" s="434"/>
      <c r="CD76" s="435"/>
      <c r="CE76" s="435"/>
      <c r="CF76" s="434"/>
      <c r="CG76" s="434"/>
      <c r="CH76" s="435"/>
      <c r="CI76" s="435"/>
      <c r="CJ76" s="434"/>
      <c r="CK76" s="435"/>
      <c r="CL76" s="435"/>
      <c r="CM76" s="434"/>
      <c r="CN76" s="435"/>
      <c r="CO76" s="435"/>
      <c r="CP76" s="434"/>
      <c r="CQ76" s="435"/>
      <c r="CR76" s="435"/>
      <c r="CS76" s="434"/>
      <c r="CT76" s="435"/>
      <c r="CU76" s="435"/>
      <c r="CV76" s="434"/>
      <c r="CW76" s="434"/>
      <c r="CX76" s="435"/>
      <c r="CY76" s="435"/>
      <c r="CZ76" s="434"/>
      <c r="DA76" s="435"/>
      <c r="DB76" s="435"/>
      <c r="DC76" s="434"/>
      <c r="DD76" s="435"/>
      <c r="DE76" s="435"/>
      <c r="DF76" s="434"/>
      <c r="DG76" s="434"/>
      <c r="DH76" s="435"/>
      <c r="DI76" s="435"/>
      <c r="DJ76" s="435"/>
      <c r="DK76" s="434"/>
      <c r="DL76" s="434"/>
      <c r="DM76" s="434"/>
      <c r="DN76" s="434"/>
      <c r="DO76" s="434"/>
      <c r="DP76" s="434"/>
      <c r="DQ76" s="434"/>
      <c r="DR76" s="434"/>
      <c r="DS76" s="435"/>
      <c r="DT76" s="435"/>
      <c r="DU76" s="434"/>
      <c r="DV76" s="434"/>
      <c r="DW76" s="434"/>
      <c r="DX76" s="109"/>
      <c r="DY76" s="341"/>
      <c r="DZ76" s="342"/>
      <c r="EA76" s="338"/>
    </row>
    <row r="77" spans="1:133" x14ac:dyDescent="0.25">
      <c r="A77" s="319" t="s">
        <v>546</v>
      </c>
      <c r="B77" s="275"/>
      <c r="C77" s="275"/>
      <c r="D77" s="275"/>
      <c r="E77" s="275"/>
      <c r="F77" s="333"/>
      <c r="Q77" s="330" t="s">
        <v>313</v>
      </c>
      <c r="S77" s="327"/>
    </row>
    <row r="78" spans="1:133" x14ac:dyDescent="0.25">
      <c r="G78" s="332"/>
      <c r="H78" s="332"/>
      <c r="I78" s="332"/>
      <c r="J78" s="332"/>
      <c r="K78" s="327"/>
      <c r="L78" s="327"/>
      <c r="Q78" s="330"/>
      <c r="S78" s="327"/>
    </row>
    <row r="79" spans="1:133" x14ac:dyDescent="0.25">
      <c r="Q79" s="330"/>
      <c r="S79" s="327"/>
    </row>
    <row r="80" spans="1:133" x14ac:dyDescent="0.25">
      <c r="Q80" s="330" t="s">
        <v>690</v>
      </c>
      <c r="S80" s="327"/>
    </row>
    <row r="81" spans="19:19" x14ac:dyDescent="0.25">
      <c r="S81" s="437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4" width="16" style="324" customWidth="1" outlineLevel="4"/>
    <col min="5" max="5" width="16.7109375" style="337" customWidth="1"/>
    <col min="6" max="6" width="12.42578125" style="326" bestFit="1" customWidth="1"/>
    <col min="7" max="11" width="15.140625" style="326" customWidth="1"/>
    <col min="12" max="12" width="12.42578125" style="326" customWidth="1"/>
    <col min="13" max="13" width="15.85546875" style="326" bestFit="1" customWidth="1"/>
    <col min="14" max="14" width="17.28515625" style="327" customWidth="1" outlineLevel="1"/>
    <col min="15" max="15" width="8.7109375" style="327" bestFit="1" customWidth="1" outlineLevel="1"/>
    <col min="16" max="23" width="15.140625" style="326" customWidth="1"/>
    <col min="24" max="24" width="10.7109375" style="326" customWidth="1"/>
    <col min="25" max="25" width="13.7109375" style="326" customWidth="1"/>
    <col min="26" max="26" width="14.7109375" style="326" bestFit="1" customWidth="1"/>
    <col min="27" max="27" width="14.7109375" style="327" bestFit="1" customWidth="1" outlineLevel="1"/>
    <col min="28" max="28" width="8.5703125" style="327" bestFit="1" customWidth="1" outlineLevel="1"/>
    <col min="29" max="29" width="13.7109375" style="326" customWidth="1"/>
    <col min="30" max="30" width="13.42578125" style="327" customWidth="1" outlineLevel="1"/>
    <col min="31" max="31" width="9.85546875" style="327" customWidth="1" outlineLevel="1"/>
    <col min="32" max="32" width="14.28515625" style="326" customWidth="1"/>
    <col min="33" max="33" width="13.5703125" style="327" customWidth="1" outlineLevel="1"/>
    <col min="34" max="34" width="8.28515625" style="327" customWidth="1" outlineLevel="1"/>
    <col min="35" max="35" width="15.7109375" style="326" customWidth="1"/>
    <col min="36" max="36" width="12.140625" style="326" customWidth="1"/>
    <col min="37" max="37" width="7.85546875" style="326" bestFit="1" customWidth="1"/>
    <col min="38" max="38" width="13.5703125" style="326" bestFit="1" customWidth="1"/>
    <col min="39" max="39" width="13.5703125" style="327" bestFit="1" customWidth="1" outlineLevel="1"/>
    <col min="40" max="40" width="8.7109375" style="327" bestFit="1" customWidth="1" outlineLevel="1"/>
    <col min="41" max="41" width="13.85546875" style="326" customWidth="1"/>
    <col min="42" max="42" width="12.42578125" style="327" bestFit="1" customWidth="1" outlineLevel="1"/>
    <col min="43" max="43" width="8.5703125" style="327" bestFit="1" customWidth="1" outlineLevel="1"/>
    <col min="44" max="44" width="13" style="326" customWidth="1"/>
    <col min="45" max="45" width="13" style="327" customWidth="1" outlineLevel="1"/>
    <col min="46" max="46" width="11.140625" style="327" customWidth="1" outlineLevel="1"/>
    <col min="47" max="47" width="13.5703125" style="326" customWidth="1"/>
    <col min="48" max="48" width="13" style="327" customWidth="1" outlineLevel="1"/>
    <col min="49" max="49" width="8.5703125" style="327" bestFit="1" customWidth="1" outlineLevel="1"/>
    <col min="50" max="50" width="14" style="326" customWidth="1"/>
    <col min="51" max="51" width="13.85546875" style="327" customWidth="1" outlineLevel="1"/>
    <col min="52" max="52" width="10.5703125" style="327" customWidth="1" outlineLevel="1"/>
    <col min="53" max="53" width="12.42578125" style="326" bestFit="1" customWidth="1"/>
    <col min="54" max="54" width="12.42578125" style="327" bestFit="1" customWidth="1" outlineLevel="1"/>
    <col min="55" max="55" width="11.140625" style="327" customWidth="1" outlineLevel="1"/>
    <col min="56" max="56" width="12.140625" style="326" customWidth="1"/>
    <col min="57" max="57" width="12.28515625" style="327" customWidth="1" outlineLevel="1"/>
    <col min="58" max="58" width="11.140625" style="327" customWidth="1" outlineLevel="1"/>
    <col min="59" max="59" width="11.140625" style="326" customWidth="1"/>
    <col min="60" max="60" width="10.85546875" style="327" bestFit="1" customWidth="1" outlineLevel="1"/>
    <col min="61" max="61" width="7.85546875" style="327" customWidth="1" outlineLevel="1"/>
    <col min="62" max="62" width="11.85546875" style="326" bestFit="1" customWidth="1"/>
    <col min="63" max="63" width="10" style="327" bestFit="1" customWidth="1" outlineLevel="1"/>
    <col min="64" max="64" width="8.7109375" style="327" bestFit="1" customWidth="1" outlineLevel="1"/>
    <col min="65" max="65" width="12.42578125" style="326" bestFit="1" customWidth="1"/>
    <col min="66" max="66" width="12.42578125" style="327" bestFit="1" customWidth="1" outlineLevel="1"/>
    <col min="67" max="67" width="10.85546875" style="327" customWidth="1" outlineLevel="1"/>
    <col min="68" max="68" width="9.7109375" style="326" bestFit="1" customWidth="1"/>
    <col min="69" max="69" width="8.5703125" style="327" bestFit="1" customWidth="1" outlineLevel="1"/>
    <col min="70" max="70" width="9.28515625" style="327" customWidth="1" outlineLevel="1"/>
    <col min="71" max="71" width="14.140625" style="326" bestFit="1" customWidth="1"/>
    <col min="72" max="72" width="13.42578125" style="326" customWidth="1"/>
    <col min="73" max="73" width="13.7109375" style="327" bestFit="1" customWidth="1" outlineLevel="1"/>
    <col min="74" max="74" width="10.140625" style="327" customWidth="1" outlineLevel="1"/>
    <col min="75" max="75" width="10.42578125" style="326" customWidth="1"/>
    <col min="76" max="76" width="15" style="326" customWidth="1"/>
    <col min="77" max="77" width="14.28515625" style="327" customWidth="1" outlineLevel="1"/>
    <col min="78" max="78" width="11.140625" style="327" customWidth="1" outlineLevel="1"/>
    <col min="79" max="79" width="14.5703125" style="326" customWidth="1"/>
    <col min="80" max="80" width="14.42578125" style="327" customWidth="1" outlineLevel="1"/>
    <col min="81" max="81" width="10.85546875" style="327" bestFit="1" customWidth="1" outlineLevel="1"/>
    <col min="82" max="82" width="13.5703125" style="326" customWidth="1"/>
    <col min="83" max="83" width="12.7109375" style="326" customWidth="1"/>
    <col min="84" max="84" width="12.42578125" style="327" bestFit="1" customWidth="1" outlineLevel="2"/>
    <col min="85" max="85" width="8.5703125" style="327" bestFit="1" customWidth="1" outlineLevel="2"/>
    <col min="86" max="86" width="14.140625" style="326" bestFit="1" customWidth="1"/>
    <col min="87" max="87" width="12.42578125" style="327" bestFit="1" customWidth="1" outlineLevel="2"/>
    <col min="88" max="88" width="8.140625" style="327" customWidth="1" outlineLevel="2"/>
    <col min="89" max="89" width="15.5703125" style="326" customWidth="1"/>
    <col min="90" max="90" width="13" style="327" customWidth="1" outlineLevel="2"/>
    <col min="91" max="91" width="9.42578125" style="327" customWidth="1" outlineLevel="2"/>
    <col min="92" max="92" width="12.85546875" style="326" customWidth="1"/>
    <col min="93" max="93" width="12.42578125" style="327" bestFit="1" customWidth="1" outlineLevel="2"/>
    <col min="94" max="94" width="10.28515625" style="327" customWidth="1" outlineLevel="2"/>
    <col min="95" max="95" width="19.85546875" style="326" bestFit="1" customWidth="1"/>
    <col min="96" max="96" width="10" style="327" bestFit="1" customWidth="1" outlineLevel="1"/>
    <col min="97" max="97" width="9.85546875" style="327" customWidth="1" outlineLevel="1"/>
    <col min="98" max="98" width="14.140625" style="326" bestFit="1" customWidth="1"/>
    <col min="99" max="99" width="13.140625" style="326" bestFit="1" customWidth="1"/>
    <col min="100" max="100" width="11.140625" style="327" customWidth="1" outlineLevel="1"/>
    <col min="101" max="101" width="12.42578125" style="327" bestFit="1" customWidth="1" outlineLevel="1"/>
    <col min="102" max="102" width="13.140625" style="326" bestFit="1" customWidth="1"/>
    <col min="103" max="103" width="12" style="327" customWidth="1" outlineLevel="1"/>
    <col min="104" max="104" width="11" style="327" customWidth="1" outlineLevel="1"/>
    <col min="105" max="105" width="19.85546875" style="326" bestFit="1" customWidth="1"/>
    <col min="106" max="106" width="9.5703125" style="327" customWidth="1" outlineLevel="1"/>
    <col min="107" max="107" width="9.140625" style="327" customWidth="1" outlineLevel="1"/>
    <col min="108" max="108" width="15.28515625" style="326" bestFit="1" customWidth="1"/>
    <col min="109" max="109" width="14.42578125" style="326" customWidth="1"/>
    <col min="110" max="110" width="12.42578125" style="327" bestFit="1" customWidth="1" outlineLevel="1"/>
    <col min="111" max="111" width="8" style="327" customWidth="1" outlineLevel="1"/>
    <col min="112" max="112" width="12.42578125" style="327" bestFit="1" customWidth="1" outlineLevel="1"/>
    <col min="113" max="113" width="10" style="326" bestFit="1" customWidth="1"/>
    <col min="114" max="114" width="10.85546875" style="326" bestFit="1" customWidth="1"/>
    <col min="115" max="115" width="13.140625" style="326" bestFit="1" customWidth="1"/>
    <col min="116" max="116" width="10.85546875" style="326" bestFit="1" customWidth="1"/>
    <col min="117" max="117" width="11.85546875" style="326" bestFit="1" customWidth="1"/>
    <col min="118" max="118" width="14.140625" style="326" bestFit="1" customWidth="1"/>
    <col min="119" max="119" width="8.5703125" style="326" bestFit="1" customWidth="1"/>
    <col min="120" max="120" width="17.7109375" style="326" customWidth="1"/>
    <col min="121" max="121" width="10.85546875" style="327" bestFit="1" customWidth="1" outlineLevel="1"/>
    <col min="122" max="122" width="11.42578125" style="327" customWidth="1" outlineLevel="1"/>
    <col min="123" max="123" width="10.85546875" style="326" bestFit="1" customWidth="1"/>
    <col min="124" max="124" width="13.140625" style="326" bestFit="1" customWidth="1"/>
    <col min="125" max="125" width="10.42578125" style="326" customWidth="1"/>
    <col min="126" max="126" width="13.7109375" style="324" customWidth="1"/>
    <col min="127" max="127" width="5.140625" style="438" bestFit="1" customWidth="1"/>
    <col min="128" max="128" width="16.140625" style="439" bestFit="1" customWidth="1"/>
    <col min="129" max="129" width="14.28515625" style="326" customWidth="1"/>
    <col min="130" max="130" width="9.140625" style="324"/>
    <col min="131" max="131" width="10.85546875" style="324" bestFit="1" customWidth="1"/>
    <col min="132" max="134" width="9.140625" style="324"/>
    <col min="135" max="135" width="9.85546875" style="324" bestFit="1" customWidth="1"/>
    <col min="136" max="16384" width="9.140625" style="324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2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2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25">
      <c r="A4" s="189" t="s">
        <v>1591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.25" thickBot="1" x14ac:dyDescent="0.3">
      <c r="A5" s="344" t="s">
        <v>187</v>
      </c>
      <c r="B5" s="109"/>
      <c r="C5" s="109"/>
      <c r="D5" s="109"/>
      <c r="E5" s="345"/>
      <c r="F5" s="346">
        <f>+F14-'Výdaje kapitol celkem'!G14</f>
        <v>0</v>
      </c>
      <c r="G5" s="346">
        <f>+G14-'Výdaje kapitol celkem'!H14</f>
        <v>0</v>
      </c>
      <c r="H5" s="346">
        <f>+H14-'Výdaje kapitol celkem'!I14</f>
        <v>0</v>
      </c>
      <c r="I5" s="346">
        <f>+I14-'Výdaje kapitol celkem'!J14</f>
        <v>0</v>
      </c>
      <c r="J5" s="346">
        <f>+J14-'Výdaje kapitol celkem'!K14</f>
        <v>0</v>
      </c>
      <c r="K5" s="346">
        <f>+K14-'Výdaje kapitol celkem'!M14</f>
        <v>0</v>
      </c>
      <c r="L5" s="346">
        <f>+L14-'Výdaje kapitol celkem'!N14</f>
        <v>0</v>
      </c>
      <c r="M5" s="346">
        <f>+M14-'Výdaje kapitol celkem'!O14</f>
        <v>0</v>
      </c>
      <c r="N5" s="346">
        <f>+N14-'Výdaje kapitol celkem'!P14</f>
        <v>0</v>
      </c>
      <c r="O5" s="346">
        <f>+O14-'Výdaje kapitol celkem'!Q14</f>
        <v>0</v>
      </c>
      <c r="P5" s="346">
        <f>+P14-'Výdaje kapitol celkem'!R14</f>
        <v>0</v>
      </c>
      <c r="Q5" s="346">
        <f>+Q14-'Výdaje kapitol celkem'!S14</f>
        <v>0</v>
      </c>
      <c r="R5" s="346">
        <f>+R14-'Výdaje kapitol celkem'!T14</f>
        <v>0</v>
      </c>
      <c r="S5" s="346">
        <f>+S14-'Výdaje kapitol celkem'!U14</f>
        <v>0</v>
      </c>
      <c r="T5" s="346">
        <f>+T14-'Výdaje kapitol celkem'!V14</f>
        <v>0</v>
      </c>
      <c r="U5" s="346">
        <f>+U14-'Výdaje kapitol celkem'!W14</f>
        <v>0</v>
      </c>
      <c r="V5" s="346">
        <f>+V14-'Výdaje kapitol celkem'!X14</f>
        <v>0</v>
      </c>
      <c r="W5" s="346">
        <f>+W14-'Výdaje kapitol celkem'!Y14</f>
        <v>0</v>
      </c>
      <c r="X5" s="346">
        <f>+X14-'Výdaje kapitol celkem'!Z14</f>
        <v>0</v>
      </c>
      <c r="Y5" s="346">
        <f>+Y14-'Výdaje kapitol celkem'!AA14</f>
        <v>0</v>
      </c>
      <c r="Z5" s="346">
        <f>+Z14-'Výdaje kapitol celkem'!AB14</f>
        <v>0</v>
      </c>
      <c r="AA5" s="346">
        <f>+AA14-'Výdaje kapitol celkem'!AC14</f>
        <v>0</v>
      </c>
      <c r="AB5" s="346">
        <f>+AB14-'Výdaje kapitol celkem'!AD14</f>
        <v>0</v>
      </c>
      <c r="AC5" s="346">
        <f>+AC14-'Výdaje kapitol celkem'!AE14</f>
        <v>0</v>
      </c>
      <c r="AD5" s="346">
        <f>+AD14-'Výdaje kapitol celkem'!AF14</f>
        <v>0</v>
      </c>
      <c r="AE5" s="346">
        <f>+AE14-'Výdaje kapitol celkem'!AG14</f>
        <v>0</v>
      </c>
      <c r="AF5" s="346">
        <f>+AF14-'Výdaje kapitol celkem'!AH14</f>
        <v>0</v>
      </c>
      <c r="AG5" s="346">
        <f>+AG14-'Výdaje kapitol celkem'!AI14</f>
        <v>0</v>
      </c>
      <c r="AH5" s="346">
        <f>+AH14-'Výdaje kapitol celkem'!AJ14</f>
        <v>0</v>
      </c>
      <c r="AI5" s="346">
        <f>+AI14-'Výdaje kapitol celkem'!AK14</f>
        <v>0</v>
      </c>
      <c r="AJ5" s="346">
        <f>+AJ14-'Výdaje kapitol celkem'!AL14</f>
        <v>0</v>
      </c>
      <c r="AK5" s="346">
        <f>+AK14-'Výdaje kapitol celkem'!AM14</f>
        <v>0</v>
      </c>
      <c r="AL5" s="346">
        <f>+AL14-'Výdaje kapitol celkem'!AN14</f>
        <v>0</v>
      </c>
      <c r="AM5" s="346">
        <f>+AM14-'Výdaje kapitol celkem'!AO14</f>
        <v>0</v>
      </c>
      <c r="AN5" s="346">
        <f>+AN14-'Výdaje kapitol celkem'!AP14</f>
        <v>0</v>
      </c>
      <c r="AO5" s="346">
        <f>+AO14-'Výdaje kapitol celkem'!AQ14</f>
        <v>0</v>
      </c>
      <c r="AP5" s="346">
        <f>+AP14-'Výdaje kapitol celkem'!AR14</f>
        <v>0</v>
      </c>
      <c r="AQ5" s="346">
        <f>+AQ14-'Výdaje kapitol celkem'!AS14</f>
        <v>0</v>
      </c>
      <c r="AR5" s="346">
        <f>+AR14-'Výdaje kapitol celkem'!AT14</f>
        <v>0</v>
      </c>
      <c r="AS5" s="346">
        <f>+AS14-'Výdaje kapitol celkem'!AU14</f>
        <v>0</v>
      </c>
      <c r="AT5" s="346">
        <f>+AT14-'Výdaje kapitol celkem'!AV14</f>
        <v>0</v>
      </c>
      <c r="AU5" s="346">
        <f>+AU14-'Výdaje kapitol celkem'!AW14</f>
        <v>0</v>
      </c>
      <c r="AV5" s="346">
        <f>+AV14-'Výdaje kapitol celkem'!AX14</f>
        <v>0</v>
      </c>
      <c r="AW5" s="346">
        <f>+AW14-'Výdaje kapitol celkem'!AY14</f>
        <v>0</v>
      </c>
      <c r="AX5" s="346">
        <f>+AX14-'Výdaje kapitol celkem'!AZ14</f>
        <v>0</v>
      </c>
      <c r="AY5" s="346">
        <f>+AY14-'Výdaje kapitol celkem'!BA14</f>
        <v>0</v>
      </c>
      <c r="AZ5" s="346">
        <f>+AZ14-'Výdaje kapitol celkem'!BB14</f>
        <v>0</v>
      </c>
      <c r="BA5" s="346">
        <f>+BA14-'Výdaje kapitol celkem'!BC14</f>
        <v>0</v>
      </c>
      <c r="BB5" s="346">
        <f>+BB14-'Výdaje kapitol celkem'!BD14</f>
        <v>0</v>
      </c>
      <c r="BC5" s="346">
        <f>+BC14-'Výdaje kapitol celkem'!BE14</f>
        <v>0</v>
      </c>
      <c r="BD5" s="346">
        <f>+BD14-'Výdaje kapitol celkem'!BF14</f>
        <v>0</v>
      </c>
      <c r="BE5" s="346">
        <f>+BE14-'Výdaje kapitol celkem'!BG14</f>
        <v>0</v>
      </c>
      <c r="BF5" s="346">
        <f>+BF14-'Výdaje kapitol celkem'!BH14</f>
        <v>0</v>
      </c>
      <c r="BG5" s="346">
        <f>+BG14-'Výdaje kapitol celkem'!BI14</f>
        <v>0</v>
      </c>
      <c r="BH5" s="346">
        <f>+BH14-'Výdaje kapitol celkem'!BJ14</f>
        <v>0</v>
      </c>
      <c r="BI5" s="346">
        <f>+BI14-'Výdaje kapitol celkem'!BK14</f>
        <v>0</v>
      </c>
      <c r="BJ5" s="346">
        <f>+BJ14-'Výdaje kapitol celkem'!BL14</f>
        <v>0</v>
      </c>
      <c r="BK5" s="346">
        <f>+BK14-'Výdaje kapitol celkem'!BM14</f>
        <v>0</v>
      </c>
      <c r="BL5" s="346">
        <f>+BL14-'Výdaje kapitol celkem'!BN14</f>
        <v>0</v>
      </c>
      <c r="BM5" s="346">
        <f>+BM14-'Výdaje kapitol celkem'!BO14</f>
        <v>0</v>
      </c>
      <c r="BN5" s="346">
        <f>+BN14-'Výdaje kapitol celkem'!BP14</f>
        <v>0</v>
      </c>
      <c r="BO5" s="346">
        <f>+BO14-'Výdaje kapitol celkem'!BQ14</f>
        <v>0</v>
      </c>
      <c r="BP5" s="346">
        <f>+BP14-'Výdaje kapitol celkem'!BR14</f>
        <v>0</v>
      </c>
      <c r="BQ5" s="346">
        <f>+BQ14-'Výdaje kapitol celkem'!BS14</f>
        <v>0</v>
      </c>
      <c r="BR5" s="346">
        <f>+BR14-'Výdaje kapitol celkem'!BT14</f>
        <v>0</v>
      </c>
      <c r="BS5" s="346">
        <f>+BS14-'Výdaje kapitol celkem'!BU14</f>
        <v>0</v>
      </c>
      <c r="BT5" s="346">
        <f>+BT14-'Výdaje kapitol celkem'!BV14</f>
        <v>0</v>
      </c>
      <c r="BU5" s="346">
        <f>+BU14-'Výdaje kapitol celkem'!BW14</f>
        <v>0</v>
      </c>
      <c r="BV5" s="346">
        <f>+BV14-'Výdaje kapitol celkem'!BX14</f>
        <v>0</v>
      </c>
      <c r="BW5" s="346">
        <f>+BW14-'Výdaje kapitol celkem'!BY14</f>
        <v>0</v>
      </c>
      <c r="BX5" s="346">
        <f>+BX14-'Výdaje kapitol celkem'!BZ14</f>
        <v>0</v>
      </c>
      <c r="BY5" s="346">
        <f>+BY14-'Výdaje kapitol celkem'!CA14</f>
        <v>0</v>
      </c>
      <c r="BZ5" s="346">
        <f>+BZ14-'Výdaje kapitol celkem'!CB14</f>
        <v>0</v>
      </c>
      <c r="CA5" s="346">
        <f>+CA14-'Výdaje kapitol celkem'!CC14</f>
        <v>0</v>
      </c>
      <c r="CB5" s="346">
        <f>+CB14-'Výdaje kapitol celkem'!CD14</f>
        <v>0</v>
      </c>
      <c r="CC5" s="346">
        <f>+CC14-'Výdaje kapitol celkem'!CE14</f>
        <v>0</v>
      </c>
      <c r="CD5" s="346">
        <f>+CD14-'Výdaje kapitol celkem'!CF14</f>
        <v>0</v>
      </c>
      <c r="CE5" s="346">
        <f>+CE14-'Výdaje kapitol celkem'!CG14</f>
        <v>0</v>
      </c>
      <c r="CF5" s="346">
        <f>+CF14-'Výdaje kapitol celkem'!CH14</f>
        <v>0</v>
      </c>
      <c r="CG5" s="346">
        <f>+CG14-'Výdaje kapitol celkem'!CI14</f>
        <v>0</v>
      </c>
      <c r="CH5" s="346">
        <f>+CH14-'Výdaje kapitol celkem'!CJ14</f>
        <v>0</v>
      </c>
      <c r="CI5" s="346">
        <f>+CI14-'Výdaje kapitol celkem'!CK14</f>
        <v>0</v>
      </c>
      <c r="CJ5" s="346">
        <f>+CJ14-'Výdaje kapitol celkem'!CL14</f>
        <v>0</v>
      </c>
      <c r="CK5" s="346">
        <f>+CK14-'Výdaje kapitol celkem'!CM14</f>
        <v>0</v>
      </c>
      <c r="CL5" s="346">
        <f>+CL14-'Výdaje kapitol celkem'!CN14</f>
        <v>0</v>
      </c>
      <c r="CM5" s="346">
        <f>+CM14-'Výdaje kapitol celkem'!CO14</f>
        <v>0</v>
      </c>
      <c r="CN5" s="346">
        <f>+CN14-'Výdaje kapitol celkem'!CP14</f>
        <v>0</v>
      </c>
      <c r="CO5" s="346">
        <f>+CO14-'Výdaje kapitol celkem'!CQ14</f>
        <v>0</v>
      </c>
      <c r="CP5" s="346">
        <f>+CP14-'Výdaje kapitol celkem'!CR14</f>
        <v>0</v>
      </c>
      <c r="CQ5" s="346">
        <f>+CQ14-'Výdaje kapitol celkem'!CS14</f>
        <v>0</v>
      </c>
      <c r="CR5" s="346">
        <f>+CR14-'Výdaje kapitol celkem'!CT14</f>
        <v>0</v>
      </c>
      <c r="CS5" s="346">
        <f>+CS14-'Výdaje kapitol celkem'!CU14</f>
        <v>0</v>
      </c>
      <c r="CT5" s="346">
        <f>+CT14-'Výdaje kapitol celkem'!CV14</f>
        <v>0</v>
      </c>
      <c r="CU5" s="346">
        <f>+CU14-'Výdaje kapitol celkem'!CW14</f>
        <v>0</v>
      </c>
      <c r="CV5" s="346">
        <f>+CV14-'Výdaje kapitol celkem'!CX14</f>
        <v>0</v>
      </c>
      <c r="CW5" s="346">
        <f>+CW14-'Výdaje kapitol celkem'!CY14</f>
        <v>0</v>
      </c>
      <c r="CX5" s="346">
        <f>+CX14-'Výdaje kapitol celkem'!CZ14</f>
        <v>0</v>
      </c>
      <c r="CY5" s="346">
        <f>+CY14-'Výdaje kapitol celkem'!DA14</f>
        <v>0</v>
      </c>
      <c r="CZ5" s="346">
        <f>+CZ14-'Výdaje kapitol celkem'!DB14</f>
        <v>0</v>
      </c>
      <c r="DA5" s="346">
        <f>+DA14-'Výdaje kapitol celkem'!DC14</f>
        <v>0</v>
      </c>
      <c r="DB5" s="346">
        <f>+DB14-'Výdaje kapitol celkem'!DD14</f>
        <v>0</v>
      </c>
      <c r="DC5" s="346">
        <f>+DC14-'Výdaje kapitol celkem'!DE14</f>
        <v>0</v>
      </c>
      <c r="DD5" s="346">
        <f>+DD14-'Výdaje kapitol celkem'!DF14</f>
        <v>0</v>
      </c>
      <c r="DE5" s="346">
        <f>+DE14-'Výdaje kapitol celkem'!DG14</f>
        <v>0</v>
      </c>
      <c r="DF5" s="346">
        <f>+DF14-'Výdaje kapitol celkem'!DH14</f>
        <v>0</v>
      </c>
      <c r="DG5" s="346">
        <f>+DG14-'Výdaje kapitol celkem'!DI14</f>
        <v>0</v>
      </c>
      <c r="DH5" s="346">
        <f>+DH14-'Výdaje kapitol celkem'!DJ14</f>
        <v>0</v>
      </c>
      <c r="DI5" s="346">
        <f>+DI14-'Výdaje kapitol celkem'!DK14</f>
        <v>0</v>
      </c>
      <c r="DJ5" s="346">
        <f>+DJ14-'Výdaje kapitol celkem'!DL14</f>
        <v>0</v>
      </c>
      <c r="DK5" s="346">
        <f>+DK14-'Výdaje kapitol celkem'!DM14</f>
        <v>0</v>
      </c>
      <c r="DL5" s="346">
        <f>+DL14-'Výdaje kapitol celkem'!DN14</f>
        <v>0</v>
      </c>
      <c r="DM5" s="346">
        <f>+DM14-'Výdaje kapitol celkem'!DO14</f>
        <v>0</v>
      </c>
      <c r="DN5" s="346">
        <f>+DN14-'Výdaje kapitol celkem'!DP14</f>
        <v>0</v>
      </c>
      <c r="DO5" s="346">
        <f>+DO14-'Výdaje kapitol celkem'!DQ14</f>
        <v>0</v>
      </c>
      <c r="DP5" s="346">
        <f>+DP14-'Výdaje kapitol celkem'!DR14</f>
        <v>0</v>
      </c>
      <c r="DQ5" s="346">
        <f>+DQ14-'Výdaje kapitol celkem'!DS14</f>
        <v>0</v>
      </c>
      <c r="DR5" s="346">
        <f>+DR14-'Výdaje kapitol celkem'!DT14</f>
        <v>0</v>
      </c>
      <c r="DS5" s="346">
        <f>+DS14-'Výdaje kapitol celkem'!DU14</f>
        <v>0</v>
      </c>
      <c r="DT5" s="346">
        <f>+DT14-'Výdaje kapitol celkem'!DV14</f>
        <v>0</v>
      </c>
      <c r="DU5" s="346">
        <f>+DU14-'Výdaje kapitol celkem'!DW14</f>
        <v>0</v>
      </c>
      <c r="DV5" s="109"/>
      <c r="DW5" s="341"/>
      <c r="DX5" s="342"/>
      <c r="DY5" s="338" t="s">
        <v>709</v>
      </c>
    </row>
    <row r="6" spans="1:136" ht="39" customHeight="1" thickBot="1" x14ac:dyDescent="0.3">
      <c r="A6" s="347" t="s">
        <v>10</v>
      </c>
      <c r="B6" s="347" t="s">
        <v>0</v>
      </c>
      <c r="C6" s="348" t="s">
        <v>1170</v>
      </c>
      <c r="D6" s="348" t="s">
        <v>1470</v>
      </c>
      <c r="E6" s="348" t="s">
        <v>1576</v>
      </c>
      <c r="F6" s="349" t="s">
        <v>130</v>
      </c>
      <c r="G6" s="349" t="s">
        <v>131</v>
      </c>
      <c r="H6" s="349" t="s">
        <v>767</v>
      </c>
      <c r="I6" s="117" t="s">
        <v>1519</v>
      </c>
      <c r="J6" s="349" t="s">
        <v>132</v>
      </c>
      <c r="K6" s="349" t="s">
        <v>752</v>
      </c>
      <c r="L6" s="349" t="s">
        <v>877</v>
      </c>
      <c r="M6" s="349" t="s">
        <v>358</v>
      </c>
      <c r="N6" s="350" t="s">
        <v>1583</v>
      </c>
      <c r="O6" s="351" t="s">
        <v>249</v>
      </c>
      <c r="P6" s="349" t="s">
        <v>878</v>
      </c>
      <c r="Q6" s="352" t="s">
        <v>249</v>
      </c>
      <c r="R6" s="353" t="s">
        <v>133</v>
      </c>
      <c r="S6" s="349" t="s">
        <v>134</v>
      </c>
      <c r="T6" s="349" t="s">
        <v>135</v>
      </c>
      <c r="U6" s="349" t="s">
        <v>136</v>
      </c>
      <c r="V6" s="349" t="s">
        <v>1261</v>
      </c>
      <c r="W6" s="349" t="s">
        <v>192</v>
      </c>
      <c r="X6" s="349" t="s">
        <v>137</v>
      </c>
      <c r="Y6" s="349" t="s">
        <v>138</v>
      </c>
      <c r="Z6" s="349" t="s">
        <v>139</v>
      </c>
      <c r="AA6" s="350" t="s">
        <v>1582</v>
      </c>
      <c r="AB6" s="354" t="s">
        <v>249</v>
      </c>
      <c r="AC6" s="349" t="s">
        <v>140</v>
      </c>
      <c r="AD6" s="350" t="s">
        <v>1584</v>
      </c>
      <c r="AE6" s="354" t="s">
        <v>249</v>
      </c>
      <c r="AF6" s="349" t="s">
        <v>141</v>
      </c>
      <c r="AG6" s="350" t="s">
        <v>1582</v>
      </c>
      <c r="AH6" s="354" t="s">
        <v>249</v>
      </c>
      <c r="AI6" s="349" t="s">
        <v>142</v>
      </c>
      <c r="AJ6" s="349" t="s">
        <v>143</v>
      </c>
      <c r="AK6" s="349" t="s">
        <v>144</v>
      </c>
      <c r="AL6" s="349" t="s">
        <v>145</v>
      </c>
      <c r="AM6" s="350" t="s">
        <v>1584</v>
      </c>
      <c r="AN6" s="354" t="s">
        <v>249</v>
      </c>
      <c r="AO6" s="349" t="s">
        <v>295</v>
      </c>
      <c r="AP6" s="350" t="s">
        <v>882</v>
      </c>
      <c r="AQ6" s="354" t="s">
        <v>249</v>
      </c>
      <c r="AR6" s="349" t="s">
        <v>1185</v>
      </c>
      <c r="AS6" s="350" t="s">
        <v>1582</v>
      </c>
      <c r="AT6" s="354" t="s">
        <v>249</v>
      </c>
      <c r="AU6" s="349" t="s">
        <v>1186</v>
      </c>
      <c r="AV6" s="350" t="s">
        <v>1582</v>
      </c>
      <c r="AW6" s="354" t="s">
        <v>249</v>
      </c>
      <c r="AX6" s="349" t="s">
        <v>146</v>
      </c>
      <c r="AY6" s="350" t="s">
        <v>1582</v>
      </c>
      <c r="AZ6" s="354" t="s">
        <v>249</v>
      </c>
      <c r="BA6" s="349" t="s">
        <v>1551</v>
      </c>
      <c r="BB6" s="350" t="s">
        <v>1553</v>
      </c>
      <c r="BC6" s="354" t="s">
        <v>249</v>
      </c>
      <c r="BD6" s="349" t="s">
        <v>147</v>
      </c>
      <c r="BE6" s="350" t="s">
        <v>1585</v>
      </c>
      <c r="BF6" s="354" t="s">
        <v>249</v>
      </c>
      <c r="BG6" s="349" t="s">
        <v>148</v>
      </c>
      <c r="BH6" s="350" t="s">
        <v>1582</v>
      </c>
      <c r="BI6" s="354" t="s">
        <v>249</v>
      </c>
      <c r="BJ6" s="349" t="s">
        <v>717</v>
      </c>
      <c r="BK6" s="350" t="s">
        <v>882</v>
      </c>
      <c r="BL6" s="354" t="s">
        <v>249</v>
      </c>
      <c r="BM6" s="349" t="s">
        <v>149</v>
      </c>
      <c r="BN6" s="350" t="s">
        <v>1582</v>
      </c>
      <c r="BO6" s="354" t="s">
        <v>249</v>
      </c>
      <c r="BP6" s="349" t="s">
        <v>150</v>
      </c>
      <c r="BQ6" s="350" t="s">
        <v>1582</v>
      </c>
      <c r="BR6" s="354" t="s">
        <v>249</v>
      </c>
      <c r="BS6" s="349" t="s">
        <v>151</v>
      </c>
      <c r="BT6" s="349" t="s">
        <v>342</v>
      </c>
      <c r="BU6" s="350" t="s">
        <v>882</v>
      </c>
      <c r="BV6" s="354" t="s">
        <v>249</v>
      </c>
      <c r="BW6" s="349" t="s">
        <v>152</v>
      </c>
      <c r="BX6" s="349" t="s">
        <v>153</v>
      </c>
      <c r="BY6" s="350" t="s">
        <v>503</v>
      </c>
      <c r="BZ6" s="354" t="s">
        <v>249</v>
      </c>
      <c r="CA6" s="349" t="s">
        <v>154</v>
      </c>
      <c r="CB6" s="350" t="s">
        <v>1582</v>
      </c>
      <c r="CC6" s="354" t="s">
        <v>249</v>
      </c>
      <c r="CD6" s="349" t="s">
        <v>753</v>
      </c>
      <c r="CE6" s="349" t="s">
        <v>754</v>
      </c>
      <c r="CF6" s="350" t="s">
        <v>882</v>
      </c>
      <c r="CG6" s="354" t="s">
        <v>249</v>
      </c>
      <c r="CH6" s="349" t="s">
        <v>755</v>
      </c>
      <c r="CI6" s="350" t="s">
        <v>882</v>
      </c>
      <c r="CJ6" s="354" t="s">
        <v>249</v>
      </c>
      <c r="CK6" s="349" t="s">
        <v>756</v>
      </c>
      <c r="CL6" s="350" t="s">
        <v>503</v>
      </c>
      <c r="CM6" s="354" t="s">
        <v>249</v>
      </c>
      <c r="CN6" s="349" t="s">
        <v>757</v>
      </c>
      <c r="CO6" s="350" t="s">
        <v>503</v>
      </c>
      <c r="CP6" s="354" t="s">
        <v>249</v>
      </c>
      <c r="CQ6" s="349" t="s">
        <v>758</v>
      </c>
      <c r="CR6" s="350" t="s">
        <v>882</v>
      </c>
      <c r="CS6" s="354" t="s">
        <v>249</v>
      </c>
      <c r="CT6" s="349" t="s">
        <v>759</v>
      </c>
      <c r="CU6" s="349" t="s">
        <v>760</v>
      </c>
      <c r="CV6" s="350" t="s">
        <v>508</v>
      </c>
      <c r="CW6" s="354" t="s">
        <v>249</v>
      </c>
      <c r="CX6" s="349" t="s">
        <v>1194</v>
      </c>
      <c r="CY6" s="350" t="s">
        <v>883</v>
      </c>
      <c r="CZ6" s="354" t="s">
        <v>249</v>
      </c>
      <c r="DA6" s="349" t="s">
        <v>761</v>
      </c>
      <c r="DB6" s="350" t="s">
        <v>508</v>
      </c>
      <c r="DC6" s="354" t="s">
        <v>249</v>
      </c>
      <c r="DD6" s="349" t="s">
        <v>762</v>
      </c>
      <c r="DE6" s="349" t="s">
        <v>763</v>
      </c>
      <c r="DF6" s="350" t="s">
        <v>508</v>
      </c>
      <c r="DG6" s="355" t="s">
        <v>503</v>
      </c>
      <c r="DH6" s="354" t="s">
        <v>249</v>
      </c>
      <c r="DI6" s="349" t="s">
        <v>298</v>
      </c>
      <c r="DJ6" s="349" t="s">
        <v>722</v>
      </c>
      <c r="DK6" s="349" t="s">
        <v>723</v>
      </c>
      <c r="DL6" s="349" t="s">
        <v>863</v>
      </c>
      <c r="DM6" s="349" t="s">
        <v>263</v>
      </c>
      <c r="DN6" s="349" t="s">
        <v>1114</v>
      </c>
      <c r="DO6" s="349" t="s">
        <v>650</v>
      </c>
      <c r="DP6" s="349" t="s">
        <v>161</v>
      </c>
      <c r="DQ6" s="350" t="s">
        <v>508</v>
      </c>
      <c r="DR6" s="354" t="s">
        <v>249</v>
      </c>
      <c r="DS6" s="349" t="s">
        <v>162</v>
      </c>
      <c r="DT6" s="349" t="s">
        <v>163</v>
      </c>
      <c r="DU6" s="349" t="s">
        <v>164</v>
      </c>
      <c r="DV6" s="109"/>
      <c r="DW6" s="341"/>
      <c r="DX6" s="342"/>
      <c r="DY6" s="349" t="s">
        <v>249</v>
      </c>
    </row>
    <row r="7" spans="1:136" ht="13.5" customHeight="1" thickBot="1" x14ac:dyDescent="0.3">
      <c r="A7" s="356"/>
      <c r="B7" s="357"/>
      <c r="C7" s="358"/>
      <c r="D7" s="358"/>
      <c r="E7" s="650"/>
      <c r="F7" s="359" t="s">
        <v>165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950</v>
      </c>
      <c r="Q7" s="362">
        <v>3639</v>
      </c>
      <c r="R7" s="360" t="s">
        <v>166</v>
      </c>
      <c r="S7" s="360" t="s">
        <v>167</v>
      </c>
      <c r="T7" s="360" t="s">
        <v>198</v>
      </c>
      <c r="U7" s="360">
        <v>3319</v>
      </c>
      <c r="V7" s="360" t="s">
        <v>1262</v>
      </c>
      <c r="W7" s="360">
        <v>3314</v>
      </c>
      <c r="X7" s="360">
        <v>3349</v>
      </c>
      <c r="Y7" s="360" t="s">
        <v>168</v>
      </c>
      <c r="Z7" s="360">
        <v>3612</v>
      </c>
      <c r="AA7" s="360"/>
      <c r="AB7" s="360"/>
      <c r="AC7" s="360" t="s">
        <v>169</v>
      </c>
      <c r="AD7" s="360"/>
      <c r="AE7" s="360"/>
      <c r="AF7" s="360" t="s">
        <v>170</v>
      </c>
      <c r="AG7" s="360"/>
      <c r="AH7" s="360"/>
      <c r="AI7" s="360">
        <v>5512</v>
      </c>
      <c r="AJ7" s="360">
        <v>3519</v>
      </c>
      <c r="AK7" s="360" t="s">
        <v>171</v>
      </c>
      <c r="AL7" s="360">
        <v>3632</v>
      </c>
      <c r="AM7" s="360"/>
      <c r="AN7" s="360"/>
      <c r="AO7" s="360" t="s">
        <v>172</v>
      </c>
      <c r="AP7" s="360"/>
      <c r="AQ7" s="360"/>
      <c r="AR7" s="360" t="s">
        <v>172</v>
      </c>
      <c r="AS7" s="360"/>
      <c r="AT7" s="360"/>
      <c r="AU7" s="360" t="s">
        <v>172</v>
      </c>
      <c r="AV7" s="360"/>
      <c r="AW7" s="360"/>
      <c r="AX7" s="360">
        <v>3113</v>
      </c>
      <c r="AY7" s="360"/>
      <c r="AZ7" s="360"/>
      <c r="BA7" s="360" t="s">
        <v>1552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173</v>
      </c>
      <c r="BK7" s="360"/>
      <c r="BL7" s="360"/>
      <c r="BM7" s="360" t="s">
        <v>174</v>
      </c>
      <c r="BN7" s="360"/>
      <c r="BO7" s="360"/>
      <c r="BP7" s="360" t="s">
        <v>175</v>
      </c>
      <c r="BQ7" s="360"/>
      <c r="BR7" s="360"/>
      <c r="BS7" s="360" t="s">
        <v>176</v>
      </c>
      <c r="BT7" s="360" t="s">
        <v>480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177</v>
      </c>
      <c r="CB7" s="360"/>
      <c r="CC7" s="360"/>
      <c r="CD7" s="360" t="s">
        <v>178</v>
      </c>
      <c r="CE7" s="360">
        <v>2310</v>
      </c>
      <c r="CF7" s="360"/>
      <c r="CG7" s="360"/>
      <c r="CH7" s="360" t="s">
        <v>179</v>
      </c>
      <c r="CI7" s="360"/>
      <c r="CJ7" s="360"/>
      <c r="CK7" s="360" t="s">
        <v>180</v>
      </c>
      <c r="CL7" s="360"/>
      <c r="CM7" s="360"/>
      <c r="CN7" s="360" t="s">
        <v>220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181</v>
      </c>
      <c r="CV7" s="360"/>
      <c r="CW7" s="360"/>
      <c r="CX7" s="360" t="s">
        <v>182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297</v>
      </c>
      <c r="DJ7" s="360" t="s">
        <v>720</v>
      </c>
      <c r="DK7" s="360" t="s">
        <v>721</v>
      </c>
      <c r="DL7" s="360" t="s">
        <v>1153</v>
      </c>
      <c r="DM7" s="360" t="s">
        <v>264</v>
      </c>
      <c r="DN7" s="360" t="s">
        <v>1115</v>
      </c>
      <c r="DO7" s="360" t="s">
        <v>651</v>
      </c>
      <c r="DP7" s="360" t="s">
        <v>183</v>
      </c>
      <c r="DQ7" s="360"/>
      <c r="DR7" s="360"/>
      <c r="DS7" s="360" t="s">
        <v>184</v>
      </c>
      <c r="DT7" s="360" t="s">
        <v>185</v>
      </c>
      <c r="DU7" s="363" t="s">
        <v>186</v>
      </c>
      <c r="DV7" s="109"/>
      <c r="DW7" s="341"/>
      <c r="DX7" s="342"/>
      <c r="DY7" s="364" t="s">
        <v>186</v>
      </c>
    </row>
    <row r="8" spans="1:136" ht="17.25" customHeight="1" outlineLevel="1" x14ac:dyDescent="0.25">
      <c r="A8" s="238">
        <v>5011</v>
      </c>
      <c r="B8" s="205" t="s">
        <v>65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27925000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f>+'[1]RO 1.23'!$B$3+'[1]RO 1.23'!$B$13+'[1]RO 1.23'!$B$14+'[1]RO 1.23'!$B$16+'[1]RO 1.23'!$B$17</f>
        <v>17535000</v>
      </c>
      <c r="O8" s="369"/>
      <c r="P8" s="367">
        <f>'[1]RO 1.23'!$B$15</f>
        <v>1889000</v>
      </c>
      <c r="Q8" s="370"/>
      <c r="R8" s="151">
        <f>'[1]RO 1.23'!$B$6</f>
        <v>1670000</v>
      </c>
      <c r="S8" s="367"/>
      <c r="T8" s="367">
        <f>'[1]RO 1.23'!$B$4</f>
        <v>5325000</v>
      </c>
      <c r="U8" s="367"/>
      <c r="V8" s="367"/>
      <c r="W8" s="367">
        <f>'[1]RO 1.23'!$B$8</f>
        <v>1506000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1">
        <f t="shared" ref="DW8:DW15" si="1">DV8-E8</f>
        <v>0</v>
      </c>
      <c r="DX8" s="342">
        <f>+E8-'Výdaje kapitol celkem'!F8</f>
        <v>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1663000</v>
      </c>
      <c r="E9" s="373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f>'[4]Volby '!$B$4</f>
        <v>0</v>
      </c>
      <c r="M9" s="155">
        <f t="shared" ref="M9:M15" si="2">+N9+O9</f>
        <v>1403000</v>
      </c>
      <c r="N9" s="374">
        <f>+'[1]RO 1.23'!$C$3+'[1]RO 1.23'!$C$17+'[1]RO 1.23'!$C$13+'[1]RO 1.23'!$C$14+'[1]RO 1.23'!$C$16+'[1]RO 1.23'!$D$3+'[1]RO 1.23'!$D$13+'[1]RO 1.23'!$D$14+'[1]RO 1.23'!$D$16+'[1]RO 1.23'!$D$17</f>
        <v>1403000</v>
      </c>
      <c r="O9" s="375"/>
      <c r="P9" s="155"/>
      <c r="Q9" s="376">
        <f>'[1]RO 1.23'!$C$10</f>
        <v>50000</v>
      </c>
      <c r="R9" s="155"/>
      <c r="S9" s="155"/>
      <c r="T9" s="155">
        <f>'[1]RO 1.23'!$D$4</f>
        <v>72000</v>
      </c>
      <c r="U9" s="155">
        <f>'[1]RO 1.23'!$D$7</f>
        <v>12000</v>
      </c>
      <c r="V9" s="155"/>
      <c r="W9" s="155">
        <f>'[1]RO 1.23'!$C$8</f>
        <v>35000</v>
      </c>
      <c r="X9" s="155">
        <f>'[1]RO 1.23'!$C$9+'[1]RO 1.23'!$D$9</f>
        <v>188000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f>'[1]RO 1.23'!$D$5</f>
        <v>105000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>
        <f t="shared" si="0"/>
        <v>1865000</v>
      </c>
      <c r="DW9" s="341">
        <f>DV9-E9</f>
        <v>0</v>
      </c>
      <c r="DX9" s="342">
        <f>+E9-'Výdaje kapitol celkem'!F9</f>
        <v>0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71" t="s">
        <v>584</v>
      </c>
      <c r="G10" s="1872"/>
      <c r="H10" s="1872"/>
      <c r="I10" s="1872"/>
      <c r="J10" s="1872"/>
      <c r="K10" s="155">
        <f>'[1]RO 1.23'!$E$19</f>
        <v>3020000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3020000</v>
      </c>
      <c r="DW10" s="341">
        <f t="shared" si="1"/>
        <v>0</v>
      </c>
      <c r="DX10" s="342">
        <f>+E10-'Výdaje kapitol celkem'!F10</f>
        <v>0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25">
      <c r="A11" s="238">
        <v>5024</v>
      </c>
      <c r="B11" s="205" t="s">
        <v>738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celkem'!F11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f>'[1]RO 1.23'!$G$5</f>
        <v>30000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30000</v>
      </c>
      <c r="DW12" s="341">
        <f t="shared" si="1"/>
        <v>0</v>
      </c>
      <c r="DX12" s="342">
        <f>+E12-'Výdaje kapitol celkem'!F12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25">
      <c r="A13" s="238">
        <v>5031</v>
      </c>
      <c r="B13" s="205" t="s">
        <v>68</v>
      </c>
      <c r="C13" s="373">
        <v>7459000</v>
      </c>
      <c r="D13" s="373">
        <v>7459000</v>
      </c>
      <c r="E13" s="373">
        <f t="shared" si="4"/>
        <v>8112500</v>
      </c>
      <c r="F13" s="234"/>
      <c r="G13" s="155"/>
      <c r="H13" s="155"/>
      <c r="I13" s="155"/>
      <c r="J13" s="155"/>
      <c r="K13" s="155">
        <f>'[1]RO 1.23'!$H$19</f>
        <v>755000</v>
      </c>
      <c r="L13" s="155"/>
      <c r="M13" s="155">
        <f t="shared" si="2"/>
        <v>4710750</v>
      </c>
      <c r="N13" s="374">
        <f>+'[1]RO 1.23'!$H$3+'[1]RO 1.23'!$H$13+'[1]RO 1.23'!$H$14+'[1]RO 1.23'!$H$16+'[1]RO 1.23'!$H$17</f>
        <v>4710750</v>
      </c>
      <c r="O13" s="375"/>
      <c r="P13" s="155">
        <f>'[1]RO 1.23'!$H$15</f>
        <v>472250</v>
      </c>
      <c r="Q13" s="376"/>
      <c r="R13" s="367">
        <f>'[1]RO 1.23'!$H$6</f>
        <v>417500</v>
      </c>
      <c r="S13" s="155"/>
      <c r="T13" s="367">
        <f>'[1]RO 1.23'!$H$4</f>
        <v>1349250</v>
      </c>
      <c r="U13" s="367">
        <f>'[1]RO 1.23'!$H$7</f>
        <v>3000</v>
      </c>
      <c r="V13" s="367"/>
      <c r="W13" s="367">
        <f>'[1]RO 1.23'!$H$8</f>
        <v>376500</v>
      </c>
      <c r="X13" s="367">
        <f>'[1]RO 1.23'!$H$9</f>
        <v>2000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f>'[1]RO 1.23'!$H$5</f>
        <v>26250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8112500</v>
      </c>
      <c r="DW13" s="341">
        <f t="shared" si="1"/>
        <v>0</v>
      </c>
      <c r="DX13" s="342">
        <f>+E13-'Výdaje kapitol celkem'!F13</f>
        <v>0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25">
      <c r="A14" s="238">
        <v>5032</v>
      </c>
      <c r="B14" s="205" t="s">
        <v>69</v>
      </c>
      <c r="C14" s="373">
        <v>2685240</v>
      </c>
      <c r="D14" s="373">
        <v>2685240</v>
      </c>
      <c r="E14" s="373">
        <f t="shared" si="4"/>
        <v>2920500</v>
      </c>
      <c r="F14" s="234"/>
      <c r="G14" s="155"/>
      <c r="H14" s="155"/>
      <c r="I14" s="155"/>
      <c r="J14" s="155"/>
      <c r="K14" s="155">
        <f>'[1]RO 1.23'!$I$19</f>
        <v>271800</v>
      </c>
      <c r="L14" s="155"/>
      <c r="M14" s="155">
        <f t="shared" si="2"/>
        <v>1695870</v>
      </c>
      <c r="N14" s="374">
        <f>+'[1]RO 1.23'!$I$3+'[1]RO 1.23'!$I$13+'[1]RO 1.23'!$I$14+'[1]RO 1.23'!$I$16+'[1]RO 1.23'!$I$17</f>
        <v>1695870</v>
      </c>
      <c r="O14" s="375"/>
      <c r="P14" s="155">
        <f>'[1]RO 1.23'!$I$15</f>
        <v>170010</v>
      </c>
      <c r="Q14" s="376"/>
      <c r="R14" s="367">
        <f>'[1]RO 1.23'!$I$6</f>
        <v>150300</v>
      </c>
      <c r="S14" s="155"/>
      <c r="T14" s="367">
        <f>'[1]RO 1.23'!$I$4</f>
        <v>485730</v>
      </c>
      <c r="U14" s="367">
        <f>'[1]RO 1.23'!$I$7</f>
        <v>1080</v>
      </c>
      <c r="V14" s="367"/>
      <c r="W14" s="367">
        <f>'[1]RO 1.23'!$I$8</f>
        <v>135540</v>
      </c>
      <c r="X14" s="367">
        <f>'[1]RO 1.23'!$I$9</f>
        <v>720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f>'[1]RO 1.23'!$I$5</f>
        <v>9450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2920500</v>
      </c>
      <c r="DW14" s="341">
        <f t="shared" si="1"/>
        <v>0</v>
      </c>
      <c r="DX14" s="342">
        <f>+E14-'Výdaje kapitol celkem'!F14</f>
        <v>0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25">
      <c r="A15" s="238">
        <v>5038</v>
      </c>
      <c r="B15" s="205" t="s">
        <v>70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f>'[1]RO 1.23'!$J$19</f>
        <v>12684</v>
      </c>
      <c r="L15" s="155"/>
      <c r="M15" s="155">
        <f t="shared" si="2"/>
        <v>79140.599999999991</v>
      </c>
      <c r="N15" s="374">
        <f>+'[1]RO 1.23'!$J$3+'[1]RO 1.23'!$J$13+'[1]RO 1.23'!$J$14+'[1]RO 1.23'!$J$16+'[1]RO 1.23'!$J$17</f>
        <v>79140.599999999991</v>
      </c>
      <c r="O15" s="375"/>
      <c r="P15" s="155">
        <f>'[1]RO 1.23'!$J$15</f>
        <v>7933.7999999999993</v>
      </c>
      <c r="Q15" s="376"/>
      <c r="R15" s="367">
        <f>'[1]RO 1.23'!$J$6</f>
        <v>7014</v>
      </c>
      <c r="S15" s="155"/>
      <c r="T15" s="367">
        <f>'[1]RO 1.23'!$J$4</f>
        <v>22667.4</v>
      </c>
      <c r="U15" s="367">
        <f>'[1]RO 1.23'!$J$7</f>
        <v>50.4</v>
      </c>
      <c r="V15" s="367"/>
      <c r="W15" s="367">
        <f>'[1]RO 1.23'!$J$8</f>
        <v>6325.2</v>
      </c>
      <c r="X15" s="367">
        <f>'[1]RO 1.23'!$J$9</f>
        <v>33.6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f>'[1]RO 1.23'!$J$5</f>
        <v>441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136290</v>
      </c>
      <c r="DW15" s="341">
        <f t="shared" si="1"/>
        <v>0</v>
      </c>
      <c r="DX15" s="342">
        <f>+E15-'Výdaje kapitol celkem'!F15</f>
        <v>0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3">
      <c r="A16" s="213" t="s">
        <v>71</v>
      </c>
      <c r="B16" s="214" t="s">
        <v>122</v>
      </c>
      <c r="C16" s="378">
        <v>41242551.200000003</v>
      </c>
      <c r="D16" s="378">
        <v>41242551.200000003</v>
      </c>
      <c r="E16" s="378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9">
        <f t="shared" si="6"/>
        <v>25423760.600000001</v>
      </c>
      <c r="O16" s="380">
        <f t="shared" si="6"/>
        <v>0</v>
      </c>
      <c r="P16" s="217">
        <f t="shared" ref="P16:CA16" si="8">SUM(P8:P15)</f>
        <v>2539193.7999999998</v>
      </c>
      <c r="Q16" s="381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f>'[2]Pečovatelská služba'!$B$4</f>
        <v>20000</v>
      </c>
      <c r="S19" s="155"/>
      <c r="T19" s="155">
        <f>'[2]Městská policie'!$B$4</f>
        <v>95000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f>[2]Hasiči!$B$4</f>
        <v>80000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41">
        <f t="shared" si="12"/>
        <v>0</v>
      </c>
      <c r="DX19" s="342">
        <f>+E19-'Výdaje kapitol celkem'!F19</f>
        <v>0</v>
      </c>
      <c r="DY19" s="373">
        <f t="shared" si="13"/>
        <v>0</v>
      </c>
      <c r="EA19" s="326"/>
    </row>
    <row r="20" spans="1:131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263000</v>
      </c>
      <c r="E20" s="373">
        <f t="shared" si="39"/>
        <v>313000</v>
      </c>
      <c r="F20" s="234"/>
      <c r="G20" s="155"/>
      <c r="H20" s="155"/>
      <c r="I20" s="155"/>
      <c r="J20" s="155"/>
      <c r="K20" s="155">
        <f>[2]Zastupitelé!$B$4</f>
        <v>8000</v>
      </c>
      <c r="L20" s="155"/>
      <c r="M20" s="155">
        <f t="shared" si="14"/>
        <v>45000</v>
      </c>
      <c r="N20" s="374">
        <f>[2]Správa!$B$4</f>
        <v>45000</v>
      </c>
      <c r="O20" s="375"/>
      <c r="P20" s="155"/>
      <c r="Q20" s="384">
        <f t="shared" si="40"/>
        <v>0</v>
      </c>
      <c r="R20" s="155"/>
      <c r="S20" s="155"/>
      <c r="T20" s="155">
        <f>'[2]Městská policie'!$B$11</f>
        <v>5000</v>
      </c>
      <c r="U20" s="155">
        <f>[2]Kronika!$B$4</f>
        <v>5000</v>
      </c>
      <c r="V20" s="155"/>
      <c r="W20" s="155">
        <f>[2]Knihovna!$B$4</f>
        <v>250000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1">
        <f t="shared" si="12"/>
        <v>0</v>
      </c>
      <c r="DX20" s="342">
        <f>+E20-'Výdaje kapitol celkem'!F20</f>
        <v>0</v>
      </c>
      <c r="DY20" s="373">
        <f t="shared" si="13"/>
        <v>0</v>
      </c>
      <c r="EA20" s="326"/>
    </row>
    <row r="21" spans="1:131" ht="13.5" customHeight="1" outlineLevel="1" x14ac:dyDescent="0.25">
      <c r="A21" s="222">
        <v>5137</v>
      </c>
      <c r="B21" s="205" t="s">
        <v>76</v>
      </c>
      <c r="C21" s="373">
        <v>1840000</v>
      </c>
      <c r="D21" s="373">
        <v>1840000</v>
      </c>
      <c r="E21" s="373">
        <f t="shared" si="39"/>
        <v>2110000</v>
      </c>
      <c r="F21" s="234"/>
      <c r="G21" s="155"/>
      <c r="H21" s="155"/>
      <c r="I21" s="155"/>
      <c r="J21" s="155"/>
      <c r="K21" s="155">
        <f>[2]Zastupitelé!$B$10</f>
        <v>50000</v>
      </c>
      <c r="L21" s="155">
        <f>'[4]Volby '!$B$11</f>
        <v>0</v>
      </c>
      <c r="M21" s="155">
        <f t="shared" si="14"/>
        <v>850000</v>
      </c>
      <c r="N21" s="374">
        <f>[2]Správa!$B$11</f>
        <v>850000</v>
      </c>
      <c r="O21" s="375"/>
      <c r="P21" s="155"/>
      <c r="Q21" s="384">
        <f t="shared" si="40"/>
        <v>0</v>
      </c>
      <c r="R21" s="155">
        <f>'[2]Pečovatelská služba'!$B$11</f>
        <v>50000</v>
      </c>
      <c r="S21" s="155"/>
      <c r="T21" s="155">
        <f>'[2]Městská policie'!$B$18</f>
        <v>150000</v>
      </c>
      <c r="U21" s="155"/>
      <c r="V21" s="155">
        <v>0</v>
      </c>
      <c r="W21" s="155">
        <f>[2]Knihovna!$B$11</f>
        <v>120000</v>
      </c>
      <c r="X21" s="155"/>
      <c r="Y21" s="155">
        <f>[2]Kultura!$B$4</f>
        <v>120000</v>
      </c>
      <c r="Z21" s="155">
        <f t="shared" si="15"/>
        <v>100000</v>
      </c>
      <c r="AA21" s="374">
        <f>+[3]Byty!$B$4</f>
        <v>100000</v>
      </c>
      <c r="AB21" s="374"/>
      <c r="AC21" s="155">
        <f t="shared" si="16"/>
        <v>20000</v>
      </c>
      <c r="AD21" s="374">
        <f>+[3]DPS!$B$4</f>
        <v>20000</v>
      </c>
      <c r="AE21" s="374"/>
      <c r="AF21" s="155">
        <f t="shared" si="17"/>
        <v>0</v>
      </c>
      <c r="AG21" s="374"/>
      <c r="AH21" s="374"/>
      <c r="AI21" s="155">
        <f>[2]Hasiči!$B$11</f>
        <v>500000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50000</v>
      </c>
      <c r="BE21" s="374">
        <f>[2]č.p.65!$B$4</f>
        <v>50000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>
        <f t="shared" si="31"/>
        <v>100000</v>
      </c>
      <c r="CB21" s="374">
        <f>+[3]Silnice!$B$4</f>
        <v>100000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>
        <f t="shared" si="42"/>
        <v>2110000</v>
      </c>
      <c r="DW21" s="341">
        <f t="shared" si="12"/>
        <v>0</v>
      </c>
      <c r="DX21" s="342">
        <f>+E21-'Výdaje kapitol celkem'!F21</f>
        <v>0</v>
      </c>
      <c r="DY21" s="373">
        <f t="shared" si="13"/>
        <v>0</v>
      </c>
      <c r="EA21" s="326"/>
    </row>
    <row r="22" spans="1:131" ht="13.5" customHeight="1" outlineLevel="1" x14ac:dyDescent="0.25">
      <c r="A22" s="222">
        <v>5139</v>
      </c>
      <c r="B22" s="205" t="s">
        <v>77</v>
      </c>
      <c r="C22" s="373">
        <v>2019000</v>
      </c>
      <c r="D22" s="373">
        <v>1869000</v>
      </c>
      <c r="E22" s="373">
        <f t="shared" si="39"/>
        <v>2219000</v>
      </c>
      <c r="F22" s="234"/>
      <c r="G22" s="155"/>
      <c r="H22" s="155"/>
      <c r="I22" s="155"/>
      <c r="J22" s="155"/>
      <c r="K22" s="155">
        <f>[2]Zastupitelé!$B$17</f>
        <v>55000</v>
      </c>
      <c r="L22" s="155">
        <f>'[4]Volby '!$B$18</f>
        <v>0</v>
      </c>
      <c r="M22" s="155">
        <f t="shared" si="14"/>
        <v>720000</v>
      </c>
      <c r="N22" s="374">
        <f>[2]Správa!$D$18</f>
        <v>650000</v>
      </c>
      <c r="O22" s="375">
        <f>[2]Správa!$E$18</f>
        <v>70000</v>
      </c>
      <c r="P22" s="155"/>
      <c r="Q22" s="385">
        <f>+O22+AN22+CC22+BZ22+BV22+DH22+AB22+AH22+AQ22+AZ22+BF22+BI22+BL22+BO22+BR22+CG22+CS22+CW22+CZ22+DC22+AE22+DR22</f>
        <v>90000</v>
      </c>
      <c r="R22" s="155">
        <f>'[2]Pečovatelská služba'!$B$18</f>
        <v>70000</v>
      </c>
      <c r="S22" s="155"/>
      <c r="T22" s="155">
        <f>'[2]Městská policie'!$B$28</f>
        <v>30000</v>
      </c>
      <c r="U22" s="155">
        <f>[2]Kronika!$B$11</f>
        <v>4000</v>
      </c>
      <c r="V22" s="155">
        <v>0</v>
      </c>
      <c r="W22" s="155">
        <f>[2]Knihovna!$B$19</f>
        <v>40000</v>
      </c>
      <c r="X22" s="155"/>
      <c r="Y22" s="155">
        <f>[2]Kultura!$B$13</f>
        <v>100000</v>
      </c>
      <c r="Z22" s="155">
        <f t="shared" si="15"/>
        <v>50000</v>
      </c>
      <c r="AA22" s="374">
        <f>+[3]Byty!$B$11</f>
        <v>50000</v>
      </c>
      <c r="AB22" s="374"/>
      <c r="AC22" s="155">
        <f t="shared" si="16"/>
        <v>100000</v>
      </c>
      <c r="AD22" s="374">
        <f>+[3]DPS!$B$12</f>
        <v>100000</v>
      </c>
      <c r="AE22" s="374"/>
      <c r="AF22" s="155">
        <f t="shared" si="17"/>
        <v>0</v>
      </c>
      <c r="AG22" s="374"/>
      <c r="AH22" s="374"/>
      <c r="AI22" s="155">
        <f>+[3]Hasiči!$B$4</f>
        <v>20000</v>
      </c>
      <c r="AJ22" s="155"/>
      <c r="AK22" s="155"/>
      <c r="AL22" s="155">
        <f t="shared" si="18"/>
        <v>50000</v>
      </c>
      <c r="AM22" s="374">
        <f>+[3]Hřbitov!$D$4</f>
        <v>30000</v>
      </c>
      <c r="AN22" s="374">
        <f>+[3]Hřbitov!$E$4</f>
        <v>20000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30000</v>
      </c>
      <c r="BE22" s="374">
        <f>[2]č.p.65!$B$11</f>
        <v>30000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>
        <f t="shared" si="30"/>
        <v>150000</v>
      </c>
      <c r="BY22" s="374">
        <f>+[3]VO!$B$4</f>
        <v>150000</v>
      </c>
      <c r="BZ22" s="374"/>
      <c r="CA22" s="155">
        <f t="shared" si="31"/>
        <v>550000</v>
      </c>
      <c r="CB22" s="374">
        <f>+'[5]Silnice nákup materiálu'!$B$3</f>
        <v>550000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250000</v>
      </c>
      <c r="DF22" s="374">
        <f>'[6]Příroda 3749'!$B$4</f>
        <v>250000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>
        <f t="shared" si="42"/>
        <v>2219000</v>
      </c>
      <c r="DW22" s="341">
        <f t="shared" si="12"/>
        <v>0</v>
      </c>
      <c r="DX22" s="342">
        <f>+E22-'Výdaje kapitol celkem'!F22</f>
        <v>-50000</v>
      </c>
      <c r="DY22" s="373">
        <f t="shared" si="13"/>
        <v>90000</v>
      </c>
      <c r="EA22" s="326"/>
    </row>
    <row r="23" spans="1:131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720000</v>
      </c>
      <c r="E23" s="373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4">
        <f>[4]Správa!$B$4</f>
        <v>35000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f>'[4]Hotel Budka'!$B$4</f>
        <v>32000</v>
      </c>
      <c r="W23" s="155">
        <f>[4]Knihovna!$B$4</f>
        <v>5000</v>
      </c>
      <c r="X23" s="155"/>
      <c r="Y23" s="155"/>
      <c r="Z23" s="155">
        <f t="shared" si="15"/>
        <v>30000</v>
      </c>
      <c r="AA23" s="374">
        <f>[4]Byty!$B$4</f>
        <v>30000</v>
      </c>
      <c r="AB23" s="374"/>
      <c r="AC23" s="155">
        <f t="shared" si="16"/>
        <v>500000</v>
      </c>
      <c r="AD23" s="374">
        <f>[4]DPS!$B$4</f>
        <v>500000</v>
      </c>
      <c r="AE23" s="374"/>
      <c r="AF23" s="155">
        <f t="shared" si="17"/>
        <v>30000</v>
      </c>
      <c r="AG23" s="374">
        <f>[4]Nebyty!$B$4</f>
        <v>30000</v>
      </c>
      <c r="AH23" s="374"/>
      <c r="AI23" s="155">
        <f>[4]Hasiči!$B$4</f>
        <v>3000</v>
      </c>
      <c r="AJ23" s="155"/>
      <c r="AK23" s="155"/>
      <c r="AL23" s="155">
        <f t="shared" si="18"/>
        <v>10000</v>
      </c>
      <c r="AM23" s="374">
        <f>+[3]Hřbitov!$B$11</f>
        <v>10000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30000</v>
      </c>
      <c r="AY23" s="374">
        <f>[4]ZŠ!$B$4</f>
        <v>30000</v>
      </c>
      <c r="AZ23" s="374"/>
      <c r="BA23" s="155">
        <f>+BB23+BC23+[4]SŠ!$B$4</f>
        <v>0</v>
      </c>
      <c r="BB23" s="374">
        <f>[4]SŠ!$B$4</f>
        <v>0</v>
      </c>
      <c r="BC23" s="374"/>
      <c r="BD23" s="155">
        <f t="shared" si="24"/>
        <v>20000</v>
      </c>
      <c r="BE23" s="374">
        <f>[4]č.p.65!$B$4</f>
        <v>20000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15000</v>
      </c>
      <c r="CB23" s="374">
        <f>[4]Silnice!$B$4</f>
        <v>15000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>
        <f t="shared" si="42"/>
        <v>710000</v>
      </c>
      <c r="DW23" s="341">
        <f>DV23-E23</f>
        <v>0</v>
      </c>
      <c r="DX23" s="342">
        <f>+E23-'Výdaje kapitol celkem'!F23</f>
        <v>0</v>
      </c>
      <c r="DY23" s="373">
        <f t="shared" si="13"/>
        <v>0</v>
      </c>
      <c r="EA23" s="326"/>
    </row>
    <row r="24" spans="1:131" s="441" customFormat="1" ht="13.5" customHeight="1" outlineLevel="1" x14ac:dyDescent="0.25">
      <c r="A24" s="222">
        <v>5153</v>
      </c>
      <c r="B24" s="205" t="s">
        <v>79</v>
      </c>
      <c r="C24" s="373">
        <v>3001500</v>
      </c>
      <c r="D24" s="373">
        <v>3001500</v>
      </c>
      <c r="E24" s="373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4">
        <f>[4]Správa!$B$11</f>
        <v>546000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f>'[4]Hotel Budka'!$B$11</f>
        <v>343200</v>
      </c>
      <c r="W24" s="155">
        <f>[4]Knihovna!$B$11</f>
        <v>9750</v>
      </c>
      <c r="X24" s="155"/>
      <c r="Y24" s="155"/>
      <c r="Z24" s="160">
        <f t="shared" si="15"/>
        <v>234000</v>
      </c>
      <c r="AA24" s="177">
        <f>[4]Byty!$D$11</f>
        <v>234000</v>
      </c>
      <c r="AB24" s="374"/>
      <c r="AC24" s="155">
        <f t="shared" si="16"/>
        <v>1815000</v>
      </c>
      <c r="AD24" s="374">
        <f>[4]DPS!$B$11</f>
        <v>1815000</v>
      </c>
      <c r="AE24" s="374"/>
      <c r="AF24" s="155">
        <f t="shared" si="17"/>
        <v>975000</v>
      </c>
      <c r="AG24" s="374">
        <f>[4]Nebyty!$B$11</f>
        <v>975000</v>
      </c>
      <c r="AH24" s="374"/>
      <c r="AI24" s="155">
        <f>[4]Hasiči!$B$11</f>
        <v>97500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1225000</v>
      </c>
      <c r="AY24" s="374">
        <f>[4]ZŠ!$B$11</f>
        <v>1225000</v>
      </c>
      <c r="AZ24" s="374"/>
      <c r="BA24" s="155">
        <f>+BB24+BC24+[4]SŠ!$B$11</f>
        <v>0</v>
      </c>
      <c r="BB24" s="374">
        <f>[4]SŠ!$B$11</f>
        <v>0</v>
      </c>
      <c r="BC24" s="374"/>
      <c r="BD24" s="155">
        <f t="shared" si="24"/>
        <v>195000</v>
      </c>
      <c r="BE24" s="374">
        <f>[4]č.p.65!$B$11</f>
        <v>195000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5440450</v>
      </c>
      <c r="DW24" s="341">
        <f t="shared" si="12"/>
        <v>0</v>
      </c>
      <c r="DX24" s="342">
        <f>+E24-'Výdaje kapitol celkem'!F24</f>
        <v>0</v>
      </c>
      <c r="DY24" s="373">
        <f t="shared" si="13"/>
        <v>0</v>
      </c>
      <c r="EA24" s="326"/>
    </row>
    <row r="25" spans="1:131" ht="13.5" customHeight="1" outlineLevel="1" x14ac:dyDescent="0.25">
      <c r="A25" s="222">
        <v>5154</v>
      </c>
      <c r="B25" s="205" t="s">
        <v>80</v>
      </c>
      <c r="C25" s="373">
        <v>4091000</v>
      </c>
      <c r="D25" s="373">
        <v>4091000</v>
      </c>
      <c r="E25" s="373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4">
        <f>[4]Správa!$B$18</f>
        <v>884000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f>'[4]Hotel Budka'!$B$18</f>
        <v>260000</v>
      </c>
      <c r="W25" s="155">
        <f>[4]Knihovna!$B$18</f>
        <v>230100</v>
      </c>
      <c r="X25" s="155"/>
      <c r="Y25" s="155"/>
      <c r="Z25" s="160">
        <f t="shared" si="15"/>
        <v>195000</v>
      </c>
      <c r="AA25" s="177">
        <f>[4]Byty!$D$18</f>
        <v>195000</v>
      </c>
      <c r="AB25" s="374"/>
      <c r="AC25" s="155">
        <f t="shared" si="16"/>
        <v>585000</v>
      </c>
      <c r="AD25" s="374">
        <f>[4]DPS!$B$18</f>
        <v>585000</v>
      </c>
      <c r="AE25" s="374"/>
      <c r="AF25" s="155">
        <f t="shared" si="17"/>
        <v>605800</v>
      </c>
      <c r="AG25" s="374">
        <f>[4]Nebyty!$B$18</f>
        <v>605800</v>
      </c>
      <c r="AH25" s="374"/>
      <c r="AI25" s="155">
        <f>[4]Hasiči!$B$18</f>
        <v>106400</v>
      </c>
      <c r="AJ25" s="155"/>
      <c r="AK25" s="155">
        <f>[4]TESKO!$B$4</f>
        <v>0</v>
      </c>
      <c r="AL25" s="155">
        <f t="shared" si="18"/>
        <v>0</v>
      </c>
      <c r="AM25" s="374"/>
      <c r="AN25" s="374"/>
      <c r="AO25" s="155">
        <f>+AP25+AQ25+[4]Koupaliště!$B$4</f>
        <v>0</v>
      </c>
      <c r="AP25" s="374">
        <f>[4]Koupaliště!$B$4</f>
        <v>0</v>
      </c>
      <c r="AQ25" s="374"/>
      <c r="AR25" s="155">
        <f t="shared" si="44"/>
        <v>60000</v>
      </c>
      <c r="AS25" s="374">
        <f>[4]Hřiště!$B$4</f>
        <v>60000</v>
      </c>
      <c r="AT25" s="374"/>
      <c r="AU25" s="155">
        <f t="shared" si="45"/>
        <v>0</v>
      </c>
      <c r="AV25" s="374">
        <f>[4]Spolky!$B$4</f>
        <v>0</v>
      </c>
      <c r="AW25" s="374"/>
      <c r="AX25" s="155">
        <f t="shared" si="22"/>
        <v>643500</v>
      </c>
      <c r="AY25" s="374">
        <f>[4]ZŠ!$B$18</f>
        <v>643500</v>
      </c>
      <c r="AZ25" s="374"/>
      <c r="BA25" s="155">
        <f>+BB25+BC25+[4]SŠ!$B$18</f>
        <v>0</v>
      </c>
      <c r="BB25" s="374">
        <f>[4]SŠ!$B$18</f>
        <v>0</v>
      </c>
      <c r="BC25" s="374"/>
      <c r="BD25" s="155">
        <f t="shared" si="24"/>
        <v>195000</v>
      </c>
      <c r="BE25" s="374">
        <f>[4]č.p.65!$B$18</f>
        <v>195000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>
        <f t="shared" si="30"/>
        <v>3030000</v>
      </c>
      <c r="BY25" s="374">
        <f>+[3]VO!$B$12</f>
        <v>3030000</v>
      </c>
      <c r="BZ25" s="374"/>
      <c r="CA25" s="155">
        <f t="shared" si="31"/>
        <v>200000</v>
      </c>
      <c r="CB25" s="374">
        <f>+[3]Silnice!$B$11</f>
        <v>200000</v>
      </c>
      <c r="CC25" s="374"/>
      <c r="CD25" s="155">
        <f>+[5]Doprava!$B$4</f>
        <v>50000</v>
      </c>
      <c r="CE25" s="155">
        <f t="shared" si="32"/>
        <v>320000</v>
      </c>
      <c r="CF25" s="374">
        <f>+[3]Vodovod!$B$4</f>
        <v>320000</v>
      </c>
      <c r="CG25" s="374"/>
      <c r="CH25" s="155"/>
      <c r="CI25" s="374"/>
      <c r="CJ25" s="374"/>
      <c r="CK25" s="155">
        <f>+CL25+CM25</f>
        <v>80000</v>
      </c>
      <c r="CL25" s="374">
        <f>+[3]Kanalizace!$B$4</f>
        <v>80000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f>'[6]TSÚ-Sběrný dvůr 3722-36'!$B$4</f>
        <v>0</v>
      </c>
      <c r="DR25" s="374"/>
      <c r="DS25" s="155"/>
      <c r="DT25" s="155"/>
      <c r="DU25" s="377"/>
      <c r="DV25" s="190">
        <f t="shared" si="42"/>
        <v>7444800</v>
      </c>
      <c r="DW25" s="341">
        <f t="shared" si="12"/>
        <v>0</v>
      </c>
      <c r="DX25" s="342">
        <f>+E25-'Výdaje kapitol celkem'!F25</f>
        <v>0</v>
      </c>
      <c r="DY25" s="373">
        <f t="shared" si="13"/>
        <v>0</v>
      </c>
      <c r="EA25" s="326"/>
    </row>
    <row r="26" spans="1:131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500000</v>
      </c>
      <c r="E26" s="373">
        <f t="shared" si="39"/>
        <v>640000</v>
      </c>
      <c r="F26" s="234"/>
      <c r="G26" s="155"/>
      <c r="H26" s="155"/>
      <c r="I26" s="155"/>
      <c r="J26" s="155"/>
      <c r="K26" s="155">
        <f>[2]Zastupitelé!$B$24</f>
        <v>75000</v>
      </c>
      <c r="L26" s="155"/>
      <c r="M26" s="155">
        <f t="shared" si="14"/>
        <v>75000</v>
      </c>
      <c r="N26" s="374">
        <f>[2]Správa!$D$25</f>
        <v>75000</v>
      </c>
      <c r="O26" s="375"/>
      <c r="P26" s="155"/>
      <c r="Q26" s="384">
        <f t="shared" si="43"/>
        <v>0</v>
      </c>
      <c r="R26" s="155">
        <f>'[2]Pečovatelská služba'!$B$25</f>
        <v>200000</v>
      </c>
      <c r="S26" s="155"/>
      <c r="T26" s="155">
        <f>'[2]Městská policie'!$B$35</f>
        <v>240000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>
        <f>+[3]Hasiči!$B$11</f>
        <v>50000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>
        <f t="shared" si="42"/>
        <v>640000</v>
      </c>
      <c r="DW26" s="341">
        <f t="shared" si="12"/>
        <v>0</v>
      </c>
      <c r="DX26" s="342">
        <f>+E26-'Výdaje kapitol celkem'!F26</f>
        <v>0</v>
      </c>
      <c r="DY26" s="373">
        <f t="shared" si="13"/>
        <v>0</v>
      </c>
      <c r="EA26" s="326"/>
    </row>
    <row r="27" spans="1:131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4">
        <f>[2]Správa!$D$32</f>
        <v>650000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f>[2]Knihovna!$B$26</f>
        <v>5000</v>
      </c>
      <c r="X27" s="155">
        <f>'[2]Život Úval'!$B$4</f>
        <v>40000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695000</v>
      </c>
      <c r="DW27" s="341">
        <f t="shared" si="12"/>
        <v>0</v>
      </c>
      <c r="DX27" s="342">
        <f>+E27-'Výdaje kapitol celkem'!F27</f>
        <v>0</v>
      </c>
      <c r="DY27" s="373">
        <f t="shared" si="13"/>
        <v>0</v>
      </c>
      <c r="EA27" s="326"/>
    </row>
    <row r="28" spans="1:131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>
        <f t="shared" si="39"/>
        <v>564000</v>
      </c>
      <c r="F28" s="234"/>
      <c r="G28" s="155"/>
      <c r="H28" s="155"/>
      <c r="I28" s="155"/>
      <c r="J28" s="155"/>
      <c r="K28" s="155">
        <f>[2]Zastupitelé!$B$31</f>
        <v>50000</v>
      </c>
      <c r="L28" s="155"/>
      <c r="M28" s="155">
        <f t="shared" si="14"/>
        <v>300000</v>
      </c>
      <c r="N28" s="374">
        <f>[2]Správa!$B$39</f>
        <v>300000</v>
      </c>
      <c r="O28" s="375"/>
      <c r="P28" s="155"/>
      <c r="Q28" s="384">
        <f t="shared" si="43"/>
        <v>0</v>
      </c>
      <c r="R28" s="155">
        <f>'[2]Pečovatelská služba'!$B$32</f>
        <v>12000</v>
      </c>
      <c r="S28" s="155"/>
      <c r="T28" s="155">
        <f>'[2]Městská policie'!$B$49</f>
        <v>80000</v>
      </c>
      <c r="U28" s="155"/>
      <c r="V28" s="155"/>
      <c r="W28" s="155">
        <f>[2]Knihovna!$B$33</f>
        <v>12000</v>
      </c>
      <c r="X28" s="155"/>
      <c r="Y28" s="155"/>
      <c r="Z28" s="155">
        <f t="shared" si="15"/>
        <v>0</v>
      </c>
      <c r="AA28" s="374"/>
      <c r="AB28" s="374"/>
      <c r="AC28" s="155">
        <f t="shared" si="16"/>
        <v>60000</v>
      </c>
      <c r="AD28" s="374">
        <f>+[3]DPS!$B$19</f>
        <v>60000</v>
      </c>
      <c r="AE28" s="374"/>
      <c r="AF28" s="155">
        <f t="shared" si="17"/>
        <v>0</v>
      </c>
      <c r="AG28" s="374"/>
      <c r="AH28" s="374"/>
      <c r="AI28" s="155">
        <f>[2]Hasiči!$B$33</f>
        <v>40000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10000</v>
      </c>
      <c r="BE28" s="374">
        <f>[2]č.p.65!$B$18</f>
        <v>10000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>
        <f t="shared" si="42"/>
        <v>564000</v>
      </c>
      <c r="DW28" s="341">
        <f>DV28-E28</f>
        <v>0</v>
      </c>
      <c r="DX28" s="342">
        <f>+E28-'Výdaje kapitol celkem'!F28</f>
        <v>0</v>
      </c>
      <c r="DY28" s="373">
        <f t="shared" si="13"/>
        <v>0</v>
      </c>
      <c r="EA28" s="326"/>
    </row>
    <row r="29" spans="1:131" ht="13.5" customHeight="1" outlineLevel="1" x14ac:dyDescent="0.25">
      <c r="A29" s="222">
        <v>5163</v>
      </c>
      <c r="B29" s="205" t="s">
        <v>84</v>
      </c>
      <c r="C29" s="373">
        <v>750000</v>
      </c>
      <c r="D29" s="373">
        <v>750000</v>
      </c>
      <c r="E29" s="373">
        <f t="shared" si="39"/>
        <v>920000</v>
      </c>
      <c r="F29" s="234">
        <f>[4]Úroky!$B$20</f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f>[2]Hasiči!$B$40</f>
        <v>30000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>
        <f t="shared" si="42"/>
        <v>920000</v>
      </c>
      <c r="DW29" s="341">
        <f t="shared" si="12"/>
        <v>0</v>
      </c>
      <c r="DX29" s="342">
        <f>+E29-'Výdaje kapitol celkem'!F29</f>
        <v>-176680</v>
      </c>
      <c r="DY29" s="373">
        <f t="shared" si="13"/>
        <v>0</v>
      </c>
      <c r="EA29" s="326"/>
    </row>
    <row r="30" spans="1:131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1581638</v>
      </c>
      <c r="E30" s="373">
        <f t="shared" si="39"/>
        <v>1538137</v>
      </c>
      <c r="F30" s="234"/>
      <c r="G30" s="155"/>
      <c r="H30" s="155"/>
      <c r="I30" s="155"/>
      <c r="J30" s="155">
        <v>12</v>
      </c>
      <c r="K30" s="155">
        <f>[2]Zastupitelé!$B$37</f>
        <v>17000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f>[2]Knihovna!$B$40</f>
        <v>192000</v>
      </c>
      <c r="X30" s="155"/>
      <c r="Y30" s="155">
        <f>[2]Kultura!$B$21</f>
        <v>80000</v>
      </c>
      <c r="Z30" s="155">
        <f t="shared" si="15"/>
        <v>35240</v>
      </c>
      <c r="AA30" s="374">
        <f>+[3]Byty!$B$18</f>
        <v>35240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>
        <f t="shared" si="19"/>
        <v>10000</v>
      </c>
      <c r="AP30" s="374">
        <f>+[3]koupaliště!$B$4</f>
        <v>10000</v>
      </c>
      <c r="AQ30" s="374"/>
      <c r="AR30" s="155">
        <f t="shared" si="47"/>
        <v>0</v>
      </c>
      <c r="AS30" s="374">
        <f>+[3]Hřiště!$B$4</f>
        <v>0</v>
      </c>
      <c r="AT30" s="374"/>
      <c r="AU30" s="155">
        <f t="shared" si="45"/>
        <v>12156</v>
      </c>
      <c r="AV30" s="374">
        <f>+[3]Spolky!$B$4</f>
        <v>12156</v>
      </c>
      <c r="AW30" s="374"/>
      <c r="AX30" s="155">
        <f t="shared" si="22"/>
        <v>816000</v>
      </c>
      <c r="AY30" s="374">
        <f>[4]ZŠ!$B$25</f>
        <v>816000</v>
      </c>
      <c r="AZ30" s="374"/>
      <c r="BA30" s="155">
        <f>+BB30+BC30+[4]SŠ!$B$25</f>
        <v>0</v>
      </c>
      <c r="BB30" s="374">
        <f>[4]SŠ!$B$25</f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>
        <f t="shared" si="31"/>
        <v>24229</v>
      </c>
      <c r="CB30" s="386">
        <f>+[3]Silnice!$B$19+'[5]Silnice-nájem'!$B$4</f>
        <v>24229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>
        <f t="shared" si="42"/>
        <v>1538137</v>
      </c>
      <c r="DW30" s="341">
        <f t="shared" si="12"/>
        <v>0</v>
      </c>
      <c r="DX30" s="342">
        <f>+E30-'Výdaje kapitol celkem'!F30</f>
        <v>0</v>
      </c>
      <c r="DY30" s="373">
        <f t="shared" si="13"/>
        <v>0</v>
      </c>
      <c r="EA30" s="326"/>
    </row>
    <row r="31" spans="1:131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4">
        <f>[2]Správa!$B$46</f>
        <v>700000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700000</v>
      </c>
      <c r="DW31" s="341">
        <f t="shared" si="12"/>
        <v>0</v>
      </c>
      <c r="DX31" s="342">
        <f>+E31-'Výdaje kapitol celkem'!F31</f>
        <v>0</v>
      </c>
      <c r="DY31" s="373">
        <f t="shared" si="13"/>
        <v>0</v>
      </c>
      <c r="EA31" s="326"/>
    </row>
    <row r="32" spans="1:131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f t="shared" si="39"/>
        <v>375000</v>
      </c>
      <c r="F32" s="234"/>
      <c r="G32" s="155"/>
      <c r="H32" s="155"/>
      <c r="I32" s="155"/>
      <c r="J32" s="155"/>
      <c r="K32" s="155">
        <f>[2]Zastupitelé!$B$44</f>
        <v>50000</v>
      </c>
      <c r="L32" s="155"/>
      <c r="M32" s="155">
        <f t="shared" si="14"/>
        <v>200000</v>
      </c>
      <c r="N32" s="374">
        <f>[2]Správa!$B$53</f>
        <v>200000</v>
      </c>
      <c r="O32" s="375"/>
      <c r="P32" s="155"/>
      <c r="Q32" s="384">
        <f t="shared" si="43"/>
        <v>0</v>
      </c>
      <c r="R32" s="155">
        <f>'[2]Pečovatelská služba'!$B$45</f>
        <v>10000</v>
      </c>
      <c r="S32" s="155"/>
      <c r="T32" s="155">
        <f>'[2]Městská policie'!$B$70</f>
        <v>80000</v>
      </c>
      <c r="U32" s="155"/>
      <c r="V32" s="155"/>
      <c r="W32" s="155">
        <f>[2]Knihovna!$B$47</f>
        <v>5000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f>[2]Hasiči!$B$47</f>
        <v>30000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375000</v>
      </c>
      <c r="DW32" s="341">
        <f t="shared" si="12"/>
        <v>0</v>
      </c>
      <c r="DX32" s="342">
        <f>+E32-'Výdaje kapitol celkem'!F32</f>
        <v>0</v>
      </c>
      <c r="DY32" s="373">
        <f t="shared" si="13"/>
        <v>0</v>
      </c>
      <c r="EA32" s="326"/>
    </row>
    <row r="33" spans="1:131" ht="13.5" customHeight="1" outlineLevel="1" x14ac:dyDescent="0.25">
      <c r="A33" s="222">
        <v>5168</v>
      </c>
      <c r="B33" s="205" t="s">
        <v>88</v>
      </c>
      <c r="C33" s="373">
        <v>465000</v>
      </c>
      <c r="D33" s="373">
        <v>465000</v>
      </c>
      <c r="E33" s="373">
        <f t="shared" si="39"/>
        <v>615000</v>
      </c>
      <c r="F33" s="234"/>
      <c r="G33" s="155"/>
      <c r="H33" s="155"/>
      <c r="I33" s="155"/>
      <c r="J33" s="155">
        <f>'[6]Všeobecná pokladna 6409'!$B$4</f>
        <v>165000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f>'[6]Územní plán 3635'!$B$12</f>
        <v>450000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615000</v>
      </c>
      <c r="DW33" s="341">
        <f>DV33-E33</f>
        <v>0</v>
      </c>
      <c r="DX33" s="342">
        <f>+E33-'Výdaje kapitol celkem'!F33</f>
        <v>0</v>
      </c>
      <c r="DY33" s="373">
        <f t="shared" si="13"/>
        <v>0</v>
      </c>
      <c r="EA33" s="326"/>
    </row>
    <row r="34" spans="1:131" ht="13.5" customHeight="1" outlineLevel="1" x14ac:dyDescent="0.25">
      <c r="A34" s="222">
        <v>5169</v>
      </c>
      <c r="B34" s="205" t="s">
        <v>89</v>
      </c>
      <c r="C34" s="373">
        <v>15903266.666666666</v>
      </c>
      <c r="D34" s="373">
        <v>16823266.666666664</v>
      </c>
      <c r="E34" s="373">
        <f t="shared" si="39"/>
        <v>18562900</v>
      </c>
      <c r="F34" s="234"/>
      <c r="G34" s="155"/>
      <c r="H34" s="155"/>
      <c r="I34" s="155"/>
      <c r="J34" s="155">
        <v>250000</v>
      </c>
      <c r="K34" s="155">
        <f>[2]Zastupitelé!$B$51</f>
        <v>50000</v>
      </c>
      <c r="L34" s="155">
        <f>'[4]Volby '!$B$25</f>
        <v>0</v>
      </c>
      <c r="M34" s="155">
        <f t="shared" si="14"/>
        <v>1270000</v>
      </c>
      <c r="N34" s="374">
        <f>+[2]Správa!$B$60+[3]Správa!$B$4</f>
        <v>1270000</v>
      </c>
      <c r="O34" s="375"/>
      <c r="P34" s="155"/>
      <c r="Q34" s="385">
        <f t="shared" si="43"/>
        <v>8620000</v>
      </c>
      <c r="R34" s="155">
        <f>'[2]Pečovatelská služba'!$B$52</f>
        <v>18000</v>
      </c>
      <c r="S34" s="155">
        <f>'[2]Agentura SCSA'!$B$4</f>
        <v>300000</v>
      </c>
      <c r="T34" s="155">
        <f>'[2]Městská policie'!$B$77</f>
        <v>136300</v>
      </c>
      <c r="U34" s="155">
        <f>[2]Kronika!$B$18</f>
        <v>100000</v>
      </c>
      <c r="V34" s="155">
        <f>+'[3]Hotel Budka'!$B$18</f>
        <v>0</v>
      </c>
      <c r="W34" s="155">
        <f>[2]Knihovna!$B$54</f>
        <v>15000</v>
      </c>
      <c r="X34" s="155">
        <f>'[2]Život Úval'!$B$11</f>
        <v>500000</v>
      </c>
      <c r="Y34" s="155">
        <f>[2]Kultura!$B$28</f>
        <v>970000</v>
      </c>
      <c r="Z34" s="155">
        <f t="shared" si="15"/>
        <v>1420000</v>
      </c>
      <c r="AA34" s="374">
        <f>+[3]Byty!$B$25</f>
        <v>1420000</v>
      </c>
      <c r="AB34" s="374"/>
      <c r="AC34" s="155">
        <f t="shared" si="16"/>
        <v>170000</v>
      </c>
      <c r="AD34" s="374">
        <f>+[3]DPS!$B$26</f>
        <v>170000</v>
      </c>
      <c r="AE34" s="374"/>
      <c r="AF34" s="155">
        <f t="shared" si="17"/>
        <v>570000</v>
      </c>
      <c r="AG34" s="374">
        <f>+[3]Nebyty!$B$4</f>
        <v>570000</v>
      </c>
      <c r="AH34" s="374"/>
      <c r="AI34" s="155">
        <f>+[3]Hasiči!$B$26+[2]Hasiči!$B$54</f>
        <v>180000</v>
      </c>
      <c r="AJ34" s="155">
        <f>+'[3]Zdrav. středisko'!$B$4</f>
        <v>80000</v>
      </c>
      <c r="AK34" s="155">
        <f>+[3]Tesko!$B$4</f>
        <v>0</v>
      </c>
      <c r="AL34" s="155">
        <f t="shared" si="18"/>
        <v>50000</v>
      </c>
      <c r="AM34" s="374">
        <f>+[3]Hřbitov!$B$18</f>
        <v>50000</v>
      </c>
      <c r="AN34" s="374"/>
      <c r="AO34" s="155">
        <f t="shared" si="19"/>
        <v>30000</v>
      </c>
      <c r="AP34" s="374">
        <f>+[3]koupaliště!$B$14</f>
        <v>30000</v>
      </c>
      <c r="AQ34" s="374"/>
      <c r="AR34" s="155">
        <f t="shared" si="47"/>
        <v>320000</v>
      </c>
      <c r="AS34" s="374">
        <f>+[3]Hřiště!$D$14</f>
        <v>290000</v>
      </c>
      <c r="AT34" s="374">
        <f>+[3]Hřiště!$E$14</f>
        <v>30000</v>
      </c>
      <c r="AU34" s="155">
        <f t="shared" si="45"/>
        <v>550000</v>
      </c>
      <c r="AV34" s="374">
        <f>+[3]Spolky!$B$14</f>
        <v>550000</v>
      </c>
      <c r="AW34" s="374"/>
      <c r="AX34" s="155">
        <f t="shared" si="22"/>
        <v>0</v>
      </c>
      <c r="AY34" s="374">
        <f>+[3]ZŠ!$B$4</f>
        <v>0</v>
      </c>
      <c r="AZ34" s="374"/>
      <c r="BA34" s="155">
        <f t="shared" si="23"/>
        <v>0</v>
      </c>
      <c r="BB34" s="374"/>
      <c r="BC34" s="374"/>
      <c r="BD34" s="155">
        <f t="shared" si="24"/>
        <v>60000</v>
      </c>
      <c r="BE34" s="374">
        <f>+'[3]Č.p. 65'!$B$4</f>
        <v>60000</v>
      </c>
      <c r="BF34" s="374"/>
      <c r="BG34" s="155">
        <f t="shared" si="25"/>
        <v>30000</v>
      </c>
      <c r="BH34" s="374">
        <f>+[3]MDDM!$B$4</f>
        <v>30000</v>
      </c>
      <c r="BI34" s="374"/>
      <c r="BJ34" s="155">
        <f t="shared" si="26"/>
        <v>50000</v>
      </c>
      <c r="BK34" s="374">
        <f>+'[3]MŠ Pražská'!$B$4</f>
        <v>50000</v>
      </c>
      <c r="BL34" s="374"/>
      <c r="BM34" s="155">
        <f t="shared" si="27"/>
        <v>90000</v>
      </c>
      <c r="BN34" s="374">
        <f>+'[3]MŠ Kollárova'!$B$4</f>
        <v>90000</v>
      </c>
      <c r="BO34" s="374"/>
      <c r="BP34" s="155">
        <f t="shared" si="28"/>
        <v>0</v>
      </c>
      <c r="BQ34" s="374">
        <f>+'[3]Jídelna ZŠ'!$B$4</f>
        <v>0</v>
      </c>
      <c r="BR34" s="374"/>
      <c r="BS34" s="155">
        <f>+'[3]Jídelna MŠ'!$B$4</f>
        <v>20000</v>
      </c>
      <c r="BT34" s="155">
        <f t="shared" si="29"/>
        <v>80000</v>
      </c>
      <c r="BU34" s="374">
        <f>+'[3]MŠ Cukrovar'!$B$4</f>
        <v>80000</v>
      </c>
      <c r="BV34" s="374"/>
      <c r="BW34" s="155">
        <f>'[6]Územní plán 3635'!$B$20</f>
        <v>50000</v>
      </c>
      <c r="BX34" s="155">
        <f t="shared" si="30"/>
        <v>262100</v>
      </c>
      <c r="BY34" s="374">
        <f>+[3]VO!$B$20</f>
        <v>262100</v>
      </c>
      <c r="BZ34" s="374"/>
      <c r="CA34" s="340">
        <f t="shared" si="31"/>
        <v>100000</v>
      </c>
      <c r="CB34" s="386">
        <f>+[3]Silnice!$B$30</f>
        <v>100000</v>
      </c>
      <c r="CC34" s="374"/>
      <c r="CD34" s="155"/>
      <c r="CE34" s="155">
        <f t="shared" si="32"/>
        <v>550000</v>
      </c>
      <c r="CF34" s="177">
        <f>+[3]Vodovod!$B$11</f>
        <v>550000</v>
      </c>
      <c r="CG34" s="374"/>
      <c r="CH34" s="155"/>
      <c r="CI34" s="177"/>
      <c r="CJ34" s="374"/>
      <c r="CK34" s="155">
        <f t="shared" si="46"/>
        <v>150000</v>
      </c>
      <c r="CL34" s="177">
        <f>+[3]Kanalizace!$B$11</f>
        <v>150000</v>
      </c>
      <c r="CM34" s="374"/>
      <c r="CN34" s="155"/>
      <c r="CO34" s="177"/>
      <c r="CP34" s="374"/>
      <c r="CQ34" s="155">
        <f>CR34+CS34</f>
        <v>100000</v>
      </c>
      <c r="CR34" s="374">
        <f>+'[3]Inženýrské sítě'!$B$4</f>
        <v>100000</v>
      </c>
      <c r="CS34" s="374"/>
      <c r="CT34" s="155">
        <f>'[6]Lesy 1036'!$B$4</f>
        <v>100000</v>
      </c>
      <c r="CU34" s="155">
        <f t="shared" si="34"/>
        <v>5500000</v>
      </c>
      <c r="CV34" s="374"/>
      <c r="CW34" s="374">
        <f>'[6]Popelnice 3722-1'!$E$20</f>
        <v>5500000</v>
      </c>
      <c r="CX34" s="340">
        <f t="shared" si="35"/>
        <v>800000</v>
      </c>
      <c r="CY34" s="374"/>
      <c r="CZ34" s="386">
        <f>'[6]Odpady 3722-34'!$E$4</f>
        <v>800000</v>
      </c>
      <c r="DA34" s="340">
        <f t="shared" si="36"/>
        <v>70000</v>
      </c>
      <c r="DB34" s="374"/>
      <c r="DC34" s="386">
        <f>'[6]Černé skládky 3729'!$E$4</f>
        <v>70000</v>
      </c>
      <c r="DD34" s="155">
        <f>'[6]Povodeň 3744'!$B$12</f>
        <v>66500</v>
      </c>
      <c r="DE34" s="340">
        <f t="shared" si="37"/>
        <v>2750000</v>
      </c>
      <c r="DF34" s="374">
        <f>'[6]Příroda 3749'!$D$12+'[6]Příroda 3749'!$C$15</f>
        <v>1200000</v>
      </c>
      <c r="DG34" s="374"/>
      <c r="DH34" s="386">
        <f>'[6]Příroda 3749'!$E$12</f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750000</v>
      </c>
      <c r="DQ34" s="374">
        <f>'[6]TSÚ-Sběrný dvůr 3722-36'!$D$13</f>
        <v>50000</v>
      </c>
      <c r="DR34" s="386">
        <f>+'[6]TSÚ-Sběrný dvůr 3722-36'!$E$13</f>
        <v>700000</v>
      </c>
      <c r="DS34" s="155"/>
      <c r="DT34" s="155"/>
      <c r="DU34" s="377"/>
      <c r="DV34" s="190">
        <f t="shared" si="42"/>
        <v>18562900</v>
      </c>
      <c r="DW34" s="341">
        <f t="shared" ref="DW34:DW35" si="48">DV34-E34</f>
        <v>0</v>
      </c>
      <c r="DX34" s="342">
        <f>+E34-'Výdaje kapitol celkem'!F34</f>
        <v>-150000</v>
      </c>
      <c r="DY34" s="373">
        <f t="shared" si="13"/>
        <v>7920000</v>
      </c>
      <c r="EA34" s="326"/>
    </row>
    <row r="35" spans="1:131" ht="13.5" customHeight="1" outlineLevel="1" x14ac:dyDescent="0.25">
      <c r="A35" s="222">
        <v>5171</v>
      </c>
      <c r="B35" s="205" t="s">
        <v>90</v>
      </c>
      <c r="C35" s="373">
        <v>13547480</v>
      </c>
      <c r="D35" s="373">
        <v>13727480</v>
      </c>
      <c r="E35" s="373">
        <f t="shared" si="39"/>
        <v>26516480</v>
      </c>
      <c r="F35" s="234"/>
      <c r="G35" s="155"/>
      <c r="H35" s="155"/>
      <c r="I35" s="155"/>
      <c r="J35" s="155"/>
      <c r="K35" s="155"/>
      <c r="L35" s="155"/>
      <c r="M35" s="340">
        <f t="shared" si="14"/>
        <v>470000</v>
      </c>
      <c r="N35" s="386">
        <f>+[2]Správa!$B$68+[3]Správa!$B$11</f>
        <v>470000</v>
      </c>
      <c r="O35" s="375"/>
      <c r="P35" s="155"/>
      <c r="Q35" s="385">
        <f t="shared" si="43"/>
        <v>2690000</v>
      </c>
      <c r="R35" s="155">
        <f>'[2]Pečovatelská služba'!$D$59</f>
        <v>60000</v>
      </c>
      <c r="S35" s="155"/>
      <c r="T35" s="155" t="str">
        <f>'[2]Městská policie'!$B$84</f>
        <v>celkem</v>
      </c>
      <c r="U35" s="155"/>
      <c r="V35" s="155">
        <f>+'[3]Hotel Budka'!$B$25</f>
        <v>500000</v>
      </c>
      <c r="W35" s="155">
        <f>[2]Knihovna!$B$61</f>
        <v>30000</v>
      </c>
      <c r="X35" s="155"/>
      <c r="Y35" s="155"/>
      <c r="Z35" s="155">
        <f t="shared" si="15"/>
        <v>1110000</v>
      </c>
      <c r="AA35" s="374">
        <f>+[3]Byty!$B$32</f>
        <v>1110000</v>
      </c>
      <c r="AB35" s="374">
        <f>+[3]Byty!$E$32</f>
        <v>0</v>
      </c>
      <c r="AC35" s="155">
        <f t="shared" si="16"/>
        <v>1240000</v>
      </c>
      <c r="AD35" s="374">
        <f>+[3]DPS!$B$33</f>
        <v>1240000</v>
      </c>
      <c r="AE35" s="374"/>
      <c r="AF35" s="155">
        <f t="shared" si="17"/>
        <v>4290000</v>
      </c>
      <c r="AG35" s="374">
        <f>+[3]Nebyty!$B$11</f>
        <v>4290000</v>
      </c>
      <c r="AH35" s="374"/>
      <c r="AI35" s="155">
        <f>+[3]Hasiči!$B$25+[2]Hasiči!$B$61</f>
        <v>260000</v>
      </c>
      <c r="AJ35" s="155">
        <f>+'[3]Zdrav. středisko'!$B$11</f>
        <v>400000</v>
      </c>
      <c r="AK35" s="155">
        <f>+[3]Tesko!$B$11</f>
        <v>0</v>
      </c>
      <c r="AL35" s="155">
        <f t="shared" si="18"/>
        <v>100000</v>
      </c>
      <c r="AM35" s="374">
        <f>+[3]Hřbitov!$B$25</f>
        <v>100000</v>
      </c>
      <c r="AN35" s="374"/>
      <c r="AO35" s="155">
        <f t="shared" si="19"/>
        <v>200000</v>
      </c>
      <c r="AP35" s="374">
        <f>+[3]koupaliště!$B$21</f>
        <v>200000</v>
      </c>
      <c r="AQ35" s="374"/>
      <c r="AR35" s="155">
        <f t="shared" si="47"/>
        <v>280000</v>
      </c>
      <c r="AS35" s="374">
        <f>+[3]Hřiště!$D$21</f>
        <v>80000</v>
      </c>
      <c r="AT35" s="374">
        <f>+[3]Hřiště!$E$21</f>
        <v>200000</v>
      </c>
      <c r="AU35" s="155">
        <f t="shared" si="45"/>
        <v>0</v>
      </c>
      <c r="AV35" s="374">
        <f>+[3]Spolky!$B$23</f>
        <v>0</v>
      </c>
      <c r="AW35" s="374"/>
      <c r="AX35" s="155">
        <f t="shared" si="22"/>
        <v>0</v>
      </c>
      <c r="AY35" s="374">
        <f>+[3]ZŠ!$B$11</f>
        <v>0</v>
      </c>
      <c r="AZ35" s="374"/>
      <c r="BA35" s="155">
        <f t="shared" si="23"/>
        <v>0</v>
      </c>
      <c r="BB35" s="374"/>
      <c r="BC35" s="374"/>
      <c r="BD35" s="155">
        <f t="shared" si="24"/>
        <v>280000</v>
      </c>
      <c r="BE35" s="374">
        <f>+'[3]Č.p. 65'!$B$11</f>
        <v>280000</v>
      </c>
      <c r="BF35" s="374"/>
      <c r="BG35" s="155">
        <f t="shared" si="25"/>
        <v>370000</v>
      </c>
      <c r="BH35" s="374">
        <f>+[3]MDDM!$B$11</f>
        <v>370000</v>
      </c>
      <c r="BI35" s="374"/>
      <c r="BJ35" s="155">
        <f t="shared" si="26"/>
        <v>270000</v>
      </c>
      <c r="BK35" s="374">
        <f>+'[3]MŠ Pražská'!$D$11</f>
        <v>240000</v>
      </c>
      <c r="BL35" s="374">
        <f>+'[3]MŠ Pražská'!$E$11</f>
        <v>30000</v>
      </c>
      <c r="BM35" s="155">
        <f t="shared" si="27"/>
        <v>245000</v>
      </c>
      <c r="BN35" s="374">
        <f>+'[3]MŠ Kollárova'!$D$11</f>
        <v>215000</v>
      </c>
      <c r="BO35" s="374">
        <f>+'[3]MŠ Kollárova'!$E$11</f>
        <v>30000</v>
      </c>
      <c r="BP35" s="155">
        <f t="shared" si="28"/>
        <v>0</v>
      </c>
      <c r="BQ35" s="374">
        <f>+'[3]Jídelna ZŠ'!$B$11</f>
        <v>0</v>
      </c>
      <c r="BR35" s="374"/>
      <c r="BS35" s="155">
        <f>+'[3]Jídelna MŠ'!$B$11</f>
        <v>50000</v>
      </c>
      <c r="BT35" s="155">
        <f t="shared" si="29"/>
        <v>530000</v>
      </c>
      <c r="BU35" s="374">
        <f>+'[3]MŠ Cukrovar'!$D$12</f>
        <v>500000</v>
      </c>
      <c r="BV35" s="374">
        <f>+'[3]MŠ Cukrovar'!$E$12</f>
        <v>30000</v>
      </c>
      <c r="BW35" s="155"/>
      <c r="BX35" s="155">
        <f t="shared" si="30"/>
        <v>950000</v>
      </c>
      <c r="BY35" s="374">
        <f>+[3]VO!$D$29</f>
        <v>600000</v>
      </c>
      <c r="BZ35" s="374">
        <f>+[3]VO!$E$29</f>
        <v>350000</v>
      </c>
      <c r="CA35" s="155">
        <f t="shared" si="31"/>
        <v>8211480</v>
      </c>
      <c r="CB35" s="177">
        <f>+[3]Silnice!$D$39</f>
        <v>5961480</v>
      </c>
      <c r="CC35" s="374">
        <f>+[3]Silnice!$E$39</f>
        <v>2250000</v>
      </c>
      <c r="CD35" s="155"/>
      <c r="CE35" s="155">
        <f t="shared" si="32"/>
        <v>600000</v>
      </c>
      <c r="CF35" s="177">
        <f>+[3]Vodovod!$B$19</f>
        <v>600000</v>
      </c>
      <c r="CG35" s="374"/>
      <c r="CH35" s="208">
        <f>+CJ35+CI35</f>
        <v>2500000</v>
      </c>
      <c r="CI35" s="177">
        <f>+'[5]Vodovod obnova'!$B$4</f>
        <v>2500000</v>
      </c>
      <c r="CJ35" s="374"/>
      <c r="CK35" s="155">
        <f t="shared" si="46"/>
        <v>640000</v>
      </c>
      <c r="CL35" s="177">
        <f>+[3]Kanalizace!$B$20</f>
        <v>640000</v>
      </c>
      <c r="CM35" s="374"/>
      <c r="CN35" s="208">
        <f>+CP35+CO35</f>
        <v>2500000</v>
      </c>
      <c r="CO35" s="177">
        <f>+'[5]Kanalizace obnova'!$B$4</f>
        <v>2500000</v>
      </c>
      <c r="CP35" s="374"/>
      <c r="CQ35" s="155">
        <f t="shared" si="33"/>
        <v>430000</v>
      </c>
      <c r="CR35" s="374">
        <f>+'[3]Inženýrské sítě'!$B$11</f>
        <v>430000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#VALUE!</v>
      </c>
      <c r="DW35" s="341" t="e">
        <f t="shared" si="48"/>
        <v>#VALUE!</v>
      </c>
      <c r="DX35" s="342">
        <f>+E35-'Výdaje kapitol celkem'!F35</f>
        <v>-100000</v>
      </c>
      <c r="DY35" s="373">
        <f>+O35+AB35+AE35++AH35+AN35+AQ35+AZ35+BF35+BI35+BL35+BO35+BR35+BV35+BZ35+CC35+CG35+CS35+CW35+CZ35+DC35+DH35+CJ35+CP35</f>
        <v>2690000</v>
      </c>
      <c r="EA35" s="326"/>
    </row>
    <row r="36" spans="1:131" ht="13.5" customHeight="1" outlineLevel="1" x14ac:dyDescent="0.25">
      <c r="A36" s="222">
        <v>5172</v>
      </c>
      <c r="B36" s="205" t="s">
        <v>91</v>
      </c>
      <c r="C36" s="373">
        <v>2971000</v>
      </c>
      <c r="D36" s="373">
        <v>2971000</v>
      </c>
      <c r="E36" s="373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4">
        <f>[2]Správa!$B$75</f>
        <v>3050000</v>
      </c>
      <c r="O36" s="375"/>
      <c r="P36" s="155"/>
      <c r="Q36" s="384">
        <f t="shared" si="43"/>
        <v>0</v>
      </c>
      <c r="R36" s="155">
        <f>'[2]Pečovatelská služba'!$B$66</f>
        <v>10000</v>
      </c>
      <c r="S36" s="155"/>
      <c r="T36" s="155" t="str">
        <f>'[2]Městská policie'!$B$91</f>
        <v>celkem</v>
      </c>
      <c r="U36" s="155">
        <f>[2]Kronika!$B$25</f>
        <v>6000</v>
      </c>
      <c r="V36" s="155"/>
      <c r="W36" s="155">
        <f>[2]Knihovna!$B$68</f>
        <v>25000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f>[2]Hasiči!$B$68</f>
        <v>30000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>
        <f>+E36-'Výdaje kapitol celkem'!F36</f>
        <v>-243300</v>
      </c>
      <c r="DY36" s="373">
        <f t="shared" si="13"/>
        <v>0</v>
      </c>
      <c r="EA36" s="326"/>
    </row>
    <row r="37" spans="1:131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>
        <f t="shared" si="39"/>
        <v>52000</v>
      </c>
      <c r="F37" s="234"/>
      <c r="G37" s="155"/>
      <c r="H37" s="155"/>
      <c r="I37" s="155"/>
      <c r="J37" s="155"/>
      <c r="K37" s="155">
        <f>[2]Zastupitelé!$B$58</f>
        <v>20000</v>
      </c>
      <c r="L37" s="155"/>
      <c r="M37" s="155">
        <f t="shared" si="14"/>
        <v>30000</v>
      </c>
      <c r="N37" s="374">
        <f>[2]Správa!$B$82</f>
        <v>30000</v>
      </c>
      <c r="O37" s="375"/>
      <c r="P37" s="155"/>
      <c r="Q37" s="384">
        <f t="shared" si="43"/>
        <v>0</v>
      </c>
      <c r="R37" s="155">
        <f>'[2]Pečovatelská služba'!$B$73</f>
        <v>1000</v>
      </c>
      <c r="S37" s="155"/>
      <c r="T37" s="155" t="str">
        <f>'[2]Městská policie'!$B$98</f>
        <v>celkem</v>
      </c>
      <c r="U37" s="155"/>
      <c r="V37" s="155"/>
      <c r="W37" s="155">
        <f>[2]Knihovna!$B$75</f>
        <v>1000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>
        <f>+E37-'Výdaje kapitol celkem'!F37</f>
        <v>-10000</v>
      </c>
      <c r="DY37" s="373">
        <f t="shared" si="13"/>
        <v>0</v>
      </c>
      <c r="EA37" s="326"/>
    </row>
    <row r="38" spans="1:131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406000</v>
      </c>
      <c r="E38" s="373">
        <f t="shared" si="39"/>
        <v>423000</v>
      </c>
      <c r="F38" s="234"/>
      <c r="G38" s="155"/>
      <c r="H38" s="155"/>
      <c r="I38" s="155"/>
      <c r="J38" s="155"/>
      <c r="K38" s="155">
        <f>[2]Zastupitelé!$B$65</f>
        <v>140000</v>
      </c>
      <c r="L38" s="155">
        <f>'[4]Volby '!$B$32</f>
        <v>0</v>
      </c>
      <c r="M38" s="155">
        <f t="shared" si="14"/>
        <v>150000</v>
      </c>
      <c r="N38" s="374">
        <f>[2]Správa!$B$89</f>
        <v>150000</v>
      </c>
      <c r="O38" s="375"/>
      <c r="P38" s="155"/>
      <c r="Q38" s="384">
        <f t="shared" si="43"/>
        <v>0</v>
      </c>
      <c r="R38" s="155">
        <f>'[2]Pečovatelská služba'!$B$80</f>
        <v>12000</v>
      </c>
      <c r="S38" s="155"/>
      <c r="T38" s="155" t="str">
        <f>'[2]Městská policie'!$B$105</f>
        <v>celkem</v>
      </c>
      <c r="U38" s="155"/>
      <c r="V38" s="155"/>
      <c r="W38" s="155">
        <f>[2]Knihovna!$B$82</f>
        <v>1000</v>
      </c>
      <c r="X38" s="155"/>
      <c r="Y38" s="155">
        <f>[2]Kultura!$B$39</f>
        <v>110000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f>[2]Hasiči!$B$75</f>
        <v>10000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f>[2]č.p.65!$B$39</f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#VALUE!</v>
      </c>
      <c r="DW38" s="341" t="e">
        <f t="shared" si="12"/>
        <v>#VALUE!</v>
      </c>
      <c r="DX38" s="342">
        <f>+E38-'Výdaje kapitol celkem'!F38</f>
        <v>-8000</v>
      </c>
      <c r="DY38" s="373">
        <f t="shared" si="13"/>
        <v>0</v>
      </c>
      <c r="EA38" s="326"/>
    </row>
    <row r="39" spans="1:131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4">
        <f>[2]Správa!$D$96</f>
        <v>0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>
        <f t="shared" si="42"/>
        <v>0</v>
      </c>
      <c r="DW39" s="341">
        <f t="shared" si="12"/>
        <v>0</v>
      </c>
      <c r="DX39" s="342">
        <f>+E39-'Výdaje kapitol celkem'!F39</f>
        <v>0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celkem'!F40</f>
        <v>0</v>
      </c>
      <c r="DY40" s="373">
        <f t="shared" si="13"/>
        <v>0</v>
      </c>
      <c r="EA40" s="326"/>
    </row>
    <row r="41" spans="1:131" ht="13.5" customHeight="1" outlineLevel="1" x14ac:dyDescent="0.25">
      <c r="A41" s="222">
        <v>5213</v>
      </c>
      <c r="B41" s="205" t="s">
        <v>95</v>
      </c>
      <c r="C41" s="373">
        <v>2000000</v>
      </c>
      <c r="D41" s="373">
        <v>2978575</v>
      </c>
      <c r="E41" s="373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f>+[5]Doprava!$B$11</f>
        <v>2978575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2978575</v>
      </c>
      <c r="DW41" s="341">
        <f t="shared" si="12"/>
        <v>0</v>
      </c>
      <c r="DX41" s="342">
        <f>+E41-'Výdaje kapitol celkem'!F41</f>
        <v>0</v>
      </c>
      <c r="DY41" s="373">
        <f t="shared" si="13"/>
        <v>0</v>
      </c>
      <c r="EA41" s="326"/>
    </row>
    <row r="42" spans="1:131" ht="13.5" customHeight="1" outlineLevel="1" x14ac:dyDescent="0.25">
      <c r="A42" s="222">
        <v>5194</v>
      </c>
      <c r="B42" s="205" t="s">
        <v>96</v>
      </c>
      <c r="C42" s="373">
        <v>240000</v>
      </c>
      <c r="D42" s="373">
        <v>740000</v>
      </c>
      <c r="E42" s="373">
        <f t="shared" si="39"/>
        <v>300000</v>
      </c>
      <c r="F42" s="234"/>
      <c r="G42" s="155"/>
      <c r="H42" s="155"/>
      <c r="I42" s="155"/>
      <c r="J42" s="155"/>
      <c r="K42" s="155">
        <f>[2]Zastupitelé!$B$80</f>
        <v>95000</v>
      </c>
      <c r="L42" s="155"/>
      <c r="M42" s="155">
        <f t="shared" si="14"/>
        <v>90000</v>
      </c>
      <c r="N42" s="374">
        <f>[2]Správa!$D$103</f>
        <v>90000</v>
      </c>
      <c r="O42" s="375"/>
      <c r="P42" s="155"/>
      <c r="Q42" s="384">
        <f t="shared" si="43"/>
        <v>0</v>
      </c>
      <c r="R42" s="155">
        <f>'[2]Pečovatelská služba'!$B$87</f>
        <v>10000</v>
      </c>
      <c r="S42" s="155"/>
      <c r="T42" s="155" t="str">
        <f>'[2]Městská policie'!$B$119</f>
        <v>celkem</v>
      </c>
      <c r="U42" s="155"/>
      <c r="V42" s="155"/>
      <c r="W42" s="155"/>
      <c r="X42" s="155"/>
      <c r="Y42" s="155">
        <f>[2]Kultura!$B$46</f>
        <v>105000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>
        <f>+E42-'Výdaje kapitol celkem'!F42</f>
        <v>-10000</v>
      </c>
      <c r="DY42" s="373">
        <f t="shared" si="13"/>
        <v>0</v>
      </c>
      <c r="EA42" s="326"/>
    </row>
    <row r="43" spans="1:131" ht="13.5" customHeight="1" outlineLevel="1" x14ac:dyDescent="0.25">
      <c r="A43" s="222">
        <v>5329</v>
      </c>
      <c r="B43" s="205" t="s">
        <v>97</v>
      </c>
      <c r="C43" s="373">
        <v>885140</v>
      </c>
      <c r="D43" s="373">
        <v>885140</v>
      </c>
      <c r="E43" s="373">
        <f t="shared" si="39"/>
        <v>2514380</v>
      </c>
      <c r="F43" s="234"/>
      <c r="G43" s="155"/>
      <c r="H43" s="155"/>
      <c r="I43" s="155"/>
      <c r="J43" s="155">
        <f>'[4]Všebecná pokladna'!$B$49</f>
        <v>914380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1600000</v>
      </c>
      <c r="BB43" s="374">
        <f>[4]SŠ!$B$32</f>
        <v>1600000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2514380</v>
      </c>
      <c r="DW43" s="341">
        <f t="shared" si="12"/>
        <v>0</v>
      </c>
      <c r="DX43" s="342">
        <f>+E43-'Výdaje kapitol celkem'!F43</f>
        <v>0</v>
      </c>
      <c r="DY43" s="373">
        <f t="shared" si="13"/>
        <v>0</v>
      </c>
      <c r="EA43" s="326"/>
    </row>
    <row r="44" spans="1:131" ht="13.5" customHeight="1" outlineLevel="1" x14ac:dyDescent="0.25">
      <c r="A44" s="222">
        <v>5331</v>
      </c>
      <c r="B44" s="205" t="s">
        <v>98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38203592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16429592</v>
      </c>
      <c r="AY44" s="374">
        <f>[4]ZŠ!$B$32</f>
        <v>16429592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f>[4]MDDM!$B$4</f>
        <v>600000</v>
      </c>
      <c r="BI44" s="374"/>
      <c r="BJ44" s="155">
        <f t="shared" si="26"/>
        <v>0</v>
      </c>
      <c r="BK44" s="374"/>
      <c r="BL44" s="374"/>
      <c r="BM44" s="155">
        <f t="shared" si="27"/>
        <v>3974000</v>
      </c>
      <c r="BN44" s="374">
        <f>'[4]MŠ Koll'!$B$4</f>
        <v>3974000</v>
      </c>
      <c r="BO44" s="374"/>
      <c r="BP44" s="155">
        <f>+BQ44+BR44+'[4]Jídelna ZŠ'!$B$4</f>
        <v>0</v>
      </c>
      <c r="BQ44" s="374">
        <f>'[4]Jídelna ZŠ'!$B$4</f>
        <v>0</v>
      </c>
      <c r="BR44" s="374"/>
      <c r="BS44" s="155">
        <f>'[4]Jídelna MŠ Koll.'!$B$4</f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38203592</v>
      </c>
      <c r="DW44" s="341">
        <f t="shared" si="12"/>
        <v>0</v>
      </c>
      <c r="DX44" s="342">
        <f>+E44-'Výdaje kapitol celkem'!F44</f>
        <v>-2700000</v>
      </c>
      <c r="DY44" s="373">
        <f t="shared" si="13"/>
        <v>0</v>
      </c>
      <c r="EA44" s="326"/>
    </row>
    <row r="45" spans="1:131" ht="13.5" customHeight="1" outlineLevel="1" x14ac:dyDescent="0.25">
      <c r="A45" s="222">
        <v>5361</v>
      </c>
      <c r="B45" s="205" t="s">
        <v>99</v>
      </c>
      <c r="C45" s="373">
        <v>40000</v>
      </c>
      <c r="D45" s="373">
        <v>40000</v>
      </c>
      <c r="E45" s="373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4">
        <f>[2]Správa!$B$110</f>
        <v>30000</v>
      </c>
      <c r="O45" s="375"/>
      <c r="P45" s="155"/>
      <c r="Q45" s="384">
        <f t="shared" si="43"/>
        <v>0</v>
      </c>
      <c r="R45" s="155"/>
      <c r="S45" s="155"/>
      <c r="T45" s="155" t="str">
        <f>'[2]Městská policie'!$B$126</f>
        <v>celkem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>
        <f>+E45-'Výdaje kapitol celkem'!F45</f>
        <v>-10000</v>
      </c>
      <c r="DY45" s="373">
        <f t="shared" si="13"/>
        <v>0</v>
      </c>
      <c r="EA45" s="326"/>
    </row>
    <row r="46" spans="1:131" ht="13.5" customHeight="1" outlineLevel="1" x14ac:dyDescent="0.25">
      <c r="A46" s="222">
        <v>5362</v>
      </c>
      <c r="B46" s="205" t="s">
        <v>100</v>
      </c>
      <c r="C46" s="373">
        <v>2130000</v>
      </c>
      <c r="D46" s="373">
        <v>2130000</v>
      </c>
      <c r="E46" s="373">
        <f t="shared" si="39"/>
        <v>1125000</v>
      </c>
      <c r="F46" s="234"/>
      <c r="G46" s="155"/>
      <c r="H46" s="155"/>
      <c r="I46" s="155"/>
      <c r="J46" s="155">
        <f>'[4]Všebecná pokladna'!$B$57+'[6]Všeobecná pokladna 6409'!$B$21</f>
        <v>1050000</v>
      </c>
      <c r="K46" s="155"/>
      <c r="L46" s="155"/>
      <c r="M46" s="155">
        <f t="shared" si="14"/>
        <v>50000</v>
      </c>
      <c r="N46" s="374">
        <f>[2]Správa!$B$117</f>
        <v>50000</v>
      </c>
      <c r="O46" s="375"/>
      <c r="P46" s="155"/>
      <c r="Q46" s="384">
        <f t="shared" si="43"/>
        <v>0</v>
      </c>
      <c r="R46" s="155">
        <f>'[2]Pečovatelská služba'!$B$94</f>
        <v>6000</v>
      </c>
      <c r="S46" s="155"/>
      <c r="T46" s="155" t="str">
        <f>'[2]Městská policie'!$B$133</f>
        <v>celkem</v>
      </c>
      <c r="U46" s="155"/>
      <c r="V46" s="155"/>
      <c r="W46" s="155">
        <f>[2]Knihovna!$B$89</f>
        <v>4000</v>
      </c>
      <c r="X46" s="155"/>
      <c r="Y46" s="155">
        <f>[2]Kultura!$B$53</f>
        <v>15000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>
        <f>+E46-'Výdaje kapitol celkem'!F46</f>
        <v>-5000</v>
      </c>
      <c r="DY46" s="373">
        <f t="shared" si="13"/>
        <v>0</v>
      </c>
      <c r="EA46" s="326"/>
    </row>
    <row r="47" spans="1:131" ht="13.5" customHeight="1" outlineLevel="1" x14ac:dyDescent="0.25">
      <c r="A47" s="222">
        <v>5363</v>
      </c>
      <c r="B47" s="205" t="s">
        <v>781</v>
      </c>
      <c r="C47" s="373">
        <v>0</v>
      </c>
      <c r="D47" s="373">
        <v>0</v>
      </c>
      <c r="E47" s="373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>
        <f t="shared" si="32"/>
        <v>0</v>
      </c>
      <c r="CF47" s="374">
        <f>+[3]Vodovod!$B$27</f>
        <v>0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>
        <f t="shared" si="42"/>
        <v>0</v>
      </c>
      <c r="DW47" s="341"/>
      <c r="DX47" s="342">
        <f>+E47-'Výdaje kapitol celkem'!F47</f>
        <v>0</v>
      </c>
      <c r="DY47" s="373"/>
      <c r="EA47" s="326"/>
    </row>
    <row r="48" spans="1:131" ht="13.5" customHeight="1" outlineLevel="1" x14ac:dyDescent="0.25">
      <c r="A48" s="222">
        <v>5492</v>
      </c>
      <c r="B48" s="205" t="s">
        <v>101</v>
      </c>
      <c r="C48" s="373">
        <v>20000</v>
      </c>
      <c r="D48" s="373">
        <v>20000</v>
      </c>
      <c r="E48" s="373">
        <f t="shared" si="39"/>
        <v>930000</v>
      </c>
      <c r="F48" s="234"/>
      <c r="G48" s="155"/>
      <c r="H48" s="155"/>
      <c r="I48" s="155"/>
      <c r="J48" s="155"/>
      <c r="K48" s="155">
        <f>[2]Zastupitelé!$B$88</f>
        <v>910000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f>[2]Kultura!$B$60</f>
        <v>20000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930000</v>
      </c>
      <c r="DW48" s="341">
        <f t="shared" si="12"/>
        <v>0</v>
      </c>
      <c r="DX48" s="342">
        <f>+E48-'Výdaje kapitol celkem'!F48</f>
        <v>0</v>
      </c>
      <c r="DY48" s="373">
        <f t="shared" si="13"/>
        <v>0</v>
      </c>
      <c r="EA48" s="326"/>
    </row>
    <row r="49" spans="1:131" ht="13.5" customHeight="1" outlineLevel="1" x14ac:dyDescent="0.25">
      <c r="A49" s="222">
        <v>5499</v>
      </c>
      <c r="B49" s="205" t="s">
        <v>751</v>
      </c>
      <c r="C49" s="373">
        <v>1300000</v>
      </c>
      <c r="D49" s="373">
        <v>1300000</v>
      </c>
      <c r="E49" s="373">
        <f t="shared" si="39"/>
        <v>1620000</v>
      </c>
      <c r="F49" s="234"/>
      <c r="G49" s="155"/>
      <c r="H49" s="155"/>
      <c r="I49" s="155"/>
      <c r="J49" s="155">
        <f>'[4]Všebecná pokladna'!$B$64</f>
        <v>1620000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1620000</v>
      </c>
      <c r="DW49" s="341">
        <f t="shared" si="12"/>
        <v>0</v>
      </c>
      <c r="DX49" s="342">
        <f>+E49-'Výdaje kapitol celkem'!F49</f>
        <v>0</v>
      </c>
      <c r="DY49" s="373">
        <f t="shared" si="13"/>
        <v>0</v>
      </c>
      <c r="EA49" s="326"/>
    </row>
    <row r="50" spans="1:131" ht="13.5" customHeight="1" outlineLevel="1" x14ac:dyDescent="0.25">
      <c r="A50" s="222">
        <v>5222</v>
      </c>
      <c r="B50" s="205" t="s">
        <v>102</v>
      </c>
      <c r="C50" s="373">
        <v>1100000</v>
      </c>
      <c r="D50" s="373">
        <v>1100000</v>
      </c>
      <c r="E50" s="373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f>+AP50+AQ50+[4]Koupaliště!$B$11</f>
        <v>0</v>
      </c>
      <c r="AP50" s="374">
        <f>[4]Koupaliště!$B$11</f>
        <v>0</v>
      </c>
      <c r="AQ50" s="374"/>
      <c r="AR50" s="155">
        <f>+AS50+AT50+[4]Hřiště!$B$11</f>
        <v>0</v>
      </c>
      <c r="AS50" s="374">
        <f>[4]Hřiště!$B$11</f>
        <v>0</v>
      </c>
      <c r="AT50" s="374"/>
      <c r="AU50" s="155">
        <f t="shared" si="49"/>
        <v>1195000</v>
      </c>
      <c r="AV50" s="374">
        <f>[4]Spolky!$B$11</f>
        <v>1195000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1195000</v>
      </c>
      <c r="DW50" s="341">
        <f t="shared" si="12"/>
        <v>0</v>
      </c>
      <c r="DX50" s="342">
        <f>+E50-'Výdaje kapitol celkem'!F50</f>
        <v>0</v>
      </c>
      <c r="DY50" s="373">
        <f t="shared" si="13"/>
        <v>0</v>
      </c>
      <c r="EA50" s="326"/>
    </row>
    <row r="51" spans="1:131" ht="12.75" customHeight="1" outlineLevel="1" x14ac:dyDescent="0.25">
      <c r="A51" s="392">
        <v>5903</v>
      </c>
      <c r="B51" s="393" t="s">
        <v>767</v>
      </c>
      <c r="C51" s="394">
        <v>60187.891499999998</v>
      </c>
      <c r="D51" s="394">
        <v>60187.891499999998</v>
      </c>
      <c r="E51" s="373">
        <f t="shared" si="39"/>
        <v>69012.591499999995</v>
      </c>
      <c r="F51" s="395"/>
      <c r="G51" s="396"/>
      <c r="H51" s="396">
        <f>'[4]Krizové situace-5213'!$B$4</f>
        <v>69012.591499999995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69012.591499999995</v>
      </c>
      <c r="DW51" s="341"/>
      <c r="DX51" s="342">
        <f>+E51-'Výdaje kapitol celkem'!F51</f>
        <v>0</v>
      </c>
      <c r="DY51" s="394"/>
      <c r="EA51" s="326"/>
    </row>
    <row r="52" spans="1:131" ht="14.25" thickBot="1" x14ac:dyDescent="0.3">
      <c r="A52" s="213" t="s">
        <v>103</v>
      </c>
      <c r="B52" s="214"/>
      <c r="C52" s="378">
        <v>91165212.558166653</v>
      </c>
      <c r="D52" s="378">
        <v>93593787.558166653</v>
      </c>
      <c r="E52" s="378">
        <f>SUM(E17:E51)</f>
        <v>122120326.5915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9">
        <f t="shared" si="53"/>
        <v>10075000</v>
      </c>
      <c r="O52" s="380">
        <f t="shared" si="53"/>
        <v>70000</v>
      </c>
      <c r="P52" s="217">
        <f t="shared" si="53"/>
        <v>0</v>
      </c>
      <c r="Q52" s="381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9">
        <f t="shared" si="54"/>
        <v>3174240</v>
      </c>
      <c r="AB52" s="379">
        <f t="shared" si="54"/>
        <v>0</v>
      </c>
      <c r="AC52" s="217">
        <f t="shared" si="54"/>
        <v>4490000</v>
      </c>
      <c r="AD52" s="379">
        <f t="shared" si="54"/>
        <v>4490000</v>
      </c>
      <c r="AE52" s="379">
        <f t="shared" si="54"/>
        <v>0</v>
      </c>
      <c r="AF52" s="217">
        <f t="shared" si="54"/>
        <v>6470800</v>
      </c>
      <c r="AG52" s="379">
        <f t="shared" si="54"/>
        <v>6470800</v>
      </c>
      <c r="AH52" s="379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9">
        <f t="shared" si="54"/>
        <v>190000</v>
      </c>
      <c r="AN52" s="379">
        <f t="shared" si="54"/>
        <v>20000</v>
      </c>
      <c r="AO52" s="217">
        <f t="shared" si="54"/>
        <v>240000</v>
      </c>
      <c r="AP52" s="379">
        <f t="shared" si="54"/>
        <v>240000</v>
      </c>
      <c r="AQ52" s="379">
        <f t="shared" si="54"/>
        <v>0</v>
      </c>
      <c r="AR52" s="217">
        <f t="shared" ref="AR52:AW52" si="56">SUM(AR17:AR51)</f>
        <v>660000</v>
      </c>
      <c r="AS52" s="379">
        <f t="shared" si="56"/>
        <v>430000</v>
      </c>
      <c r="AT52" s="379">
        <f t="shared" si="56"/>
        <v>230000</v>
      </c>
      <c r="AU52" s="217">
        <f t="shared" si="56"/>
        <v>1757156</v>
      </c>
      <c r="AV52" s="379">
        <f t="shared" si="56"/>
        <v>1757156</v>
      </c>
      <c r="AW52" s="379">
        <f t="shared" si="56"/>
        <v>0</v>
      </c>
      <c r="AX52" s="217">
        <f t="shared" si="54"/>
        <v>19144092</v>
      </c>
      <c r="AY52" s="379">
        <f t="shared" si="54"/>
        <v>19144092</v>
      </c>
      <c r="AZ52" s="379">
        <f t="shared" si="54"/>
        <v>0</v>
      </c>
      <c r="BA52" s="217">
        <f t="shared" ref="BA52:BC52" si="57">SUM(BA17:BA51)</f>
        <v>1600000</v>
      </c>
      <c r="BB52" s="379">
        <f t="shared" si="57"/>
        <v>1600000</v>
      </c>
      <c r="BC52" s="379">
        <f t="shared" si="57"/>
        <v>0</v>
      </c>
      <c r="BD52" s="217">
        <f t="shared" si="54"/>
        <v>840000</v>
      </c>
      <c r="BE52" s="379">
        <f t="shared" si="54"/>
        <v>840000</v>
      </c>
      <c r="BF52" s="379">
        <f t="shared" si="54"/>
        <v>0</v>
      </c>
      <c r="BG52" s="217">
        <f t="shared" si="54"/>
        <v>1000000</v>
      </c>
      <c r="BH52" s="379">
        <f t="shared" si="54"/>
        <v>1000000</v>
      </c>
      <c r="BI52" s="379">
        <f t="shared" si="54"/>
        <v>0</v>
      </c>
      <c r="BJ52" s="217">
        <f t="shared" si="54"/>
        <v>320000</v>
      </c>
      <c r="BK52" s="379">
        <f t="shared" si="54"/>
        <v>290000</v>
      </c>
      <c r="BL52" s="379">
        <f t="shared" si="54"/>
        <v>30000</v>
      </c>
      <c r="BM52" s="217">
        <f t="shared" si="54"/>
        <v>4309000</v>
      </c>
      <c r="BN52" s="379">
        <f t="shared" si="54"/>
        <v>4279000</v>
      </c>
      <c r="BO52" s="379">
        <f t="shared" si="54"/>
        <v>30000</v>
      </c>
      <c r="BP52" s="217">
        <f t="shared" si="54"/>
        <v>0</v>
      </c>
      <c r="BQ52" s="379">
        <f t="shared" si="54"/>
        <v>0</v>
      </c>
      <c r="BR52" s="379">
        <f t="shared" si="54"/>
        <v>0</v>
      </c>
      <c r="BS52" s="217">
        <f t="shared" si="54"/>
        <v>270000</v>
      </c>
      <c r="BT52" s="217">
        <f t="shared" si="54"/>
        <v>610000</v>
      </c>
      <c r="BU52" s="379">
        <f t="shared" si="54"/>
        <v>580000</v>
      </c>
      <c r="BV52" s="379">
        <f t="shared" si="54"/>
        <v>30000</v>
      </c>
      <c r="BW52" s="217">
        <f t="shared" si="54"/>
        <v>500000</v>
      </c>
      <c r="BX52" s="217">
        <f t="shared" si="54"/>
        <v>4392100</v>
      </c>
      <c r="BY52" s="379">
        <f t="shared" si="54"/>
        <v>4042100</v>
      </c>
      <c r="BZ52" s="379">
        <f t="shared" si="54"/>
        <v>350000</v>
      </c>
      <c r="CA52" s="217">
        <f t="shared" si="54"/>
        <v>9200709</v>
      </c>
      <c r="CB52" s="379">
        <f t="shared" si="54"/>
        <v>6950709</v>
      </c>
      <c r="CC52" s="379">
        <f t="shared" si="54"/>
        <v>2250000</v>
      </c>
      <c r="CD52" s="217">
        <f t="shared" si="54"/>
        <v>3028575</v>
      </c>
      <c r="CE52" s="217">
        <f t="shared" si="54"/>
        <v>1470000</v>
      </c>
      <c r="CF52" s="379">
        <f t="shared" si="54"/>
        <v>1470000</v>
      </c>
      <c r="CG52" s="379">
        <f t="shared" si="54"/>
        <v>0</v>
      </c>
      <c r="CH52" s="217">
        <f t="shared" si="54"/>
        <v>2500000</v>
      </c>
      <c r="CI52" s="379">
        <f t="shared" si="54"/>
        <v>2500000</v>
      </c>
      <c r="CJ52" s="379">
        <f t="shared" si="54"/>
        <v>0</v>
      </c>
      <c r="CK52" s="217">
        <f t="shared" si="54"/>
        <v>870000</v>
      </c>
      <c r="CL52" s="379">
        <f t="shared" si="54"/>
        <v>870000</v>
      </c>
      <c r="CM52" s="379">
        <f t="shared" si="54"/>
        <v>0</v>
      </c>
      <c r="CN52" s="217">
        <f t="shared" ref="CN52:DU52" si="58">SUM(CN17:CN51)</f>
        <v>2500000</v>
      </c>
      <c r="CO52" s="379">
        <f t="shared" si="58"/>
        <v>2500000</v>
      </c>
      <c r="CP52" s="379">
        <f t="shared" si="58"/>
        <v>0</v>
      </c>
      <c r="CQ52" s="217">
        <f t="shared" si="58"/>
        <v>530000</v>
      </c>
      <c r="CR52" s="379">
        <f t="shared" si="58"/>
        <v>530000</v>
      </c>
      <c r="CS52" s="379">
        <f t="shared" si="58"/>
        <v>0</v>
      </c>
      <c r="CT52" s="217">
        <f t="shared" si="58"/>
        <v>100000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66500</v>
      </c>
      <c r="DE52" s="217">
        <f t="shared" si="58"/>
        <v>3000000</v>
      </c>
      <c r="DF52" s="379">
        <f t="shared" si="58"/>
        <v>1450000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9">
        <f t="shared" si="58"/>
        <v>50000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>
        <f>SUM(DY17:DY50)</f>
        <v>10700000</v>
      </c>
      <c r="EA52" s="326"/>
    </row>
    <row r="53" spans="1:131" outlineLevel="1" x14ac:dyDescent="0.2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4">
        <f>[4]Úroky!$B$4</f>
        <v>2952545.0202600001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1">
        <f t="shared" si="12"/>
        <v>0</v>
      </c>
      <c r="DX53" s="342">
        <f>+E53-'Výdaje kapitol celkem'!F53</f>
        <v>0</v>
      </c>
      <c r="DY53" s="403"/>
      <c r="EA53" s="326"/>
    </row>
    <row r="54" spans="1:131" outlineLevel="1" x14ac:dyDescent="0.25">
      <c r="A54" s="401">
        <v>5144</v>
      </c>
      <c r="B54" s="410" t="s">
        <v>679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celkem'!F54</f>
        <v>0</v>
      </c>
      <c r="DY54" s="403"/>
      <c r="EA54" s="326"/>
    </row>
    <row r="55" spans="1:131" ht="14.25" thickBot="1" x14ac:dyDescent="0.3">
      <c r="A55" s="213" t="s">
        <v>104</v>
      </c>
      <c r="B55" s="214" t="s">
        <v>105</v>
      </c>
      <c r="C55" s="378">
        <v>134231286.41076666</v>
      </c>
      <c r="D55" s="378">
        <v>136659861.41076666</v>
      </c>
      <c r="E55" s="378">
        <f>+E52+E53+E16+E54</f>
        <v>169082161.61176002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9">
        <f t="shared" si="86"/>
        <v>35498760.600000001</v>
      </c>
      <c r="O55" s="380">
        <f t="shared" si="86"/>
        <v>70000</v>
      </c>
      <c r="P55" s="217">
        <f t="shared" si="86"/>
        <v>2539193.7999999998</v>
      </c>
      <c r="Q55" s="381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9">
        <f t="shared" si="86"/>
        <v>3174240</v>
      </c>
      <c r="AB55" s="379">
        <f t="shared" si="86"/>
        <v>0</v>
      </c>
      <c r="AC55" s="217">
        <f t="shared" si="86"/>
        <v>4490000</v>
      </c>
      <c r="AD55" s="379">
        <f t="shared" si="86"/>
        <v>4490000</v>
      </c>
      <c r="AE55" s="379">
        <f t="shared" si="86"/>
        <v>0</v>
      </c>
      <c r="AF55" s="217">
        <f t="shared" si="86"/>
        <v>6470800</v>
      </c>
      <c r="AG55" s="379">
        <f t="shared" si="86"/>
        <v>6470800</v>
      </c>
      <c r="AH55" s="379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9">
        <f t="shared" si="86"/>
        <v>190000</v>
      </c>
      <c r="AN55" s="379">
        <f t="shared" si="86"/>
        <v>20000</v>
      </c>
      <c r="AO55" s="217">
        <f t="shared" si="86"/>
        <v>240000</v>
      </c>
      <c r="AP55" s="379">
        <f t="shared" si="86"/>
        <v>240000</v>
      </c>
      <c r="AQ55" s="379">
        <f t="shared" si="86"/>
        <v>0</v>
      </c>
      <c r="AR55" s="217">
        <f t="shared" si="86"/>
        <v>660000</v>
      </c>
      <c r="AS55" s="379">
        <f t="shared" si="86"/>
        <v>430000</v>
      </c>
      <c r="AT55" s="379">
        <f t="shared" si="86"/>
        <v>230000</v>
      </c>
      <c r="AU55" s="217">
        <f t="shared" si="86"/>
        <v>1757156</v>
      </c>
      <c r="AV55" s="379">
        <f t="shared" si="86"/>
        <v>1757156</v>
      </c>
      <c r="AW55" s="379">
        <f t="shared" si="86"/>
        <v>0</v>
      </c>
      <c r="AX55" s="217">
        <f t="shared" si="86"/>
        <v>19144092</v>
      </c>
      <c r="AY55" s="379">
        <f t="shared" si="86"/>
        <v>19144092</v>
      </c>
      <c r="AZ55" s="379">
        <f t="shared" si="86"/>
        <v>0</v>
      </c>
      <c r="BA55" s="217">
        <f t="shared" si="86"/>
        <v>1600000</v>
      </c>
      <c r="BB55" s="379">
        <f t="shared" si="86"/>
        <v>1600000</v>
      </c>
      <c r="BC55" s="379">
        <f t="shared" si="86"/>
        <v>0</v>
      </c>
      <c r="BD55" s="217">
        <f t="shared" si="86"/>
        <v>840000</v>
      </c>
      <c r="BE55" s="379">
        <f t="shared" si="86"/>
        <v>840000</v>
      </c>
      <c r="BF55" s="379">
        <f t="shared" si="86"/>
        <v>0</v>
      </c>
      <c r="BG55" s="217">
        <f t="shared" si="86"/>
        <v>1000000</v>
      </c>
      <c r="BH55" s="379">
        <f t="shared" si="86"/>
        <v>1000000</v>
      </c>
      <c r="BI55" s="379">
        <f t="shared" si="86"/>
        <v>0</v>
      </c>
      <c r="BJ55" s="217">
        <f t="shared" si="86"/>
        <v>320000</v>
      </c>
      <c r="BK55" s="379">
        <f t="shared" si="86"/>
        <v>290000</v>
      </c>
      <c r="BL55" s="379">
        <f t="shared" si="86"/>
        <v>30000</v>
      </c>
      <c r="BM55" s="217">
        <f t="shared" si="86"/>
        <v>4309000</v>
      </c>
      <c r="BN55" s="379">
        <f t="shared" si="86"/>
        <v>4279000</v>
      </c>
      <c r="BO55" s="379">
        <f t="shared" si="86"/>
        <v>30000</v>
      </c>
      <c r="BP55" s="217">
        <f t="shared" si="86"/>
        <v>0</v>
      </c>
      <c r="BQ55" s="379">
        <f t="shared" si="86"/>
        <v>0</v>
      </c>
      <c r="BR55" s="379">
        <f t="shared" si="86"/>
        <v>0</v>
      </c>
      <c r="BS55" s="217">
        <f t="shared" si="86"/>
        <v>270000</v>
      </c>
      <c r="BT55" s="217">
        <f t="shared" si="86"/>
        <v>610000</v>
      </c>
      <c r="BU55" s="379">
        <f t="shared" si="86"/>
        <v>580000</v>
      </c>
      <c r="BV55" s="379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9">
        <f t="shared" si="87"/>
        <v>4042100</v>
      </c>
      <c r="BZ55" s="379">
        <f t="shared" si="87"/>
        <v>350000</v>
      </c>
      <c r="CA55" s="217">
        <f t="shared" si="87"/>
        <v>9200709</v>
      </c>
      <c r="CB55" s="379">
        <f t="shared" si="87"/>
        <v>6950709</v>
      </c>
      <c r="CC55" s="379">
        <f t="shared" si="87"/>
        <v>2250000</v>
      </c>
      <c r="CD55" s="217">
        <f t="shared" si="87"/>
        <v>3028575</v>
      </c>
      <c r="CE55" s="217">
        <f t="shared" si="87"/>
        <v>1470000</v>
      </c>
      <c r="CF55" s="379">
        <f t="shared" si="87"/>
        <v>1470000</v>
      </c>
      <c r="CG55" s="379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9">
        <f t="shared" ref="CR55:DU55" si="89">+CR52+CR53+CR16+CR54</f>
        <v>530000</v>
      </c>
      <c r="CS55" s="379">
        <f t="shared" si="89"/>
        <v>0</v>
      </c>
      <c r="CT55" s="217">
        <f t="shared" si="89"/>
        <v>100000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66500</v>
      </c>
      <c r="DE55" s="217">
        <f t="shared" si="89"/>
        <v>3000000</v>
      </c>
      <c r="DF55" s="379">
        <f t="shared" si="89"/>
        <v>1450000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9">
        <f t="shared" si="89"/>
        <v>50000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>
        <f>+DY52+DY53+DY16</f>
        <v>10700000</v>
      </c>
      <c r="EA55" s="326"/>
    </row>
    <row r="56" spans="1:131" outlineLevel="1" x14ac:dyDescent="0.2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celkem'!F56</f>
        <v>0</v>
      </c>
      <c r="DY56" s="403"/>
      <c r="EA56" s="326"/>
    </row>
    <row r="57" spans="1:131" outlineLevel="1" x14ac:dyDescent="0.25">
      <c r="A57" s="418">
        <v>6111</v>
      </c>
      <c r="B57" s="402" t="s">
        <v>91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celkem'!F57</f>
        <v>0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25">
      <c r="A58" s="222">
        <v>6121</v>
      </c>
      <c r="B58" s="205" t="s">
        <v>106</v>
      </c>
      <c r="C58" s="373">
        <v>41745000</v>
      </c>
      <c r="D58" s="373">
        <v>45745000</v>
      </c>
      <c r="E58" s="373">
        <f t="shared" si="91"/>
        <v>55158654.480000004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f>+'[5]Hotel Budka'!$B$4</f>
        <v>0</v>
      </c>
      <c r="W58" s="155"/>
      <c r="X58" s="155"/>
      <c r="Y58" s="155"/>
      <c r="Z58" s="155">
        <f t="shared" si="93"/>
        <v>2400000</v>
      </c>
      <c r="AA58" s="374">
        <f>[5]Byty!$B$4</f>
        <v>2400000</v>
      </c>
      <c r="AB58" s="374"/>
      <c r="AC58" s="160">
        <f t="shared" si="94"/>
        <v>0</v>
      </c>
      <c r="AD58" s="177"/>
      <c r="AE58" s="177"/>
      <c r="AF58" s="155">
        <f t="shared" si="95"/>
        <v>60000</v>
      </c>
      <c r="AG58" s="177">
        <f>+[5]Nebyty!$B$4</f>
        <v>60000</v>
      </c>
      <c r="AH58" s="177"/>
      <c r="AI58" s="155">
        <f>+[3]Hasiči!$B$40</f>
        <v>14700000</v>
      </c>
      <c r="AJ58" s="155">
        <f>+'[3]Zdrav. středisko'!$B$19</f>
        <v>0</v>
      </c>
      <c r="AK58" s="155"/>
      <c r="AL58" s="155">
        <f t="shared" si="96"/>
        <v>0</v>
      </c>
      <c r="AM58" s="374">
        <f>+[3]Hřbitov!$B$32</f>
        <v>0</v>
      </c>
      <c r="AN58" s="374"/>
      <c r="AO58" s="340">
        <f t="shared" si="97"/>
        <v>220000</v>
      </c>
      <c r="AP58" s="374">
        <f>+[5]Koupaliště!$B$4</f>
        <v>220000</v>
      </c>
      <c r="AQ58" s="374"/>
      <c r="AR58" s="340">
        <f t="shared" si="98"/>
        <v>0</v>
      </c>
      <c r="AS58" s="374">
        <f>[5]Hřiště!$B$5</f>
        <v>0</v>
      </c>
      <c r="AT58" s="374"/>
      <c r="AU58" s="340">
        <f t="shared" si="99"/>
        <v>0</v>
      </c>
      <c r="AV58" s="374"/>
      <c r="AW58" s="374"/>
      <c r="AX58" s="155">
        <f t="shared" si="100"/>
        <v>31536654.48</v>
      </c>
      <c r="AY58" s="374">
        <f>[5]ZŠ!$B$4</f>
        <v>31536654.48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f>+'[5]Č.p. 65'!$B$4</f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f>+'[5]MŠ Pražská'!$B$4</f>
        <v>0</v>
      </c>
      <c r="BL58" s="374"/>
      <c r="BM58" s="155">
        <f t="shared" si="105"/>
        <v>0</v>
      </c>
      <c r="BN58" s="374"/>
      <c r="BO58" s="374"/>
      <c r="BP58" s="155">
        <f t="shared" si="106"/>
        <v>2500000</v>
      </c>
      <c r="BQ58" s="374">
        <f>+'[5]Jídelna ZŠ'!$B$3</f>
        <v>2500000</v>
      </c>
      <c r="BR58" s="374"/>
      <c r="BS58" s="155"/>
      <c r="BT58" s="340">
        <f t="shared" si="107"/>
        <v>250000</v>
      </c>
      <c r="BU58" s="374">
        <f>+'[5]MŠ Cukrovar'!$B$4</f>
        <v>250000</v>
      </c>
      <c r="BV58" s="374"/>
      <c r="BW58" s="155"/>
      <c r="BX58" s="155">
        <f t="shared" si="108"/>
        <v>592000</v>
      </c>
      <c r="BY58" s="386">
        <f>+[3]VO!$B$37</f>
        <v>592000</v>
      </c>
      <c r="BZ58" s="374"/>
      <c r="CA58" s="340">
        <f t="shared" si="109"/>
        <v>100000</v>
      </c>
      <c r="CB58" s="374">
        <f>'[5]Silnice stavba'!$B$4</f>
        <v>100000</v>
      </c>
      <c r="CC58" s="374"/>
      <c r="CD58" s="155"/>
      <c r="CE58" s="155">
        <f t="shared" si="110"/>
        <v>2500000</v>
      </c>
      <c r="CF58" s="374">
        <f>+[5]Vodovod!$B$4</f>
        <v>2500000</v>
      </c>
      <c r="CG58" s="374"/>
      <c r="CH58" s="155"/>
      <c r="CI58" s="374"/>
      <c r="CJ58" s="374"/>
      <c r="CK58" s="155">
        <f>+CL58+CM58</f>
        <v>50000</v>
      </c>
      <c r="CL58" s="374">
        <f>+[5]Kanalizace!$B$4</f>
        <v>50000</v>
      </c>
      <c r="CM58" s="374"/>
      <c r="CN58" s="155"/>
      <c r="CO58" s="374"/>
      <c r="CP58" s="374"/>
      <c r="CQ58" s="155">
        <f t="shared" si="111"/>
        <v>250000</v>
      </c>
      <c r="CR58" s="374">
        <f>+'[5]Inženýrské sítě'!$B$4</f>
        <v>250000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f>'[6]Povodeň 3744'!$B$29</f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55158654.480000004</v>
      </c>
      <c r="DW58" s="341">
        <f>DV58-E58</f>
        <v>0</v>
      </c>
      <c r="DX58" s="342">
        <f>+E58-'Výdaje kapitol celkem'!F58</f>
        <v>-131000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25">
      <c r="A59" s="222">
        <v>6121</v>
      </c>
      <c r="B59" s="205" t="s">
        <v>107</v>
      </c>
      <c r="C59" s="373">
        <v>6590000</v>
      </c>
      <c r="D59" s="373">
        <v>6590000</v>
      </c>
      <c r="E59" s="373">
        <f t="shared" si="91"/>
        <v>10541000</v>
      </c>
      <c r="F59" s="234"/>
      <c r="G59" s="155"/>
      <c r="H59" s="155"/>
      <c r="I59" s="155"/>
      <c r="J59" s="155">
        <f>'[4]Všebecná pokladna'!$B$71</f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f>'[5]Hotel Budka'!$B$5</f>
        <v>500000</v>
      </c>
      <c r="W59" s="155"/>
      <c r="X59" s="155"/>
      <c r="Y59" s="155"/>
      <c r="Z59" s="155">
        <f t="shared" si="93"/>
        <v>0</v>
      </c>
      <c r="AA59" s="374">
        <f>[5]Byty!$B$5</f>
        <v>0</v>
      </c>
      <c r="AB59" s="374"/>
      <c r="AC59" s="160">
        <f t="shared" si="94"/>
        <v>0</v>
      </c>
      <c r="AD59" s="177"/>
      <c r="AE59" s="177"/>
      <c r="AF59" s="155">
        <f t="shared" si="95"/>
        <v>0</v>
      </c>
      <c r="AG59" s="374">
        <f>+[5]Nebyty!$B$5</f>
        <v>0</v>
      </c>
      <c r="AH59" s="177"/>
      <c r="AI59" s="155"/>
      <c r="AJ59" s="155">
        <f>+'[3]Zdrav. středisko'!$B$20</f>
        <v>150000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f>+[5]Koupaliště!$B$5</f>
        <v>60000</v>
      </c>
      <c r="AQ59" s="374"/>
      <c r="AR59" s="155">
        <f t="shared" si="98"/>
        <v>131000</v>
      </c>
      <c r="AS59" s="374">
        <f>[5]Hřiště!$B$4</f>
        <v>131000</v>
      </c>
      <c r="AT59" s="374"/>
      <c r="AU59" s="155">
        <f t="shared" si="99"/>
        <v>0</v>
      </c>
      <c r="AV59" s="374"/>
      <c r="AW59" s="374"/>
      <c r="AX59" s="155">
        <f t="shared" si="100"/>
        <v>200000</v>
      </c>
      <c r="AY59" s="374">
        <f>+[5]ZŠ!$B$5</f>
        <v>200000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f>+'[5]Č.p. 65'!$B$5</f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f>+'[5]MŠ Pražská'!$B$5</f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f>+'[5]Jídelna ZŠ'!$B$4</f>
        <v>0</v>
      </c>
      <c r="BR59" s="374"/>
      <c r="BS59" s="155"/>
      <c r="BT59" s="155">
        <f t="shared" si="107"/>
        <v>200000</v>
      </c>
      <c r="BU59" s="374">
        <f>+[5]ZŠ!$B$5</f>
        <v>200000</v>
      </c>
      <c r="BV59" s="374"/>
      <c r="BW59" s="155">
        <f>'[6]Územní plán 3635'!$B$29</f>
        <v>550000</v>
      </c>
      <c r="BX59" s="155">
        <f t="shared" si="108"/>
        <v>0</v>
      </c>
      <c r="BY59" s="374"/>
      <c r="BZ59" s="374"/>
      <c r="CA59" s="155">
        <f t="shared" si="109"/>
        <v>2000000</v>
      </c>
      <c r="CB59" s="374">
        <f>+'[5]Silnice stavba'!$B$5</f>
        <v>2000000</v>
      </c>
      <c r="CC59" s="374"/>
      <c r="CD59" s="155"/>
      <c r="CE59" s="155">
        <f t="shared" si="110"/>
        <v>2000000</v>
      </c>
      <c r="CF59" s="374">
        <f>+'[5]Silnice stavba'!$B$5</f>
        <v>2000000</v>
      </c>
      <c r="CG59" s="374"/>
      <c r="CH59" s="155"/>
      <c r="CI59" s="374"/>
      <c r="CJ59" s="374"/>
      <c r="CK59" s="155">
        <f t="shared" ref="CK59:CK67" si="119">+CL59+CM59</f>
        <v>4600000</v>
      </c>
      <c r="CL59" s="374">
        <f>+[5]Kanalizace!$B$5</f>
        <v>4600000</v>
      </c>
      <c r="CM59" s="374"/>
      <c r="CN59" s="155"/>
      <c r="CO59" s="374"/>
      <c r="CP59" s="374"/>
      <c r="CQ59" s="155">
        <f t="shared" si="111"/>
        <v>0</v>
      </c>
      <c r="CR59" s="374">
        <f>+'[5]Inženýrské sítě'!$B$5</f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150000</v>
      </c>
      <c r="DF59" s="374">
        <f>'[6]Příroda 3749'!$B$23</f>
        <v>150000</v>
      </c>
      <c r="DG59" s="374"/>
      <c r="DH59" s="374"/>
      <c r="DI59" s="155">
        <f>'[6]Rybníky 3749-2'!$B$21</f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>
        <f t="shared" si="118"/>
        <v>10541000</v>
      </c>
      <c r="DW59" s="341">
        <f t="shared" si="12"/>
        <v>0</v>
      </c>
      <c r="DX59" s="342">
        <f>+E59-'Výdaje kapitol celkem'!F59</f>
        <v>1881000</v>
      </c>
      <c r="DY59" s="373">
        <f t="shared" si="117"/>
        <v>0</v>
      </c>
      <c r="EA59" s="326"/>
    </row>
    <row r="60" spans="1:131" outlineLevel="1" x14ac:dyDescent="0.25">
      <c r="A60" s="222">
        <v>6122</v>
      </c>
      <c r="B60" s="205" t="s">
        <v>108</v>
      </c>
      <c r="C60" s="373">
        <v>0</v>
      </c>
      <c r="D60" s="373">
        <v>0</v>
      </c>
      <c r="E60" s="373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f>[2]Hasiči!$B$82</f>
        <v>200000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f>[2]č.p.65!$B$46+[2]č.p.65!$B$46</f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200000</v>
      </c>
      <c r="DW60" s="341">
        <f t="shared" si="12"/>
        <v>0</v>
      </c>
      <c r="DX60" s="342">
        <f>+E60-'Výdaje kapitol celkem'!F60</f>
        <v>0</v>
      </c>
      <c r="DY60" s="373">
        <f t="shared" si="117"/>
        <v>0</v>
      </c>
      <c r="EA60" s="326"/>
    </row>
    <row r="61" spans="1:131" outlineLevel="1" x14ac:dyDescent="0.25">
      <c r="A61" s="222">
        <v>6123</v>
      </c>
      <c r="B61" s="205" t="s">
        <v>109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tr">
        <f>'[2]Městská policie'!$B$154</f>
        <v>celkem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celkem'!F61</f>
        <v>0</v>
      </c>
      <c r="DY61" s="373">
        <f t="shared" si="117"/>
        <v>0</v>
      </c>
      <c r="EA61" s="326"/>
    </row>
    <row r="62" spans="1:131" outlineLevel="1" x14ac:dyDescent="0.25">
      <c r="A62" s="222">
        <v>6125</v>
      </c>
      <c r="B62" s="205" t="s">
        <v>110</v>
      </c>
      <c r="C62" s="373">
        <v>240000</v>
      </c>
      <c r="D62" s="373">
        <v>240000</v>
      </c>
      <c r="E62" s="373">
        <f t="shared" si="91"/>
        <v>240000</v>
      </c>
      <c r="F62" s="234"/>
      <c r="G62" s="155"/>
      <c r="H62" s="155"/>
      <c r="I62" s="155"/>
      <c r="J62" s="155"/>
      <c r="K62" s="374"/>
      <c r="L62" s="155"/>
      <c r="M62" s="155">
        <f t="shared" si="92"/>
        <v>240000</v>
      </c>
      <c r="N62" s="374">
        <f>[2]Správa!$B$145</f>
        <v>240000</v>
      </c>
      <c r="O62" s="375"/>
      <c r="P62" s="155"/>
      <c r="Q62" s="384">
        <f t="shared" si="90"/>
        <v>0</v>
      </c>
      <c r="R62" s="155"/>
      <c r="S62" s="155"/>
      <c r="T62" s="155" t="str">
        <f>'[2]Městská policie'!$B$161</f>
        <v>celkem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>
        <f>+E62-'Výdaje kapitol celkem'!F62</f>
        <v>0</v>
      </c>
      <c r="DY62" s="373">
        <f t="shared" si="117"/>
        <v>0</v>
      </c>
      <c r="EA62" s="326"/>
    </row>
    <row r="63" spans="1:131" outlineLevel="1" x14ac:dyDescent="0.25">
      <c r="A63" s="222">
        <v>6129</v>
      </c>
      <c r="B63" s="205" t="s">
        <v>111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celkem'!F63</f>
        <v>0</v>
      </c>
      <c r="DY63" s="373">
        <f t="shared" si="117"/>
        <v>0</v>
      </c>
      <c r="EA63" s="326"/>
    </row>
    <row r="64" spans="1:131" ht="18" customHeight="1" outlineLevel="1" x14ac:dyDescent="0.25">
      <c r="A64" s="222">
        <v>6130</v>
      </c>
      <c r="B64" s="205" t="s">
        <v>112</v>
      </c>
      <c r="C64" s="373">
        <v>200000</v>
      </c>
      <c r="D64" s="373">
        <v>200000</v>
      </c>
      <c r="E64" s="373">
        <f t="shared" si="91"/>
        <v>2472124</v>
      </c>
      <c r="F64" s="234"/>
      <c r="G64" s="155"/>
      <c r="H64" s="155"/>
      <c r="I64" s="155"/>
      <c r="J64" s="155">
        <f>'[4]Všebecná pokladna'!$B$78+'[6]Všeobecná pokladna 6409'!$B$29</f>
        <v>2372124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100000</v>
      </c>
      <c r="CB64" s="374">
        <f>+'[5]Silnice - pozemky'!$B$4</f>
        <v>100000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2472124</v>
      </c>
      <c r="DW64" s="341">
        <f t="shared" si="12"/>
        <v>0</v>
      </c>
      <c r="DX64" s="342">
        <f>+E64-'Výdaje kapitol celkem'!F64</f>
        <v>0</v>
      </c>
      <c r="DY64" s="373">
        <f t="shared" si="117"/>
        <v>0</v>
      </c>
      <c r="EA64" s="326"/>
    </row>
    <row r="65" spans="1:131" ht="18" customHeight="1" outlineLevel="1" x14ac:dyDescent="0.25">
      <c r="A65" s="222">
        <v>6349</v>
      </c>
      <c r="B65" s="205" t="s">
        <v>1154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f>'[4]Všebecná pokladna'!$B$85</f>
        <v>0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0</v>
      </c>
      <c r="DW65" s="341"/>
      <c r="DX65" s="342">
        <f>+E65-'Výdaje kapitol celkem'!F65</f>
        <v>0</v>
      </c>
      <c r="DY65" s="373"/>
      <c r="EA65" s="326"/>
    </row>
    <row r="66" spans="1:131" s="331" customFormat="1" ht="14.25" outlineLevel="1" thickBot="1" x14ac:dyDescent="0.3">
      <c r="A66" s="387">
        <v>6351</v>
      </c>
      <c r="B66" s="388" t="s">
        <v>296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90"/>
      <c r="G66" s="374"/>
      <c r="H66" s="374"/>
      <c r="I66" s="374"/>
      <c r="J66" s="374">
        <f>'[4]Všebecná pokladna'!$B$92</f>
        <v>0</v>
      </c>
      <c r="K66" s="374"/>
      <c r="L66" s="374"/>
      <c r="M66" s="374">
        <f t="shared" si="92"/>
        <v>0</v>
      </c>
      <c r="N66" s="374"/>
      <c r="O66" s="375"/>
      <c r="P66" s="374"/>
      <c r="Q66" s="1537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38">
        <f t="shared" si="12"/>
        <v>0</v>
      </c>
      <c r="DX66" s="342">
        <f>+E66-'Výdaje kapitol celkem'!F66</f>
        <v>-1280000</v>
      </c>
      <c r="DY66" s="389">
        <f t="shared" si="117"/>
        <v>0</v>
      </c>
      <c r="EA66" s="327"/>
    </row>
    <row r="67" spans="1:131" s="442" customFormat="1" ht="14.25" outlineLevel="1" thickBot="1" x14ac:dyDescent="0.3">
      <c r="A67" s="849">
        <v>8115</v>
      </c>
      <c r="B67" s="850" t="s">
        <v>1544</v>
      </c>
      <c r="C67" s="851">
        <v>95536.589233338833</v>
      </c>
      <c r="D67" s="851">
        <v>663112.22923332453</v>
      </c>
      <c r="E67" s="852">
        <f t="shared" ref="E67" si="123">SUM(F67:M67)+SUM(R67:Z67)+AC67+AF67+SUM(AI67:AL67)+AO67+AX67+BD67+BG67+BJ67+BM67+BP67+BS67+BT67+BW67+BX67+CA67+SUM(CD67:CE67)+CN67+CQ67+CT67+CU67+CX67+DA67+DD67+DE67+SUM(DI67:DP67)+CH67+CK67+SUM(DS67:DU67)+P67+AR67+AU67</f>
        <v>3161201.9082399756</v>
      </c>
      <c r="F67" s="853"/>
      <c r="G67" s="854"/>
      <c r="H67" s="855"/>
      <c r="I67" s="374"/>
      <c r="J67" s="584">
        <f>J75</f>
        <v>3161201.9082399756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>
        <f t="shared" si="118"/>
        <v>3161201.9082399756</v>
      </c>
      <c r="DW67" s="886">
        <f t="shared" si="12"/>
        <v>0</v>
      </c>
      <c r="DX67" s="342">
        <f>+E67-'Výdaje kapitol celkem'!F67</f>
        <v>2992980</v>
      </c>
      <c r="DY67" s="851">
        <f t="shared" si="117"/>
        <v>0</v>
      </c>
      <c r="EA67" s="437"/>
    </row>
    <row r="68" spans="1:131" outlineLevel="1" x14ac:dyDescent="0.25">
      <c r="A68" s="222">
        <v>6349</v>
      </c>
      <c r="B68" s="205" t="s">
        <v>296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celkem'!F68</f>
        <v>0</v>
      </c>
      <c r="DY68" s="373">
        <f t="shared" si="117"/>
        <v>0</v>
      </c>
      <c r="EA68" s="326"/>
    </row>
    <row r="69" spans="1:131" ht="14.25" thickBot="1" x14ac:dyDescent="0.3">
      <c r="A69" s="213" t="s">
        <v>114</v>
      </c>
      <c r="B69" s="214" t="s">
        <v>115</v>
      </c>
      <c r="C69" s="378">
        <v>51362536.589233339</v>
      </c>
      <c r="D69" s="378">
        <v>55930112.229233325</v>
      </c>
      <c r="E69" s="378">
        <f>SUM(E57:E68)</f>
        <v>73862980.38823998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5533325.9082399756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9">
        <f t="shared" si="124"/>
        <v>240000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9">
        <f t="shared" si="125"/>
        <v>2400000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60000</v>
      </c>
      <c r="AG69" s="379">
        <f t="shared" si="125"/>
        <v>60000</v>
      </c>
      <c r="AH69" s="379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9">
        <f t="shared" si="125"/>
        <v>0</v>
      </c>
      <c r="AN69" s="379">
        <f t="shared" si="125"/>
        <v>0</v>
      </c>
      <c r="AO69" s="217">
        <f t="shared" si="125"/>
        <v>280000</v>
      </c>
      <c r="AP69" s="379">
        <f t="shared" si="125"/>
        <v>280000</v>
      </c>
      <c r="AQ69" s="379">
        <f t="shared" si="125"/>
        <v>0</v>
      </c>
      <c r="AR69" s="217">
        <f t="shared" si="125"/>
        <v>131000</v>
      </c>
      <c r="AS69" s="379">
        <f t="shared" si="125"/>
        <v>131000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31736654.48</v>
      </c>
      <c r="AY69" s="379">
        <f t="shared" si="125"/>
        <v>31736654.48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2500000</v>
      </c>
      <c r="BQ69" s="379">
        <f t="shared" si="125"/>
        <v>2500000</v>
      </c>
      <c r="BR69" s="379">
        <f t="shared" si="125"/>
        <v>0</v>
      </c>
      <c r="BS69" s="217">
        <f t="shared" si="125"/>
        <v>0</v>
      </c>
      <c r="BT69" s="217">
        <f t="shared" si="125"/>
        <v>450000</v>
      </c>
      <c r="BU69" s="379">
        <f t="shared" si="125"/>
        <v>450000</v>
      </c>
      <c r="BV69" s="379">
        <f t="shared" si="125"/>
        <v>0</v>
      </c>
      <c r="BW69" s="217">
        <f t="shared" si="125"/>
        <v>550000</v>
      </c>
      <c r="BX69" s="217">
        <f t="shared" si="125"/>
        <v>592000</v>
      </c>
      <c r="BY69" s="379">
        <f t="shared" si="125"/>
        <v>592000</v>
      </c>
      <c r="BZ69" s="379">
        <f t="shared" si="125"/>
        <v>0</v>
      </c>
      <c r="CA69" s="217">
        <f t="shared" si="125"/>
        <v>2200000</v>
      </c>
      <c r="CB69" s="379">
        <f t="shared" si="125"/>
        <v>2200000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4500000</v>
      </c>
      <c r="CF69" s="379">
        <f t="shared" si="126"/>
        <v>4500000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4650000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250000</v>
      </c>
      <c r="CR69" s="379">
        <f t="shared" si="127"/>
        <v>250000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150000</v>
      </c>
      <c r="DF69" s="379">
        <f t="shared" si="127"/>
        <v>150000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2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25">
      <c r="A71" s="418" t="s">
        <v>116</v>
      </c>
      <c r="B71" s="402" t="s">
        <v>117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0"/>
      <c r="G71" s="396">
        <f>'[4]Splátky jistiny'!$B$4</f>
        <v>19114264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3">
      <c r="A72" s="213" t="s">
        <v>118</v>
      </c>
      <c r="B72" s="214" t="s">
        <v>117</v>
      </c>
      <c r="C72" s="378">
        <v>19702784</v>
      </c>
      <c r="D72" s="378">
        <v>19702784</v>
      </c>
      <c r="E72" s="378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19114264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.25" thickBot="1" x14ac:dyDescent="0.3">
      <c r="A73" s="418">
        <v>8115</v>
      </c>
      <c r="B73" s="426" t="s">
        <v>119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3">
      <c r="A74" s="2617" t="s">
        <v>120</v>
      </c>
      <c r="B74" s="2618"/>
      <c r="C74" s="336">
        <v>205296607</v>
      </c>
      <c r="D74" s="336">
        <v>212292757.63999999</v>
      </c>
      <c r="E74" s="336">
        <f>+E55+E69+E72</f>
        <v>262059406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10342717.908239976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7">
        <f t="shared" si="157"/>
        <v>35738760.600000001</v>
      </c>
      <c r="O74" s="428">
        <f t="shared" si="157"/>
        <v>70000</v>
      </c>
      <c r="P74" s="260">
        <f t="shared" si="157"/>
        <v>2539193.7999999998</v>
      </c>
      <c r="Q74" s="429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7">
        <f t="shared" si="157"/>
        <v>5574240</v>
      </c>
      <c r="AB74" s="427">
        <f t="shared" si="157"/>
        <v>0</v>
      </c>
      <c r="AC74" s="260">
        <f t="shared" si="157"/>
        <v>4490000</v>
      </c>
      <c r="AD74" s="427">
        <f t="shared" si="157"/>
        <v>4490000</v>
      </c>
      <c r="AE74" s="427">
        <f t="shared" si="157"/>
        <v>0</v>
      </c>
      <c r="AF74" s="260">
        <f t="shared" si="157"/>
        <v>6530800</v>
      </c>
      <c r="AG74" s="427">
        <f t="shared" si="157"/>
        <v>6530800</v>
      </c>
      <c r="AH74" s="427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7">
        <f t="shared" si="157"/>
        <v>190000</v>
      </c>
      <c r="AN74" s="427">
        <f t="shared" si="157"/>
        <v>20000</v>
      </c>
      <c r="AO74" s="260">
        <f t="shared" si="157"/>
        <v>520000</v>
      </c>
      <c r="AP74" s="427">
        <f t="shared" si="157"/>
        <v>520000</v>
      </c>
      <c r="AQ74" s="427">
        <f t="shared" si="157"/>
        <v>0</v>
      </c>
      <c r="AR74" s="260">
        <f t="shared" si="157"/>
        <v>791000</v>
      </c>
      <c r="AS74" s="427">
        <f t="shared" si="157"/>
        <v>561000</v>
      </c>
      <c r="AT74" s="427">
        <f t="shared" si="157"/>
        <v>230000</v>
      </c>
      <c r="AU74" s="260">
        <f t="shared" si="157"/>
        <v>1757156</v>
      </c>
      <c r="AV74" s="427">
        <f t="shared" si="157"/>
        <v>1757156</v>
      </c>
      <c r="AW74" s="427">
        <f t="shared" si="157"/>
        <v>0</v>
      </c>
      <c r="AX74" s="260">
        <f t="shared" si="157"/>
        <v>50880746.480000004</v>
      </c>
      <c r="AY74" s="427">
        <f t="shared" si="157"/>
        <v>50880746.480000004</v>
      </c>
      <c r="AZ74" s="427">
        <f t="shared" si="157"/>
        <v>0</v>
      </c>
      <c r="BA74" s="260">
        <f t="shared" si="157"/>
        <v>1600000</v>
      </c>
      <c r="BB74" s="427">
        <f t="shared" si="157"/>
        <v>1600000</v>
      </c>
      <c r="BC74" s="427">
        <f t="shared" si="157"/>
        <v>0</v>
      </c>
      <c r="BD74" s="260">
        <f t="shared" si="157"/>
        <v>840000</v>
      </c>
      <c r="BE74" s="427">
        <f t="shared" si="157"/>
        <v>840000</v>
      </c>
      <c r="BF74" s="427">
        <f t="shared" si="157"/>
        <v>0</v>
      </c>
      <c r="BG74" s="260">
        <f t="shared" si="157"/>
        <v>1000000</v>
      </c>
      <c r="BH74" s="427">
        <f t="shared" si="157"/>
        <v>1000000</v>
      </c>
      <c r="BI74" s="427">
        <f t="shared" si="157"/>
        <v>0</v>
      </c>
      <c r="BJ74" s="260">
        <f t="shared" si="157"/>
        <v>320000</v>
      </c>
      <c r="BK74" s="427">
        <f t="shared" si="157"/>
        <v>290000</v>
      </c>
      <c r="BL74" s="427">
        <f t="shared" si="157"/>
        <v>30000</v>
      </c>
      <c r="BM74" s="260">
        <f t="shared" si="157"/>
        <v>4309000</v>
      </c>
      <c r="BN74" s="427">
        <f t="shared" si="157"/>
        <v>4279000</v>
      </c>
      <c r="BO74" s="427">
        <f t="shared" si="157"/>
        <v>30000</v>
      </c>
      <c r="BP74" s="260">
        <f t="shared" si="157"/>
        <v>2500000</v>
      </c>
      <c r="BQ74" s="427">
        <f t="shared" si="157"/>
        <v>2500000</v>
      </c>
      <c r="BR74" s="427">
        <f t="shared" si="157"/>
        <v>0</v>
      </c>
      <c r="BS74" s="260">
        <f t="shared" si="157"/>
        <v>270000</v>
      </c>
      <c r="BT74" s="260">
        <f t="shared" si="157"/>
        <v>1060000</v>
      </c>
      <c r="BU74" s="427">
        <f t="shared" si="157"/>
        <v>1030000</v>
      </c>
      <c r="BV74" s="427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7">
        <f t="shared" si="158"/>
        <v>4634100</v>
      </c>
      <c r="BZ74" s="427">
        <f t="shared" si="158"/>
        <v>350000</v>
      </c>
      <c r="CA74" s="260">
        <f t="shared" si="158"/>
        <v>11400709</v>
      </c>
      <c r="CB74" s="427">
        <f t="shared" si="158"/>
        <v>9150709</v>
      </c>
      <c r="CC74" s="427">
        <f t="shared" si="158"/>
        <v>2250000</v>
      </c>
      <c r="CD74" s="260">
        <f t="shared" si="158"/>
        <v>3028575</v>
      </c>
      <c r="CE74" s="260">
        <f t="shared" si="158"/>
        <v>5970000</v>
      </c>
      <c r="CF74" s="427">
        <f t="shared" si="158"/>
        <v>5970000</v>
      </c>
      <c r="CG74" s="427">
        <f t="shared" si="158"/>
        <v>0</v>
      </c>
      <c r="CH74" s="260">
        <f t="shared" si="158"/>
        <v>2500000</v>
      </c>
      <c r="CI74" s="427"/>
      <c r="CJ74" s="427"/>
      <c r="CK74" s="260">
        <f>+CK55+CK69+CK72</f>
        <v>5520000</v>
      </c>
      <c r="CL74" s="427"/>
      <c r="CM74" s="427"/>
      <c r="CN74" s="260">
        <f>+CN55+CN69+CN72</f>
        <v>2500000</v>
      </c>
      <c r="CO74" s="427"/>
      <c r="CP74" s="427"/>
      <c r="CQ74" s="260">
        <f t="shared" ref="CQ74:DU74" si="159">+CQ55+CQ69+CQ72</f>
        <v>780000</v>
      </c>
      <c r="CR74" s="427">
        <f t="shared" si="159"/>
        <v>780000</v>
      </c>
      <c r="CS74" s="427">
        <f t="shared" si="159"/>
        <v>0</v>
      </c>
      <c r="CT74" s="260">
        <f t="shared" si="159"/>
        <v>100000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66500</v>
      </c>
      <c r="DE74" s="260">
        <f t="shared" si="159"/>
        <v>3150000</v>
      </c>
      <c r="DF74" s="427">
        <f t="shared" si="159"/>
        <v>1600000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7">
        <f t="shared" si="159"/>
        <v>50000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>
        <f>+DY55+DY69+DY72</f>
        <v>10700000</v>
      </c>
      <c r="EA74" s="326"/>
    </row>
    <row r="75" spans="1:131" ht="20.25" customHeight="1" thickBot="1" x14ac:dyDescent="0.3">
      <c r="A75" s="2617" t="s">
        <v>129</v>
      </c>
      <c r="B75" s="2619"/>
      <c r="C75" s="431">
        <v>0</v>
      </c>
      <c r="D75" s="431">
        <v>0</v>
      </c>
      <c r="E75" s="431">
        <f>+'Příjmy kapitol celkem'!G99-'Výdaje kapitol celkem (2)'!E74</f>
        <v>0</v>
      </c>
      <c r="F75" s="333"/>
      <c r="G75" s="434"/>
      <c r="H75" s="333"/>
      <c r="I75" s="333"/>
      <c r="J75" s="432">
        <f>'Příjmy kapitol celkem'!G99-E55-SUM(E56:E66)-E68-E71</f>
        <v>3161201.9082399756</v>
      </c>
      <c r="K75" s="333"/>
      <c r="L75" s="333"/>
      <c r="M75" s="333"/>
      <c r="N75" s="322"/>
      <c r="O75" s="432"/>
      <c r="P75" s="333"/>
      <c r="Q75" s="322">
        <f>+Q66+Q58+Q44+Q35+Q34+Q22+Q16</f>
        <v>30540000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2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641</v>
      </c>
      <c r="P76" s="434"/>
      <c r="Q76" s="436">
        <f>+Q75/12</f>
        <v>2545000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25">
      <c r="A77" s="319" t="s">
        <v>546</v>
      </c>
      <c r="B77" s="275"/>
      <c r="C77" s="275"/>
      <c r="D77" s="275"/>
      <c r="E77" s="333"/>
      <c r="O77" s="330" t="s">
        <v>313</v>
      </c>
      <c r="Q77" s="327"/>
    </row>
    <row r="78" spans="1:131" x14ac:dyDescent="0.25">
      <c r="F78" s="332"/>
      <c r="G78" s="332"/>
      <c r="H78" s="332"/>
      <c r="I78" s="332"/>
      <c r="J78" s="327"/>
      <c r="O78" s="330"/>
      <c r="Q78" s="327"/>
    </row>
    <row r="79" spans="1:131" x14ac:dyDescent="0.25">
      <c r="O79" s="330"/>
      <c r="Q79" s="327"/>
    </row>
    <row r="80" spans="1:131" x14ac:dyDescent="0.25">
      <c r="O80" s="330" t="s">
        <v>690</v>
      </c>
      <c r="Q80" s="327"/>
    </row>
    <row r="81" spans="17:17" x14ac:dyDescent="0.2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52"/>
  <sheetViews>
    <sheetView topLeftCell="A37" workbookViewId="0"/>
  </sheetViews>
  <sheetFormatPr defaultColWidth="9.140625" defaultRowHeight="13.5" outlineLevelRow="1" outlineLevelCol="1" x14ac:dyDescent="0.25"/>
  <cols>
    <col min="1" max="1" width="9.7109375" style="266" customWidth="1"/>
    <col min="2" max="2" width="60.42578125" style="111" bestFit="1" customWidth="1"/>
    <col min="3" max="3" width="14.140625" style="578" customWidth="1"/>
    <col min="4" max="4" width="11.85546875" style="135" hidden="1" customWidth="1"/>
    <col min="5" max="5" width="13.85546875" style="135" customWidth="1"/>
    <col min="6" max="6" width="13.28515625" style="135" customWidth="1" outlineLevel="1"/>
    <col min="7" max="7" width="10.140625" style="135" bestFit="1" customWidth="1" outlineLevel="1"/>
    <col min="8" max="8" width="13.425781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42578125" style="135" bestFit="1" customWidth="1" outlineLevel="1"/>
    <col min="17" max="17" width="15.5703125" style="267" customWidth="1"/>
    <col min="18" max="18" width="10.7109375" style="111" bestFit="1" customWidth="1"/>
    <col min="19" max="16384" width="9.140625" style="111"/>
  </cols>
  <sheetData>
    <row r="1" spans="1:18" x14ac:dyDescent="0.25">
      <c r="A1" s="869" t="s">
        <v>1577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341</v>
      </c>
      <c r="B2" s="10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1578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954</v>
      </c>
      <c r="J4" s="121" t="s">
        <v>486</v>
      </c>
      <c r="K4" s="123" t="s">
        <v>582</v>
      </c>
      <c r="L4" s="119" t="s">
        <v>339</v>
      </c>
      <c r="M4" s="120" t="s">
        <v>955</v>
      </c>
      <c r="N4" s="122" t="s">
        <v>155</v>
      </c>
      <c r="O4" s="124" t="s">
        <v>156</v>
      </c>
      <c r="P4" s="123" t="s">
        <v>2022</v>
      </c>
      <c r="Q4" s="110"/>
    </row>
    <row r="5" spans="1:18" s="135" customFormat="1" x14ac:dyDescent="0.25">
      <c r="A5" s="2551"/>
      <c r="B5" s="2552" t="s">
        <v>577</v>
      </c>
      <c r="C5" s="2553">
        <f>+C6+C7+C15</f>
        <v>35025597</v>
      </c>
      <c r="D5" s="2554">
        <f>+D6+D7+D15</f>
        <v>0</v>
      </c>
      <c r="E5" s="129">
        <f>+E6+E7+E15</f>
        <v>34894800</v>
      </c>
      <c r="F5" s="2553">
        <f>+F6+F7+F15</f>
        <v>1703800</v>
      </c>
      <c r="G5" s="2553">
        <f t="shared" ref="G5:P5" si="0">+G6+G7+G15</f>
        <v>562850</v>
      </c>
      <c r="H5" s="2555">
        <f t="shared" si="0"/>
        <v>10072900</v>
      </c>
      <c r="I5" s="2555">
        <f t="shared" si="0"/>
        <v>1341850</v>
      </c>
      <c r="J5" s="2555">
        <f>+J6+J7+J15</f>
        <v>2494900</v>
      </c>
      <c r="K5" s="2556">
        <f t="shared" si="0"/>
        <v>18718500</v>
      </c>
      <c r="L5" s="129">
        <f t="shared" si="0"/>
        <v>130797</v>
      </c>
      <c r="M5" s="2557">
        <f t="shared" si="0"/>
        <v>0</v>
      </c>
      <c r="N5" s="2555">
        <f t="shared" si="0"/>
        <v>60538</v>
      </c>
      <c r="O5" s="2557">
        <f t="shared" si="0"/>
        <v>50538</v>
      </c>
      <c r="P5" s="2556">
        <f t="shared" si="0"/>
        <v>19721</v>
      </c>
      <c r="Q5" s="297"/>
    </row>
    <row r="6" spans="1:18" x14ac:dyDescent="0.25">
      <c r="A6" s="2620" t="s">
        <v>509</v>
      </c>
      <c r="B6" s="136" t="s">
        <v>578</v>
      </c>
      <c r="C6" s="140">
        <f>E6+L6+D6</f>
        <v>19700000</v>
      </c>
      <c r="D6" s="138">
        <f>+'Výdaje kapitol celkem'!S44-TSÚ!E6</f>
        <v>0</v>
      </c>
      <c r="E6" s="139">
        <f>SUM(F6:K6)</f>
        <v>19700000</v>
      </c>
      <c r="F6" s="140">
        <v>1320000</v>
      </c>
      <c r="G6" s="140">
        <v>530000</v>
      </c>
      <c r="H6" s="141">
        <v>3200000</v>
      </c>
      <c r="I6" s="141">
        <v>890000</v>
      </c>
      <c r="J6" s="141">
        <v>1400000</v>
      </c>
      <c r="K6" s="142">
        <v>12360000</v>
      </c>
      <c r="L6" s="139">
        <f t="shared" ref="L6:L51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621"/>
      <c r="B7" s="145" t="s">
        <v>261</v>
      </c>
      <c r="C7" s="140">
        <f>SUM(C8:C14)</f>
        <v>2770000</v>
      </c>
      <c r="D7" s="138">
        <f t="shared" ref="D7:O7" si="2">SUM(D8:D14)</f>
        <v>0</v>
      </c>
      <c r="E7" s="139">
        <f>SUM(E8:E14)</f>
        <v>2770000</v>
      </c>
      <c r="F7" s="140">
        <f t="shared" si="2"/>
        <v>0</v>
      </c>
      <c r="G7" s="140">
        <f t="shared" si="2"/>
        <v>0</v>
      </c>
      <c r="H7" s="141">
        <f t="shared" si="2"/>
        <v>1300000</v>
      </c>
      <c r="I7" s="141">
        <f t="shared" ref="I7:J7" si="3">SUM(I8:I14)</f>
        <v>450000</v>
      </c>
      <c r="J7" s="141">
        <f t="shared" si="3"/>
        <v>350000</v>
      </c>
      <c r="K7" s="142">
        <f t="shared" si="2"/>
        <v>670000</v>
      </c>
      <c r="L7" s="139">
        <f t="shared" si="1"/>
        <v>0</v>
      </c>
      <c r="M7" s="143">
        <f t="shared" ref="M7" si="4">SUM(M8:M14)</f>
        <v>0</v>
      </c>
      <c r="N7" s="141">
        <f t="shared" si="2"/>
        <v>0</v>
      </c>
      <c r="O7" s="143">
        <f t="shared" si="2"/>
        <v>0</v>
      </c>
      <c r="P7" s="142">
        <f t="shared" ref="P7" si="5">SUM(P8:P14)</f>
        <v>0</v>
      </c>
      <c r="Q7" s="110"/>
    </row>
    <row r="8" spans="1:18" outlineLevel="1" x14ac:dyDescent="0.25">
      <c r="A8" s="2621"/>
      <c r="B8" s="2359" t="s">
        <v>1724</v>
      </c>
      <c r="C8" s="1594">
        <f t="shared" ref="C8:C14" si="6">+E8+L8+D8</f>
        <v>350000</v>
      </c>
      <c r="D8" s="1582">
        <v>0</v>
      </c>
      <c r="E8" s="1583">
        <f t="shared" ref="E8:E51" si="7">SUM(F8:K8)</f>
        <v>350000</v>
      </c>
      <c r="F8" s="1568"/>
      <c r="G8" s="1568"/>
      <c r="H8" s="1541"/>
      <c r="I8" s="1540"/>
      <c r="J8" s="1541">
        <f>'Investice celkem  2023'!J6</f>
        <v>350000</v>
      </c>
      <c r="K8" s="1542"/>
      <c r="L8" s="1583">
        <f t="shared" si="1"/>
        <v>0</v>
      </c>
      <c r="M8" s="1540"/>
      <c r="N8" s="1541"/>
      <c r="O8" s="1540"/>
      <c r="P8" s="1542"/>
      <c r="Q8" s="110"/>
    </row>
    <row r="9" spans="1:18" ht="15.75" customHeight="1" outlineLevel="1" x14ac:dyDescent="0.25">
      <c r="A9" s="2621"/>
      <c r="B9" s="2360" t="s">
        <v>2023</v>
      </c>
      <c r="C9" s="1594">
        <f t="shared" si="6"/>
        <v>450000</v>
      </c>
      <c r="D9" s="1582">
        <v>0</v>
      </c>
      <c r="E9" s="1583">
        <f t="shared" si="7"/>
        <v>450000</v>
      </c>
      <c r="F9" s="1568"/>
      <c r="G9" s="1568"/>
      <c r="H9" s="1541"/>
      <c r="I9" s="1540">
        <f>'Investice celkem  2023'!J7</f>
        <v>450000</v>
      </c>
      <c r="J9" s="1541"/>
      <c r="K9" s="1542"/>
      <c r="L9" s="1583">
        <f t="shared" si="1"/>
        <v>0</v>
      </c>
      <c r="M9" s="1540"/>
      <c r="N9" s="1541"/>
      <c r="O9" s="1540"/>
      <c r="P9" s="1542"/>
      <c r="Q9" s="110"/>
    </row>
    <row r="10" spans="1:18" outlineLevel="1" x14ac:dyDescent="0.25">
      <c r="A10" s="2621"/>
      <c r="B10" s="2359" t="s">
        <v>952</v>
      </c>
      <c r="C10" s="1595">
        <f t="shared" si="6"/>
        <v>1300000</v>
      </c>
      <c r="D10" s="1582"/>
      <c r="E10" s="1583">
        <f t="shared" si="7"/>
        <v>1300000</v>
      </c>
      <c r="F10" s="1568"/>
      <c r="G10" s="1568"/>
      <c r="H10" s="1541">
        <f>'Investice celkem  2023'!J8</f>
        <v>1300000</v>
      </c>
      <c r="I10" s="1540"/>
      <c r="J10" s="1541"/>
      <c r="K10" s="1542"/>
      <c r="L10" s="1583">
        <f t="shared" si="1"/>
        <v>0</v>
      </c>
      <c r="M10" s="1540"/>
      <c r="N10" s="1541"/>
      <c r="O10" s="1540"/>
      <c r="P10" s="1542"/>
      <c r="Q10" s="110" t="s">
        <v>971</v>
      </c>
    </row>
    <row r="11" spans="1:18" outlineLevel="1" x14ac:dyDescent="0.25">
      <c r="A11" s="2621"/>
      <c r="B11" s="2359" t="s">
        <v>887</v>
      </c>
      <c r="C11" s="1594">
        <f t="shared" si="6"/>
        <v>420000</v>
      </c>
      <c r="D11" s="1582">
        <v>0</v>
      </c>
      <c r="E11" s="1583">
        <f t="shared" si="7"/>
        <v>420000</v>
      </c>
      <c r="F11" s="1568"/>
      <c r="G11" s="1568"/>
      <c r="H11" s="1541"/>
      <c r="I11" s="1540"/>
      <c r="J11" s="1541"/>
      <c r="K11" s="1542">
        <f>'Investice celkem  2023'!H9</f>
        <v>420000</v>
      </c>
      <c r="L11" s="1583">
        <f t="shared" si="1"/>
        <v>0</v>
      </c>
      <c r="M11" s="1540"/>
      <c r="N11" s="1541"/>
      <c r="O11" s="1540"/>
      <c r="P11" s="1542"/>
      <c r="Q11" s="110"/>
    </row>
    <row r="12" spans="1:18" outlineLevel="1" x14ac:dyDescent="0.25">
      <c r="A12" s="2621"/>
      <c r="B12" s="2359" t="s">
        <v>1718</v>
      </c>
      <c r="C12" s="1594">
        <f>+E12+L12+D12</f>
        <v>250000</v>
      </c>
      <c r="D12" s="1582">
        <v>0</v>
      </c>
      <c r="E12" s="1583">
        <f t="shared" si="7"/>
        <v>250000</v>
      </c>
      <c r="F12" s="1568"/>
      <c r="G12" s="1568"/>
      <c r="H12" s="1541"/>
      <c r="I12" s="1540"/>
      <c r="J12" s="1541"/>
      <c r="K12" s="1542">
        <f>'Investice celkem  2023'!H10</f>
        <v>250000</v>
      </c>
      <c r="L12" s="1583">
        <f t="shared" si="1"/>
        <v>0</v>
      </c>
      <c r="M12" s="1540"/>
      <c r="N12" s="1541"/>
      <c r="O12" s="1540"/>
      <c r="P12" s="1542"/>
      <c r="Q12" s="110"/>
    </row>
    <row r="13" spans="1:18" outlineLevel="1" x14ac:dyDescent="0.25">
      <c r="A13" s="2621"/>
      <c r="B13" s="2359" t="s">
        <v>2186</v>
      </c>
      <c r="C13" s="1594">
        <f>+E13+L13+D13</f>
        <v>0</v>
      </c>
      <c r="D13" s="1582"/>
      <c r="E13" s="1583">
        <f t="shared" si="7"/>
        <v>0</v>
      </c>
      <c r="F13" s="1568"/>
      <c r="G13" s="1568"/>
      <c r="H13" s="1541"/>
      <c r="I13" s="1540"/>
      <c r="J13" s="1541"/>
      <c r="K13" s="1542"/>
      <c r="L13" s="1583">
        <f t="shared" si="1"/>
        <v>0</v>
      </c>
      <c r="M13" s="1540"/>
      <c r="N13" s="1541"/>
      <c r="O13" s="1540"/>
      <c r="P13" s="1542"/>
      <c r="Q13" s="110"/>
    </row>
    <row r="14" spans="1:18" outlineLevel="1" x14ac:dyDescent="0.25">
      <c r="A14" s="2621"/>
      <c r="B14" s="2359" t="s">
        <v>964</v>
      </c>
      <c r="C14" s="1595">
        <f t="shared" si="6"/>
        <v>0</v>
      </c>
      <c r="D14" s="1582">
        <v>0</v>
      </c>
      <c r="E14" s="1583">
        <f t="shared" si="7"/>
        <v>0</v>
      </c>
      <c r="F14" s="1568"/>
      <c r="G14" s="1568"/>
      <c r="H14" s="1569"/>
      <c r="I14" s="1570"/>
      <c r="J14" s="1569"/>
      <c r="K14" s="1542"/>
      <c r="L14" s="1583">
        <f t="shared" si="1"/>
        <v>0</v>
      </c>
      <c r="M14" s="1540"/>
      <c r="N14" s="1541"/>
      <c r="O14" s="1540"/>
      <c r="P14" s="1542"/>
      <c r="Q14" s="110"/>
    </row>
    <row r="15" spans="1:18" s="135" customFormat="1" x14ac:dyDescent="0.25">
      <c r="A15" s="2621"/>
      <c r="B15" s="157" t="s">
        <v>506</v>
      </c>
      <c r="C15" s="140">
        <f>SUM(C16:C33)</f>
        <v>12555597</v>
      </c>
      <c r="D15" s="138">
        <f>SUM(D16:D33)</f>
        <v>0</v>
      </c>
      <c r="E15" s="139">
        <f>SUM(E16:E33)</f>
        <v>12424800</v>
      </c>
      <c r="F15" s="140">
        <f>SUM(F16:F33)</f>
        <v>383800</v>
      </c>
      <c r="G15" s="140">
        <f t="shared" ref="G15:K15" si="8">SUM(G16:G33)</f>
        <v>32850</v>
      </c>
      <c r="H15" s="140">
        <f t="shared" si="8"/>
        <v>5572900</v>
      </c>
      <c r="I15" s="140">
        <f t="shared" si="8"/>
        <v>1850</v>
      </c>
      <c r="J15" s="140">
        <f t="shared" si="8"/>
        <v>744900</v>
      </c>
      <c r="K15" s="140">
        <f t="shared" si="8"/>
        <v>5688500</v>
      </c>
      <c r="L15" s="139">
        <f t="shared" si="1"/>
        <v>130797</v>
      </c>
      <c r="M15" s="143">
        <f>SUM(M16:M33)</f>
        <v>0</v>
      </c>
      <c r="N15" s="141">
        <f>SUM(N16:N33)</f>
        <v>60538</v>
      </c>
      <c r="O15" s="143">
        <f>SUM(O16:O33)</f>
        <v>50538</v>
      </c>
      <c r="P15" s="142">
        <f>SUM(P16:P33)</f>
        <v>19721</v>
      </c>
      <c r="Q15" s="159"/>
    </row>
    <row r="16" spans="1:18" ht="12.75" customHeight="1" outlineLevel="1" x14ac:dyDescent="0.25">
      <c r="A16" s="2621"/>
      <c r="B16" s="2359" t="s">
        <v>507</v>
      </c>
      <c r="C16" s="1594">
        <f t="shared" ref="C16:C33" si="9">+E16+L16+D16</f>
        <v>90000</v>
      </c>
      <c r="D16" s="1582">
        <v>0</v>
      </c>
      <c r="E16" s="1583">
        <f t="shared" si="7"/>
        <v>90000</v>
      </c>
      <c r="F16" s="1568"/>
      <c r="G16" s="1568">
        <f>'Výdaje kapitol celkem'!AP22</f>
        <v>20000</v>
      </c>
      <c r="H16" s="1541"/>
      <c r="I16" s="1540"/>
      <c r="J16" s="1541"/>
      <c r="K16" s="1542">
        <f>'Výdaje kapitol celkem'!Q22</f>
        <v>70000</v>
      </c>
      <c r="L16" s="1583">
        <f t="shared" si="1"/>
        <v>0</v>
      </c>
      <c r="M16" s="1540"/>
      <c r="N16" s="1541">
        <v>0</v>
      </c>
      <c r="O16" s="1540">
        <v>0</v>
      </c>
      <c r="P16" s="1542">
        <v>0</v>
      </c>
      <c r="Q16" s="110"/>
    </row>
    <row r="17" spans="1:17" outlineLevel="1" x14ac:dyDescent="0.25">
      <c r="A17" s="2621"/>
      <c r="B17" s="2359" t="s">
        <v>956</v>
      </c>
      <c r="C17" s="1594">
        <f t="shared" si="9"/>
        <v>0</v>
      </c>
      <c r="D17" s="1582">
        <v>0</v>
      </c>
      <c r="E17" s="1583">
        <f t="shared" si="7"/>
        <v>0</v>
      </c>
      <c r="F17" s="1568"/>
      <c r="G17" s="1568"/>
      <c r="H17" s="1547"/>
      <c r="I17" s="1546"/>
      <c r="J17" s="1547"/>
      <c r="K17" s="1548">
        <f>'Výdaje kapitol celkem'!AD35</f>
        <v>0</v>
      </c>
      <c r="L17" s="1583">
        <f t="shared" si="1"/>
        <v>0</v>
      </c>
      <c r="M17" s="1540"/>
      <c r="N17" s="1541">
        <v>0</v>
      </c>
      <c r="O17" s="1540">
        <v>0</v>
      </c>
      <c r="P17" s="1542">
        <v>0</v>
      </c>
      <c r="Q17" s="110"/>
    </row>
    <row r="18" spans="1:17" outlineLevel="1" x14ac:dyDescent="0.25">
      <c r="A18" s="2621"/>
      <c r="B18" s="2359" t="s">
        <v>957</v>
      </c>
      <c r="C18" s="1594">
        <f t="shared" si="9"/>
        <v>0</v>
      </c>
      <c r="D18" s="1582"/>
      <c r="E18" s="1583">
        <f t="shared" si="7"/>
        <v>0</v>
      </c>
      <c r="F18" s="1568"/>
      <c r="G18" s="1568"/>
      <c r="H18" s="1541"/>
      <c r="I18" s="1540"/>
      <c r="J18" s="1541"/>
      <c r="K18" s="1542">
        <v>0</v>
      </c>
      <c r="L18" s="1583">
        <f t="shared" si="1"/>
        <v>0</v>
      </c>
      <c r="M18" s="1540"/>
      <c r="N18" s="1541"/>
      <c r="O18" s="1540"/>
      <c r="P18" s="1542"/>
      <c r="Q18" s="110"/>
    </row>
    <row r="19" spans="1:17" outlineLevel="1" x14ac:dyDescent="0.25">
      <c r="A19" s="2621"/>
      <c r="B19" s="2359" t="s">
        <v>958</v>
      </c>
      <c r="C19" s="1594">
        <f t="shared" si="9"/>
        <v>0</v>
      </c>
      <c r="D19" s="1582"/>
      <c r="E19" s="1583">
        <f t="shared" si="7"/>
        <v>0</v>
      </c>
      <c r="F19" s="1568"/>
      <c r="G19" s="1568"/>
      <c r="H19" s="1541"/>
      <c r="I19" s="1540"/>
      <c r="J19" s="1541"/>
      <c r="K19" s="1542">
        <v>0</v>
      </c>
      <c r="L19" s="1583">
        <f t="shared" si="1"/>
        <v>0</v>
      </c>
      <c r="M19" s="1540"/>
      <c r="N19" s="1541"/>
      <c r="O19" s="1540"/>
      <c r="P19" s="1542"/>
      <c r="Q19" s="110"/>
    </row>
    <row r="20" spans="1:17" outlineLevel="1" x14ac:dyDescent="0.25">
      <c r="A20" s="2621"/>
      <c r="B20" s="2359" t="s">
        <v>959</v>
      </c>
      <c r="C20" s="1594">
        <f t="shared" si="9"/>
        <v>30000</v>
      </c>
      <c r="D20" s="1582"/>
      <c r="E20" s="1583">
        <f t="shared" si="7"/>
        <v>30000</v>
      </c>
      <c r="F20" s="1568"/>
      <c r="G20" s="1568"/>
      <c r="H20" s="1541"/>
      <c r="I20" s="1540"/>
      <c r="J20" s="1541"/>
      <c r="K20" s="1542">
        <f>'Výdaje kapitol celkem'!BN35</f>
        <v>30000</v>
      </c>
      <c r="L20" s="1583">
        <f t="shared" si="1"/>
        <v>0</v>
      </c>
      <c r="M20" s="1540"/>
      <c r="N20" s="1541"/>
      <c r="O20" s="1540"/>
      <c r="P20" s="1542"/>
      <c r="Q20" s="110"/>
    </row>
    <row r="21" spans="1:17" outlineLevel="1" x14ac:dyDescent="0.25">
      <c r="A21" s="2621"/>
      <c r="B21" s="2359" t="s">
        <v>1234</v>
      </c>
      <c r="C21" s="1594">
        <f t="shared" si="9"/>
        <v>100000</v>
      </c>
      <c r="D21" s="1582"/>
      <c r="E21" s="1583">
        <f t="shared" si="7"/>
        <v>100000</v>
      </c>
      <c r="F21" s="1568"/>
      <c r="G21" s="1568"/>
      <c r="H21" s="1541"/>
      <c r="I21" s="1540"/>
      <c r="J21" s="1541"/>
      <c r="K21" s="1542">
        <f>'Výdaje kapitol celkem'!AG35</f>
        <v>100000</v>
      </c>
      <c r="L21" s="1583">
        <f t="shared" si="1"/>
        <v>0</v>
      </c>
      <c r="M21" s="1540"/>
      <c r="N21" s="1541"/>
      <c r="O21" s="1540"/>
      <c r="P21" s="1542"/>
      <c r="Q21" s="110"/>
    </row>
    <row r="22" spans="1:17" outlineLevel="1" x14ac:dyDescent="0.25">
      <c r="A22" s="2621"/>
      <c r="B22" s="2359" t="s">
        <v>961</v>
      </c>
      <c r="C22" s="1594">
        <f t="shared" si="9"/>
        <v>60000</v>
      </c>
      <c r="D22" s="1582"/>
      <c r="E22" s="1583">
        <f t="shared" si="7"/>
        <v>60000</v>
      </c>
      <c r="F22" s="1568"/>
      <c r="G22" s="1568"/>
      <c r="H22" s="1541"/>
      <c r="I22" s="1540"/>
      <c r="J22" s="1541"/>
      <c r="K22" s="1542">
        <f>+'Výdaje kapitol celkem'!BQ35+'Výdaje kapitol celkem'!BX35</f>
        <v>60000</v>
      </c>
      <c r="L22" s="1583">
        <f t="shared" si="1"/>
        <v>0</v>
      </c>
      <c r="M22" s="1540"/>
      <c r="N22" s="1541"/>
      <c r="O22" s="1540"/>
      <c r="P22" s="1542"/>
      <c r="Q22" s="110"/>
    </row>
    <row r="23" spans="1:17" outlineLevel="1" x14ac:dyDescent="0.25">
      <c r="A23" s="2621"/>
      <c r="B23" s="2359" t="s">
        <v>960</v>
      </c>
      <c r="C23" s="1594">
        <f t="shared" si="9"/>
        <v>0</v>
      </c>
      <c r="D23" s="1582"/>
      <c r="E23" s="1583">
        <f t="shared" si="7"/>
        <v>0</v>
      </c>
      <c r="F23" s="1568"/>
      <c r="G23" s="1568"/>
      <c r="H23" s="1541"/>
      <c r="I23" s="1540"/>
      <c r="J23" s="1541"/>
      <c r="K23" s="1542">
        <v>0</v>
      </c>
      <c r="L23" s="1583">
        <f t="shared" si="1"/>
        <v>0</v>
      </c>
      <c r="M23" s="1540"/>
      <c r="N23" s="1541"/>
      <c r="O23" s="1540"/>
      <c r="P23" s="1542"/>
      <c r="Q23" s="110"/>
    </row>
    <row r="24" spans="1:17" outlineLevel="1" x14ac:dyDescent="0.25">
      <c r="A24" s="2621"/>
      <c r="B24" s="2359" t="s">
        <v>148</v>
      </c>
      <c r="C24" s="1594">
        <f t="shared" si="9"/>
        <v>20000</v>
      </c>
      <c r="D24" s="1582"/>
      <c r="E24" s="1583">
        <f t="shared" si="7"/>
        <v>20000</v>
      </c>
      <c r="F24" s="1568"/>
      <c r="G24" s="1568"/>
      <c r="H24" s="1541"/>
      <c r="I24" s="1540"/>
      <c r="J24" s="1541"/>
      <c r="K24" s="1542">
        <f>'Výdaje kapitol celkem'!BK35</f>
        <v>20000</v>
      </c>
      <c r="L24" s="1583">
        <f t="shared" si="1"/>
        <v>0</v>
      </c>
      <c r="M24" s="1540"/>
      <c r="N24" s="1541"/>
      <c r="O24" s="1540"/>
      <c r="P24" s="1542"/>
      <c r="Q24" s="110"/>
    </row>
    <row r="25" spans="1:17" outlineLevel="1" x14ac:dyDescent="0.25">
      <c r="A25" s="2621"/>
      <c r="B25" s="2359" t="s">
        <v>1235</v>
      </c>
      <c r="C25" s="1594">
        <f t="shared" si="9"/>
        <v>230000</v>
      </c>
      <c r="D25" s="1582"/>
      <c r="E25" s="1583">
        <f t="shared" si="7"/>
        <v>230000</v>
      </c>
      <c r="F25" s="1568"/>
      <c r="G25" s="1568"/>
      <c r="H25" s="1541"/>
      <c r="I25" s="1540"/>
      <c r="J25" s="1541"/>
      <c r="K25" s="1542">
        <f>'Výdaje kapitol celkem'!AV35+'Výdaje kapitol celkem'!AV34</f>
        <v>230000</v>
      </c>
      <c r="L25" s="1583">
        <f t="shared" si="1"/>
        <v>0</v>
      </c>
      <c r="M25" s="1540"/>
      <c r="N25" s="1541"/>
      <c r="O25" s="1540"/>
      <c r="P25" s="1542"/>
      <c r="Q25" s="110"/>
    </row>
    <row r="26" spans="1:17" outlineLevel="1" x14ac:dyDescent="0.25">
      <c r="A26" s="2621"/>
      <c r="B26" s="2359" t="s">
        <v>1719</v>
      </c>
      <c r="C26" s="1594">
        <f t="shared" si="9"/>
        <v>650000</v>
      </c>
      <c r="D26" s="1582"/>
      <c r="E26" s="1583">
        <f t="shared" si="7"/>
        <v>650000</v>
      </c>
      <c r="F26" s="1568">
        <f>'Výdaje kapitol celkem'!CB35</f>
        <v>350000</v>
      </c>
      <c r="G26" s="1568"/>
      <c r="H26" s="1541"/>
      <c r="I26" s="1540"/>
      <c r="J26" s="1541"/>
      <c r="K26" s="1542">
        <f>'Výdaje kapitol celkem'!CU35</f>
        <v>300000</v>
      </c>
      <c r="L26" s="1583">
        <f t="shared" si="1"/>
        <v>0</v>
      </c>
      <c r="M26" s="1540"/>
      <c r="N26" s="1541"/>
      <c r="O26" s="1540"/>
      <c r="P26" s="1542"/>
      <c r="Q26" s="110"/>
    </row>
    <row r="27" spans="1:17" outlineLevel="1" x14ac:dyDescent="0.25">
      <c r="A27" s="2621"/>
      <c r="B27" s="2359" t="s">
        <v>1720</v>
      </c>
      <c r="C27" s="1594">
        <f t="shared" si="9"/>
        <v>2250000</v>
      </c>
      <c r="D27" s="1582"/>
      <c r="E27" s="1583">
        <f t="shared" si="7"/>
        <v>2250000</v>
      </c>
      <c r="F27" s="1568"/>
      <c r="G27" s="1568"/>
      <c r="H27" s="1541"/>
      <c r="I27" s="1540"/>
      <c r="J27" s="1541"/>
      <c r="K27" s="1542">
        <f>'Výdaje kapitol celkem'!CE35</f>
        <v>2250000</v>
      </c>
      <c r="L27" s="1583">
        <f t="shared" si="1"/>
        <v>0</v>
      </c>
      <c r="M27" s="1540"/>
      <c r="N27" s="1541"/>
      <c r="O27" s="1540"/>
      <c r="P27" s="1542"/>
      <c r="Q27" s="110"/>
    </row>
    <row r="28" spans="1:17" outlineLevel="1" x14ac:dyDescent="0.25">
      <c r="A28" s="2621"/>
      <c r="B28" s="2359" t="s">
        <v>763</v>
      </c>
      <c r="C28" s="1594">
        <f t="shared" si="9"/>
        <v>1550000</v>
      </c>
      <c r="D28" s="1582"/>
      <c r="E28" s="1583">
        <f t="shared" si="7"/>
        <v>1550000</v>
      </c>
      <c r="F28" s="1568"/>
      <c r="G28" s="1568"/>
      <c r="H28" s="1541"/>
      <c r="I28" s="1540"/>
      <c r="J28" s="1541"/>
      <c r="K28" s="1571">
        <f>'Výdaje kapitol celkem'!DJ34</f>
        <v>1550000</v>
      </c>
      <c r="L28" s="1583">
        <f t="shared" si="1"/>
        <v>0</v>
      </c>
      <c r="M28" s="1540"/>
      <c r="N28" s="1541"/>
      <c r="O28" s="1540"/>
      <c r="P28" s="1542"/>
      <c r="Q28" s="110"/>
    </row>
    <row r="29" spans="1:17" outlineLevel="1" x14ac:dyDescent="0.25">
      <c r="A29" s="2621"/>
      <c r="B29" s="2359" t="s">
        <v>754</v>
      </c>
      <c r="C29" s="1594">
        <f t="shared" si="9"/>
        <v>0</v>
      </c>
      <c r="D29" s="1582"/>
      <c r="E29" s="1583">
        <f t="shared" si="7"/>
        <v>0</v>
      </c>
      <c r="F29" s="1568"/>
      <c r="G29" s="1568"/>
      <c r="H29" s="1541"/>
      <c r="I29" s="1540"/>
      <c r="J29" s="1541"/>
      <c r="K29" s="1542"/>
      <c r="L29" s="1583">
        <f t="shared" si="1"/>
        <v>0</v>
      </c>
      <c r="M29" s="1540"/>
      <c r="N29" s="1541">
        <v>0</v>
      </c>
      <c r="O29" s="1540"/>
      <c r="P29" s="1542"/>
      <c r="Q29" s="110"/>
    </row>
    <row r="30" spans="1:17" outlineLevel="1" x14ac:dyDescent="0.25">
      <c r="A30" s="2621"/>
      <c r="B30" s="2359" t="s">
        <v>156</v>
      </c>
      <c r="C30" s="1594">
        <f t="shared" si="9"/>
        <v>0</v>
      </c>
      <c r="D30" s="1582"/>
      <c r="E30" s="1583">
        <f t="shared" si="7"/>
        <v>0</v>
      </c>
      <c r="F30" s="1568"/>
      <c r="G30" s="1568"/>
      <c r="H30" s="1541"/>
      <c r="I30" s="1540">
        <v>0</v>
      </c>
      <c r="J30" s="1541"/>
      <c r="K30" s="1542"/>
      <c r="L30" s="1583">
        <f t="shared" si="1"/>
        <v>0</v>
      </c>
      <c r="M30" s="1540"/>
      <c r="N30" s="1541"/>
      <c r="O30" s="1540"/>
      <c r="P30" s="1542"/>
      <c r="Q30" s="110"/>
    </row>
    <row r="31" spans="1:17" outlineLevel="1" x14ac:dyDescent="0.25">
      <c r="A31" s="2621"/>
      <c r="B31" s="2359" t="s">
        <v>691</v>
      </c>
      <c r="C31" s="1594">
        <f t="shared" si="9"/>
        <v>6270000</v>
      </c>
      <c r="D31" s="1582">
        <v>0</v>
      </c>
      <c r="E31" s="1583">
        <f t="shared" si="7"/>
        <v>6270000</v>
      </c>
      <c r="F31" s="1568"/>
      <c r="G31" s="1568"/>
      <c r="H31" s="1541">
        <f>+'Výdaje kapitol celkem'!CY34</f>
        <v>5500000</v>
      </c>
      <c r="I31" s="1540"/>
      <c r="J31" s="1541">
        <f>'Výdaje kapitol celkem'!DT34</f>
        <v>700000</v>
      </c>
      <c r="K31" s="1542">
        <f>'Výdaje kapitol celkem'!DE34</f>
        <v>70000</v>
      </c>
      <c r="L31" s="1583">
        <f t="shared" si="1"/>
        <v>0</v>
      </c>
      <c r="M31" s="1540"/>
      <c r="N31" s="1541">
        <v>0</v>
      </c>
      <c r="O31" s="1540">
        <v>0</v>
      </c>
      <c r="P31" s="1542">
        <v>0</v>
      </c>
      <c r="Q31" s="110"/>
    </row>
    <row r="32" spans="1:17" s="181" customFormat="1" outlineLevel="1" x14ac:dyDescent="0.25">
      <c r="A32" s="2621"/>
      <c r="B32" s="2361" t="s">
        <v>974</v>
      </c>
      <c r="C32" s="1595">
        <f t="shared" si="9"/>
        <v>505597</v>
      </c>
      <c r="D32" s="1584">
        <v>0</v>
      </c>
      <c r="E32" s="1585">
        <f t="shared" si="7"/>
        <v>374800</v>
      </c>
      <c r="F32" s="1572">
        <v>33800</v>
      </c>
      <c r="G32" s="1572">
        <v>12850</v>
      </c>
      <c r="H32" s="1544">
        <v>72900</v>
      </c>
      <c r="I32" s="1543">
        <v>1850</v>
      </c>
      <c r="J32" s="1544">
        <v>44900</v>
      </c>
      <c r="K32" s="1545">
        <v>208500</v>
      </c>
      <c r="L32" s="1585">
        <f t="shared" si="1"/>
        <v>130797</v>
      </c>
      <c r="M32" s="1543">
        <v>0</v>
      </c>
      <c r="N32" s="1544">
        <v>60538</v>
      </c>
      <c r="O32" s="1543">
        <v>50538</v>
      </c>
      <c r="P32" s="1545">
        <v>19721</v>
      </c>
      <c r="Q32" s="180"/>
    </row>
    <row r="33" spans="1:17" outlineLevel="1" x14ac:dyDescent="0.25">
      <c r="A33" s="2621"/>
      <c r="B33" s="2359" t="s">
        <v>505</v>
      </c>
      <c r="C33" s="1594">
        <f t="shared" si="9"/>
        <v>800000</v>
      </c>
      <c r="D33" s="1582">
        <v>0</v>
      </c>
      <c r="E33" s="1583">
        <f t="shared" si="7"/>
        <v>800000</v>
      </c>
      <c r="F33" s="1568"/>
      <c r="G33" s="1568"/>
      <c r="H33" s="1541"/>
      <c r="I33" s="1540"/>
      <c r="J33" s="1541"/>
      <c r="K33" s="1542">
        <f>'Výdaje kapitol celkem'!DB34</f>
        <v>800000</v>
      </c>
      <c r="L33" s="1583">
        <f t="shared" si="1"/>
        <v>0</v>
      </c>
      <c r="M33" s="1540"/>
      <c r="N33" s="1541">
        <v>0</v>
      </c>
      <c r="O33" s="1540">
        <v>0</v>
      </c>
      <c r="P33" s="1542">
        <v>0</v>
      </c>
      <c r="Q33" s="110"/>
    </row>
    <row r="34" spans="1:17" x14ac:dyDescent="0.25">
      <c r="A34" s="163"/>
      <c r="B34" s="164" t="s">
        <v>274</v>
      </c>
      <c r="C34" s="140">
        <f t="shared" ref="C34:P34" si="10">SUM(C35:C35)</f>
        <v>250000</v>
      </c>
      <c r="D34" s="138">
        <f t="shared" si="10"/>
        <v>0</v>
      </c>
      <c r="E34" s="139">
        <f t="shared" ref="E34:E43" si="11">SUM(F34:K34)</f>
        <v>250000</v>
      </c>
      <c r="F34" s="140">
        <f t="shared" si="10"/>
        <v>0</v>
      </c>
      <c r="G34" s="140">
        <f t="shared" si="10"/>
        <v>0</v>
      </c>
      <c r="H34" s="141">
        <f t="shared" si="10"/>
        <v>250000</v>
      </c>
      <c r="I34" s="141">
        <f t="shared" si="10"/>
        <v>0</v>
      </c>
      <c r="J34" s="141">
        <f t="shared" si="10"/>
        <v>0</v>
      </c>
      <c r="K34" s="142">
        <f t="shared" si="10"/>
        <v>0</v>
      </c>
      <c r="L34" s="1583">
        <f t="shared" si="1"/>
        <v>0</v>
      </c>
      <c r="M34" s="143">
        <f t="shared" si="10"/>
        <v>0</v>
      </c>
      <c r="N34" s="141">
        <f t="shared" si="10"/>
        <v>0</v>
      </c>
      <c r="O34" s="143">
        <f t="shared" si="10"/>
        <v>0</v>
      </c>
      <c r="P34" s="142">
        <f t="shared" si="10"/>
        <v>0</v>
      </c>
      <c r="Q34" s="110" t="s">
        <v>1722</v>
      </c>
    </row>
    <row r="35" spans="1:17" outlineLevel="1" x14ac:dyDescent="0.25">
      <c r="A35" s="165"/>
      <c r="B35" s="166" t="s">
        <v>692</v>
      </c>
      <c r="C35" s="1596">
        <f>+E35+L35+D35</f>
        <v>250000</v>
      </c>
      <c r="D35" s="1586">
        <v>0</v>
      </c>
      <c r="E35" s="1587">
        <f t="shared" si="7"/>
        <v>250000</v>
      </c>
      <c r="F35" s="1573">
        <v>0</v>
      </c>
      <c r="G35" s="1573">
        <v>0</v>
      </c>
      <c r="H35" s="1547">
        <v>250000</v>
      </c>
      <c r="I35" s="1546"/>
      <c r="J35" s="1547"/>
      <c r="K35" s="1548">
        <v>0</v>
      </c>
      <c r="L35" s="1587">
        <f t="shared" si="1"/>
        <v>0</v>
      </c>
      <c r="M35" s="1546"/>
      <c r="N35" s="1547">
        <v>0</v>
      </c>
      <c r="O35" s="1546">
        <v>0</v>
      </c>
      <c r="P35" s="1548">
        <v>0</v>
      </c>
      <c r="Q35" s="110"/>
    </row>
    <row r="36" spans="1:17" s="135" customFormat="1" x14ac:dyDescent="0.25">
      <c r="A36" s="163"/>
      <c r="B36" s="164" t="s">
        <v>260</v>
      </c>
      <c r="C36" s="140">
        <f>SUM(C37:C40)</f>
        <v>58056000</v>
      </c>
      <c r="D36" s="138">
        <f t="shared" ref="D36:P36" si="12">SUM(D37:D40)</f>
        <v>0</v>
      </c>
      <c r="E36" s="139">
        <f t="shared" si="12"/>
        <v>0</v>
      </c>
      <c r="F36" s="140">
        <f t="shared" si="12"/>
        <v>0</v>
      </c>
      <c r="G36" s="140">
        <f t="shared" si="12"/>
        <v>0</v>
      </c>
      <c r="H36" s="141">
        <f t="shared" si="12"/>
        <v>0</v>
      </c>
      <c r="I36" s="141">
        <f t="shared" si="12"/>
        <v>0</v>
      </c>
      <c r="J36" s="141">
        <f t="shared" si="12"/>
        <v>0</v>
      </c>
      <c r="K36" s="142">
        <f t="shared" si="12"/>
        <v>0</v>
      </c>
      <c r="L36" s="139">
        <f t="shared" si="12"/>
        <v>58056000</v>
      </c>
      <c r="M36" s="143">
        <f t="shared" si="12"/>
        <v>0</v>
      </c>
      <c r="N36" s="141">
        <f t="shared" si="12"/>
        <v>19430000</v>
      </c>
      <c r="O36" s="143">
        <f t="shared" si="12"/>
        <v>16916000</v>
      </c>
      <c r="P36" s="142">
        <f t="shared" si="12"/>
        <v>21710000</v>
      </c>
      <c r="Q36" s="159"/>
    </row>
    <row r="37" spans="1:17" outlineLevel="1" x14ac:dyDescent="0.25">
      <c r="A37" s="165"/>
      <c r="B37" s="2362" t="s">
        <v>962</v>
      </c>
      <c r="C37" s="1596">
        <f t="shared" ref="C37:C42" si="13">+E37+L37+D37</f>
        <v>53396000</v>
      </c>
      <c r="D37" s="1586">
        <v>0</v>
      </c>
      <c r="E37" s="1587">
        <f t="shared" si="7"/>
        <v>0</v>
      </c>
      <c r="F37" s="1573">
        <v>0</v>
      </c>
      <c r="G37" s="1573">
        <v>0</v>
      </c>
      <c r="H37" s="1547">
        <v>0</v>
      </c>
      <c r="I37" s="1546"/>
      <c r="J37" s="1547"/>
      <c r="K37" s="1548">
        <v>0</v>
      </c>
      <c r="L37" s="1587">
        <f t="shared" si="1"/>
        <v>53396000</v>
      </c>
      <c r="M37" s="1546"/>
      <c r="N37" s="1547">
        <v>16900000</v>
      </c>
      <c r="O37" s="1546">
        <v>15386000</v>
      </c>
      <c r="P37" s="1548">
        <v>21110000</v>
      </c>
      <c r="Q37" s="110"/>
    </row>
    <row r="38" spans="1:17" outlineLevel="1" x14ac:dyDescent="0.25">
      <c r="A38" s="165"/>
      <c r="B38" s="2362" t="s">
        <v>941</v>
      </c>
      <c r="C38" s="1596">
        <f t="shared" si="13"/>
        <v>1000000</v>
      </c>
      <c r="D38" s="1586"/>
      <c r="E38" s="1587">
        <f t="shared" si="7"/>
        <v>0</v>
      </c>
      <c r="F38" s="1573"/>
      <c r="G38" s="1573"/>
      <c r="H38" s="1547"/>
      <c r="I38" s="1546"/>
      <c r="J38" s="1547"/>
      <c r="K38" s="1548"/>
      <c r="L38" s="1587">
        <f t="shared" si="1"/>
        <v>1000000</v>
      </c>
      <c r="M38" s="1546"/>
      <c r="N38" s="1547">
        <v>1000000</v>
      </c>
      <c r="O38" s="1546"/>
      <c r="P38" s="1548"/>
      <c r="Q38" s="110"/>
    </row>
    <row r="39" spans="1:17" outlineLevel="1" x14ac:dyDescent="0.25">
      <c r="A39" s="165"/>
      <c r="B39" s="2362" t="s">
        <v>947</v>
      </c>
      <c r="C39" s="1596">
        <f t="shared" si="13"/>
        <v>60000</v>
      </c>
      <c r="D39" s="1586"/>
      <c r="E39" s="1587">
        <f t="shared" si="7"/>
        <v>0</v>
      </c>
      <c r="F39" s="1573"/>
      <c r="G39" s="1573"/>
      <c r="H39" s="1547"/>
      <c r="I39" s="1546"/>
      <c r="J39" s="1547"/>
      <c r="K39" s="1548"/>
      <c r="L39" s="1587">
        <f t="shared" si="1"/>
        <v>60000</v>
      </c>
      <c r="M39" s="1546"/>
      <c r="N39" s="1547">
        <v>30000</v>
      </c>
      <c r="O39" s="1546">
        <v>30000</v>
      </c>
      <c r="P39" s="1548"/>
      <c r="Q39" s="110"/>
    </row>
    <row r="40" spans="1:17" s="181" customFormat="1" outlineLevel="1" x14ac:dyDescent="0.25">
      <c r="A40" s="171"/>
      <c r="B40" s="2363" t="s">
        <v>693</v>
      </c>
      <c r="C40" s="1597">
        <f t="shared" si="13"/>
        <v>3600000</v>
      </c>
      <c r="D40" s="1588">
        <v>0</v>
      </c>
      <c r="E40" s="1589">
        <f t="shared" si="7"/>
        <v>0</v>
      </c>
      <c r="F40" s="1574">
        <v>0</v>
      </c>
      <c r="G40" s="1574">
        <v>0</v>
      </c>
      <c r="H40" s="1550">
        <v>0</v>
      </c>
      <c r="I40" s="1549"/>
      <c r="J40" s="1550"/>
      <c r="K40" s="1551">
        <v>0</v>
      </c>
      <c r="L40" s="1589">
        <f t="shared" si="1"/>
        <v>3600000</v>
      </c>
      <c r="M40" s="1549"/>
      <c r="N40" s="1550">
        <v>1500000</v>
      </c>
      <c r="O40" s="1549">
        <v>1500000</v>
      </c>
      <c r="P40" s="1551">
        <v>600000</v>
      </c>
      <c r="Q40" s="180"/>
    </row>
    <row r="41" spans="1:17" s="135" customFormat="1" x14ac:dyDescent="0.25">
      <c r="A41" s="163"/>
      <c r="B41" s="182" t="s">
        <v>257</v>
      </c>
      <c r="C41" s="140">
        <f t="shared" si="13"/>
        <v>0</v>
      </c>
      <c r="D41" s="138">
        <v>0</v>
      </c>
      <c r="E41" s="139">
        <f t="shared" si="7"/>
        <v>0</v>
      </c>
      <c r="F41" s="140">
        <v>0</v>
      </c>
      <c r="G41" s="140">
        <v>0</v>
      </c>
      <c r="H41" s="141">
        <v>0</v>
      </c>
      <c r="I41" s="141">
        <v>0</v>
      </c>
      <c r="J41" s="141">
        <v>0</v>
      </c>
      <c r="K41" s="142">
        <v>0</v>
      </c>
      <c r="L41" s="139">
        <f t="shared" si="1"/>
        <v>0</v>
      </c>
      <c r="M41" s="143"/>
      <c r="N41" s="141">
        <v>0</v>
      </c>
      <c r="O41" s="143">
        <v>0</v>
      </c>
      <c r="P41" s="142">
        <v>0</v>
      </c>
      <c r="Q41" s="159"/>
    </row>
    <row r="42" spans="1:17" s="135" customFormat="1" x14ac:dyDescent="0.25">
      <c r="A42" s="163"/>
      <c r="B42" s="182" t="s">
        <v>258</v>
      </c>
      <c r="C42" s="140">
        <f t="shared" si="13"/>
        <v>0</v>
      </c>
      <c r="D42" s="138">
        <v>0</v>
      </c>
      <c r="E42" s="139">
        <f t="shared" si="7"/>
        <v>0</v>
      </c>
      <c r="F42" s="140">
        <v>0</v>
      </c>
      <c r="G42" s="140">
        <v>0</v>
      </c>
      <c r="H42" s="141">
        <v>0</v>
      </c>
      <c r="I42" s="141">
        <v>0</v>
      </c>
      <c r="J42" s="141">
        <v>0</v>
      </c>
      <c r="K42" s="142">
        <v>0</v>
      </c>
      <c r="L42" s="139">
        <f t="shared" si="1"/>
        <v>0</v>
      </c>
      <c r="M42" s="143"/>
      <c r="N42" s="141">
        <v>0</v>
      </c>
      <c r="O42" s="143">
        <v>0</v>
      </c>
      <c r="P42" s="142">
        <v>0</v>
      </c>
      <c r="Q42" s="159"/>
    </row>
    <row r="43" spans="1:17" s="135" customFormat="1" x14ac:dyDescent="0.25">
      <c r="A43" s="163"/>
      <c r="B43" s="182" t="s">
        <v>259</v>
      </c>
      <c r="C43" s="140">
        <f>SUM(C44:C51)</f>
        <v>4440000</v>
      </c>
      <c r="D43" s="138">
        <f t="shared" ref="D43:P43" si="14">SUM(D44:D51)</f>
        <v>0</v>
      </c>
      <c r="E43" s="139">
        <f t="shared" si="11"/>
        <v>4360000</v>
      </c>
      <c r="F43" s="140">
        <f t="shared" si="14"/>
        <v>199000</v>
      </c>
      <c r="G43" s="140">
        <f t="shared" si="14"/>
        <v>0</v>
      </c>
      <c r="H43" s="141">
        <f t="shared" si="14"/>
        <v>275000</v>
      </c>
      <c r="I43" s="141">
        <f t="shared" si="14"/>
        <v>100000</v>
      </c>
      <c r="J43" s="141">
        <f t="shared" si="14"/>
        <v>500000</v>
      </c>
      <c r="K43" s="142">
        <f t="shared" si="14"/>
        <v>3286000</v>
      </c>
      <c r="L43" s="139">
        <f t="shared" si="14"/>
        <v>80000</v>
      </c>
      <c r="M43" s="143">
        <f t="shared" si="14"/>
        <v>0</v>
      </c>
      <c r="N43" s="141">
        <f t="shared" si="14"/>
        <v>80000</v>
      </c>
      <c r="O43" s="143">
        <f t="shared" si="14"/>
        <v>0</v>
      </c>
      <c r="P43" s="142">
        <f t="shared" si="14"/>
        <v>0</v>
      </c>
      <c r="Q43" s="159"/>
    </row>
    <row r="44" spans="1:17" outlineLevel="1" x14ac:dyDescent="0.25">
      <c r="A44" s="165"/>
      <c r="B44" s="2362" t="s">
        <v>942</v>
      </c>
      <c r="C44" s="1594">
        <f>+E44+L44+D44</f>
        <v>3274000</v>
      </c>
      <c r="D44" s="1582">
        <v>0</v>
      </c>
      <c r="E44" s="1583">
        <f t="shared" si="7"/>
        <v>3274000</v>
      </c>
      <c r="F44" s="1568">
        <v>99000</v>
      </c>
      <c r="G44" s="1568">
        <v>0</v>
      </c>
      <c r="H44" s="1541">
        <v>25000</v>
      </c>
      <c r="I44" s="1540">
        <v>100000</v>
      </c>
      <c r="J44" s="1541">
        <v>50000</v>
      </c>
      <c r="K44" s="1542">
        <v>3000000</v>
      </c>
      <c r="L44" s="1583">
        <f t="shared" si="1"/>
        <v>0</v>
      </c>
      <c r="M44" s="1540"/>
      <c r="N44" s="1541">
        <v>0</v>
      </c>
      <c r="O44" s="1540">
        <v>0</v>
      </c>
      <c r="P44" s="1542">
        <v>0</v>
      </c>
      <c r="Q44" s="110"/>
    </row>
    <row r="45" spans="1:17" outlineLevel="1" x14ac:dyDescent="0.25">
      <c r="A45" s="165"/>
      <c r="B45" s="2362" t="s">
        <v>943</v>
      </c>
      <c r="C45" s="1594">
        <f t="shared" ref="C45:C48" si="15">+E45+L45+D45</f>
        <v>96000</v>
      </c>
      <c r="D45" s="1582">
        <v>0</v>
      </c>
      <c r="E45" s="1583">
        <f t="shared" si="7"/>
        <v>96000</v>
      </c>
      <c r="F45" s="1568"/>
      <c r="G45" s="1568"/>
      <c r="H45" s="1541"/>
      <c r="I45" s="1540"/>
      <c r="J45" s="1541"/>
      <c r="K45" s="1542">
        <v>96000</v>
      </c>
      <c r="L45" s="1583"/>
      <c r="M45" s="1540"/>
      <c r="N45" s="1541"/>
      <c r="O45" s="1540"/>
      <c r="P45" s="1542"/>
      <c r="Q45" s="110"/>
    </row>
    <row r="46" spans="1:17" outlineLevel="1" x14ac:dyDescent="0.25">
      <c r="A46" s="165"/>
      <c r="B46" s="2362" t="s">
        <v>944</v>
      </c>
      <c r="C46" s="1594">
        <f t="shared" si="15"/>
        <v>100000</v>
      </c>
      <c r="D46" s="1582"/>
      <c r="E46" s="1583">
        <f t="shared" si="7"/>
        <v>100000</v>
      </c>
      <c r="F46" s="1568">
        <v>100000</v>
      </c>
      <c r="G46" s="1568"/>
      <c r="H46" s="1541"/>
      <c r="I46" s="1540"/>
      <c r="J46" s="1541"/>
      <c r="K46" s="1542"/>
      <c r="L46" s="1583"/>
      <c r="M46" s="1540"/>
      <c r="N46" s="1541"/>
      <c r="O46" s="1540"/>
      <c r="P46" s="1542"/>
      <c r="Q46" s="110"/>
    </row>
    <row r="47" spans="1:17" outlineLevel="1" x14ac:dyDescent="0.25">
      <c r="A47" s="165"/>
      <c r="B47" s="2362" t="s">
        <v>945</v>
      </c>
      <c r="C47" s="1594">
        <f t="shared" si="15"/>
        <v>60000</v>
      </c>
      <c r="D47" s="1582"/>
      <c r="E47" s="1583">
        <f t="shared" si="7"/>
        <v>60000</v>
      </c>
      <c r="F47" s="1568"/>
      <c r="G47" s="1568"/>
      <c r="H47" s="1541"/>
      <c r="I47" s="1540"/>
      <c r="J47" s="1541"/>
      <c r="K47" s="1542">
        <v>60000</v>
      </c>
      <c r="L47" s="1583"/>
      <c r="M47" s="1540"/>
      <c r="N47" s="1541"/>
      <c r="O47" s="1540"/>
      <c r="P47" s="1542"/>
      <c r="Q47" s="110"/>
    </row>
    <row r="48" spans="1:17" outlineLevel="1" x14ac:dyDescent="0.25">
      <c r="A48" s="165"/>
      <c r="B48" s="2362" t="s">
        <v>946</v>
      </c>
      <c r="C48" s="1594">
        <f t="shared" si="15"/>
        <v>100000</v>
      </c>
      <c r="D48" s="1582"/>
      <c r="E48" s="1583">
        <f t="shared" si="7"/>
        <v>100000</v>
      </c>
      <c r="F48" s="1568"/>
      <c r="G48" s="1568"/>
      <c r="H48" s="1541"/>
      <c r="I48" s="1540"/>
      <c r="J48" s="1541"/>
      <c r="K48" s="1542">
        <v>100000</v>
      </c>
      <c r="L48" s="1583"/>
      <c r="M48" s="1540"/>
      <c r="N48" s="1541"/>
      <c r="O48" s="1540"/>
      <c r="P48" s="1542"/>
      <c r="Q48" s="110"/>
    </row>
    <row r="49" spans="1:17" outlineLevel="1" x14ac:dyDescent="0.25">
      <c r="A49" s="165"/>
      <c r="B49" s="2362" t="s">
        <v>495</v>
      </c>
      <c r="C49" s="1594">
        <f>+E49+L49+D49</f>
        <v>80000</v>
      </c>
      <c r="D49" s="1582">
        <v>0</v>
      </c>
      <c r="E49" s="1583">
        <f t="shared" si="7"/>
        <v>0</v>
      </c>
      <c r="F49" s="1568">
        <v>0</v>
      </c>
      <c r="G49" s="1568">
        <v>0</v>
      </c>
      <c r="H49" s="1541">
        <v>0</v>
      </c>
      <c r="I49" s="1540"/>
      <c r="J49" s="1541"/>
      <c r="K49" s="1542">
        <v>0</v>
      </c>
      <c r="L49" s="1583">
        <f t="shared" si="1"/>
        <v>80000</v>
      </c>
      <c r="M49" s="1540"/>
      <c r="N49" s="1541">
        <v>80000</v>
      </c>
      <c r="O49" s="1540"/>
      <c r="P49" s="1542">
        <v>0</v>
      </c>
      <c r="Q49" s="110"/>
    </row>
    <row r="50" spans="1:17" outlineLevel="1" x14ac:dyDescent="0.25">
      <c r="A50" s="165"/>
      <c r="B50" s="2362" t="s">
        <v>947</v>
      </c>
      <c r="C50" s="1594">
        <f>+E50+L50+D50</f>
        <v>700000</v>
      </c>
      <c r="D50" s="1582">
        <v>0</v>
      </c>
      <c r="E50" s="1583">
        <f t="shared" si="7"/>
        <v>700000</v>
      </c>
      <c r="F50" s="1568"/>
      <c r="G50" s="1568">
        <v>0</v>
      </c>
      <c r="H50" s="1541">
        <v>250000</v>
      </c>
      <c r="I50" s="1540"/>
      <c r="J50" s="1541">
        <v>450000</v>
      </c>
      <c r="K50" s="1542">
        <v>0</v>
      </c>
      <c r="L50" s="1583">
        <f t="shared" si="1"/>
        <v>0</v>
      </c>
      <c r="M50" s="1540"/>
      <c r="N50" s="1541">
        <v>0</v>
      </c>
      <c r="O50" s="1540">
        <v>0</v>
      </c>
      <c r="P50" s="1542">
        <v>0</v>
      </c>
      <c r="Q50" s="110"/>
    </row>
    <row r="51" spans="1:17" outlineLevel="1" x14ac:dyDescent="0.25">
      <c r="A51" s="165"/>
      <c r="B51" s="2362" t="s">
        <v>356</v>
      </c>
      <c r="C51" s="1594">
        <f>+E51+L51+D51</f>
        <v>30000</v>
      </c>
      <c r="D51" s="1582">
        <v>0</v>
      </c>
      <c r="E51" s="1583">
        <f t="shared" si="7"/>
        <v>30000</v>
      </c>
      <c r="F51" s="1568">
        <v>0</v>
      </c>
      <c r="G51" s="1568">
        <v>0</v>
      </c>
      <c r="H51" s="1541">
        <v>0</v>
      </c>
      <c r="I51" s="1540"/>
      <c r="J51" s="1541"/>
      <c r="K51" s="1542">
        <v>30000</v>
      </c>
      <c r="L51" s="1583">
        <f t="shared" si="1"/>
        <v>0</v>
      </c>
      <c r="M51" s="1540"/>
      <c r="N51" s="1541"/>
      <c r="O51" s="1540">
        <v>0</v>
      </c>
      <c r="P51" s="1542">
        <v>0</v>
      </c>
      <c r="Q51" s="110"/>
    </row>
    <row r="52" spans="1:17" ht="14.25" thickBot="1" x14ac:dyDescent="0.3">
      <c r="A52" s="2624" t="s">
        <v>236</v>
      </c>
      <c r="B52" s="2625"/>
      <c r="C52" s="183">
        <f>C5+C34+C36+C41+C42+C43</f>
        <v>97771597</v>
      </c>
      <c r="D52" s="183">
        <f t="shared" ref="D52:P52" si="16">D5+D34+D36+D41+D42+D43</f>
        <v>0</v>
      </c>
      <c r="E52" s="184">
        <f>E5+E34+E36+E41+E42+E43</f>
        <v>39504800</v>
      </c>
      <c r="F52" s="185">
        <f t="shared" si="16"/>
        <v>1902800</v>
      </c>
      <c r="G52" s="183">
        <f t="shared" si="16"/>
        <v>562850</v>
      </c>
      <c r="H52" s="183">
        <f t="shared" si="16"/>
        <v>10597900</v>
      </c>
      <c r="I52" s="183">
        <f t="shared" si="16"/>
        <v>1441850</v>
      </c>
      <c r="J52" s="183">
        <f t="shared" si="16"/>
        <v>2994900</v>
      </c>
      <c r="K52" s="186">
        <f t="shared" si="16"/>
        <v>22004500</v>
      </c>
      <c r="L52" s="184">
        <f t="shared" si="16"/>
        <v>58266797</v>
      </c>
      <c r="M52" s="185">
        <f t="shared" si="16"/>
        <v>0</v>
      </c>
      <c r="N52" s="187">
        <f t="shared" si="16"/>
        <v>19570538</v>
      </c>
      <c r="O52" s="185">
        <f t="shared" si="16"/>
        <v>16966538</v>
      </c>
      <c r="P52" s="186">
        <f t="shared" si="16"/>
        <v>21729721</v>
      </c>
      <c r="Q52" s="188">
        <f>+D52+E52+L52</f>
        <v>97771597</v>
      </c>
    </row>
    <row r="53" spans="1:17" ht="14.25" thickBot="1" x14ac:dyDescent="0.3">
      <c r="A53" s="189" t="s">
        <v>340</v>
      </c>
      <c r="B53" s="109"/>
      <c r="C53" s="308"/>
      <c r="D53" s="308"/>
      <c r="E53" s="308"/>
      <c r="F53" s="411"/>
      <c r="G53" s="1575"/>
      <c r="H53" s="308"/>
      <c r="I53" s="308"/>
      <c r="J53" s="308"/>
      <c r="K53" s="308"/>
      <c r="L53" s="308"/>
      <c r="M53" s="308"/>
      <c r="N53" s="308"/>
      <c r="O53" s="1552"/>
      <c r="P53" s="1552"/>
      <c r="Q53" s="110"/>
    </row>
    <row r="54" spans="1:17" s="204" customFormat="1" x14ac:dyDescent="0.25">
      <c r="A54" s="125">
        <v>5011</v>
      </c>
      <c r="B54" s="194" t="s">
        <v>65</v>
      </c>
      <c r="C54" s="1598">
        <f>+E54+L54+D54</f>
        <v>19499200</v>
      </c>
      <c r="D54" s="1603"/>
      <c r="E54" s="1590">
        <f>SUM(F54:K54)</f>
        <v>15258660</v>
      </c>
      <c r="F54" s="1576">
        <v>1197980</v>
      </c>
      <c r="G54" s="1576">
        <v>462450</v>
      </c>
      <c r="H54" s="405">
        <v>2647080</v>
      </c>
      <c r="I54" s="405">
        <v>925930</v>
      </c>
      <c r="J54" s="405">
        <v>1486920</v>
      </c>
      <c r="K54" s="1553">
        <v>8538300</v>
      </c>
      <c r="L54" s="1590">
        <f t="shared" ref="L54:L62" si="17">SUM(M54:P54)</f>
        <v>4240540</v>
      </c>
      <c r="M54" s="1605"/>
      <c r="N54" s="1553">
        <v>2227204</v>
      </c>
      <c r="O54" s="407">
        <v>1329604</v>
      </c>
      <c r="P54" s="1554">
        <v>683732</v>
      </c>
      <c r="Q54" s="110"/>
    </row>
    <row r="55" spans="1:17" s="204" customFormat="1" x14ac:dyDescent="0.25">
      <c r="A55" s="163">
        <v>5021</v>
      </c>
      <c r="B55" s="205" t="s">
        <v>66</v>
      </c>
      <c r="C55" s="1596">
        <f t="shared" ref="C55:C62" si="18">+E55+L55+D55</f>
        <v>350000</v>
      </c>
      <c r="D55" s="1591"/>
      <c r="E55" s="1587">
        <f t="shared" ref="E55:E62" si="19">SUM(F55:K55)</f>
        <v>0</v>
      </c>
      <c r="F55" s="1577">
        <v>0</v>
      </c>
      <c r="G55" s="1577">
        <v>0</v>
      </c>
      <c r="H55" s="1569">
        <v>0</v>
      </c>
      <c r="I55" s="1569">
        <v>0</v>
      </c>
      <c r="J55" s="1569">
        <v>0</v>
      </c>
      <c r="K55" s="1555">
        <v>0</v>
      </c>
      <c r="L55" s="1587">
        <f t="shared" si="17"/>
        <v>350000</v>
      </c>
      <c r="M55" s="1559"/>
      <c r="N55" s="1555">
        <v>175000</v>
      </c>
      <c r="O55" s="1556">
        <v>175000</v>
      </c>
      <c r="P55" s="1557">
        <v>0</v>
      </c>
      <c r="Q55" s="110"/>
    </row>
    <row r="56" spans="1:17" s="204" customFormat="1" x14ac:dyDescent="0.25">
      <c r="A56" s="163">
        <v>5024</v>
      </c>
      <c r="B56" s="205" t="s">
        <v>256</v>
      </c>
      <c r="C56" s="1596">
        <f t="shared" si="18"/>
        <v>0</v>
      </c>
      <c r="D56" s="1591"/>
      <c r="E56" s="1587">
        <f t="shared" si="19"/>
        <v>0</v>
      </c>
      <c r="F56" s="1577">
        <v>0</v>
      </c>
      <c r="G56" s="1577">
        <v>0</v>
      </c>
      <c r="H56" s="1569">
        <v>0</v>
      </c>
      <c r="I56" s="1569">
        <v>0</v>
      </c>
      <c r="J56" s="1569">
        <v>0</v>
      </c>
      <c r="K56" s="1555">
        <v>0</v>
      </c>
      <c r="L56" s="1587">
        <f t="shared" si="17"/>
        <v>0</v>
      </c>
      <c r="M56" s="1559"/>
      <c r="N56" s="1555">
        <v>0</v>
      </c>
      <c r="O56" s="1556">
        <v>0</v>
      </c>
      <c r="P56" s="1557">
        <v>0</v>
      </c>
      <c r="Q56" s="110"/>
    </row>
    <row r="57" spans="1:17" s="204" customFormat="1" x14ac:dyDescent="0.25">
      <c r="A57" s="163">
        <v>5027</v>
      </c>
      <c r="B57" s="205" t="s">
        <v>727</v>
      </c>
      <c r="C57" s="1596">
        <f>+E57+L57+D57</f>
        <v>670000</v>
      </c>
      <c r="D57" s="1591"/>
      <c r="E57" s="1587">
        <f t="shared" si="19"/>
        <v>537000</v>
      </c>
      <c r="F57" s="1577">
        <v>41000</v>
      </c>
      <c r="G57" s="1577">
        <v>18750</v>
      </c>
      <c r="H57" s="1569">
        <v>127000</v>
      </c>
      <c r="I57" s="1569">
        <v>35750</v>
      </c>
      <c r="J57" s="1569">
        <v>47000</v>
      </c>
      <c r="K57" s="1555">
        <v>267500</v>
      </c>
      <c r="L57" s="1587">
        <f t="shared" si="17"/>
        <v>133000</v>
      </c>
      <c r="M57" s="1559"/>
      <c r="N57" s="1555">
        <v>65500</v>
      </c>
      <c r="O57" s="1556">
        <v>50500</v>
      </c>
      <c r="P57" s="1557">
        <v>17000</v>
      </c>
      <c r="Q57" s="110"/>
    </row>
    <row r="58" spans="1:17" s="204" customFormat="1" x14ac:dyDescent="0.25">
      <c r="A58" s="163">
        <v>5029</v>
      </c>
      <c r="B58" s="205" t="s">
        <v>67</v>
      </c>
      <c r="C58" s="1596">
        <f t="shared" si="18"/>
        <v>0</v>
      </c>
      <c r="D58" s="1591"/>
      <c r="E58" s="1587">
        <f t="shared" si="19"/>
        <v>0</v>
      </c>
      <c r="F58" s="1577">
        <v>0</v>
      </c>
      <c r="G58" s="1577">
        <v>0</v>
      </c>
      <c r="H58" s="1569">
        <v>0</v>
      </c>
      <c r="I58" s="1569">
        <v>0</v>
      </c>
      <c r="J58" s="1569">
        <v>0</v>
      </c>
      <c r="K58" s="1555">
        <v>0</v>
      </c>
      <c r="L58" s="1587">
        <f t="shared" si="17"/>
        <v>0</v>
      </c>
      <c r="M58" s="1559"/>
      <c r="N58" s="1555">
        <v>0</v>
      </c>
      <c r="O58" s="1556">
        <v>0</v>
      </c>
      <c r="P58" s="1557">
        <v>0</v>
      </c>
      <c r="Q58" s="110"/>
    </row>
    <row r="59" spans="1:17" s="204" customFormat="1" x14ac:dyDescent="0.25">
      <c r="A59" s="163">
        <v>5031</v>
      </c>
      <c r="B59" s="205" t="s">
        <v>68</v>
      </c>
      <c r="C59" s="1596">
        <f t="shared" si="18"/>
        <v>4592124.26</v>
      </c>
      <c r="D59" s="1591"/>
      <c r="E59" s="1587">
        <f t="shared" si="19"/>
        <v>3535470</v>
      </c>
      <c r="F59" s="1577">
        <v>299495</v>
      </c>
      <c r="G59" s="1577">
        <v>115612.5</v>
      </c>
      <c r="H59" s="1569">
        <v>661770</v>
      </c>
      <c r="I59" s="1569">
        <v>231482.5</v>
      </c>
      <c r="J59" s="1569">
        <v>371730</v>
      </c>
      <c r="K59" s="1555">
        <v>1855380</v>
      </c>
      <c r="L59" s="1587">
        <f t="shared" si="17"/>
        <v>1056654.26</v>
      </c>
      <c r="M59" s="1559"/>
      <c r="N59" s="1555">
        <v>556801</v>
      </c>
      <c r="O59" s="1556">
        <v>331771</v>
      </c>
      <c r="P59" s="1557">
        <v>168082.26</v>
      </c>
      <c r="Q59" s="110"/>
    </row>
    <row r="60" spans="1:17" s="204" customFormat="1" x14ac:dyDescent="0.25">
      <c r="A60" s="163">
        <v>5032</v>
      </c>
      <c r="B60" s="205" t="s">
        <v>69</v>
      </c>
      <c r="C60" s="1596">
        <f t="shared" si="18"/>
        <v>1653164.7335999999</v>
      </c>
      <c r="D60" s="1591"/>
      <c r="E60" s="1587">
        <f t="shared" si="19"/>
        <v>1272769.2</v>
      </c>
      <c r="F60" s="1577">
        <v>107818.2</v>
      </c>
      <c r="G60" s="1577">
        <v>41620.5</v>
      </c>
      <c r="H60" s="1569">
        <v>238237.2</v>
      </c>
      <c r="I60" s="1569">
        <v>83333.7</v>
      </c>
      <c r="J60" s="1569">
        <v>133822.79999999999</v>
      </c>
      <c r="K60" s="1555">
        <v>667936.79999999993</v>
      </c>
      <c r="L60" s="1587">
        <f t="shared" si="17"/>
        <v>380395.53359999997</v>
      </c>
      <c r="M60" s="1559"/>
      <c r="N60" s="1555">
        <v>200448.36</v>
      </c>
      <c r="O60" s="1556">
        <v>119437.56</v>
      </c>
      <c r="P60" s="1557">
        <v>60509.613600000004</v>
      </c>
      <c r="Q60" s="110"/>
    </row>
    <row r="61" spans="1:17" s="181" customFormat="1" x14ac:dyDescent="0.25">
      <c r="A61" s="585"/>
      <c r="B61" s="388" t="s">
        <v>974</v>
      </c>
      <c r="C61" s="1597">
        <f t="shared" si="18"/>
        <v>551054.91119999997</v>
      </c>
      <c r="D61" s="1604"/>
      <c r="E61" s="1589">
        <f t="shared" si="19"/>
        <v>424256.4</v>
      </c>
      <c r="F61" s="1578">
        <v>35939.4</v>
      </c>
      <c r="G61" s="1578">
        <v>13873.5</v>
      </c>
      <c r="H61" s="1579">
        <v>79412.400000000009</v>
      </c>
      <c r="I61" s="1579">
        <v>27777.9</v>
      </c>
      <c r="J61" s="1579">
        <v>44607.6</v>
      </c>
      <c r="K61" s="1579">
        <v>222645.6</v>
      </c>
      <c r="L61" s="1589">
        <f t="shared" si="17"/>
        <v>126798.51119999998</v>
      </c>
      <c r="M61" s="1606"/>
      <c r="N61" s="1558">
        <v>66816.12</v>
      </c>
      <c r="O61" s="1558">
        <v>39812.519999999997</v>
      </c>
      <c r="P61" s="1558">
        <v>20169.871200000001</v>
      </c>
      <c r="Q61" s="180"/>
    </row>
    <row r="62" spans="1:17" s="204" customFormat="1" x14ac:dyDescent="0.25">
      <c r="A62" s="163">
        <v>5038</v>
      </c>
      <c r="B62" s="205" t="s">
        <v>70</v>
      </c>
      <c r="C62" s="1596">
        <f t="shared" si="18"/>
        <v>81662.123567999995</v>
      </c>
      <c r="D62" s="1591"/>
      <c r="E62" s="1587">
        <f t="shared" si="19"/>
        <v>63910.428</v>
      </c>
      <c r="F62" s="1577">
        <v>5031.4920000000002</v>
      </c>
      <c r="G62" s="1577">
        <v>1942.2839999999999</v>
      </c>
      <c r="H62" s="1569">
        <v>11117.712</v>
      </c>
      <c r="I62" s="1569">
        <v>3888.8999999999996</v>
      </c>
      <c r="J62" s="1569">
        <v>6245.04</v>
      </c>
      <c r="K62" s="1555">
        <v>35685</v>
      </c>
      <c r="L62" s="1587">
        <f t="shared" si="17"/>
        <v>17751.695567999999</v>
      </c>
      <c r="M62" s="1559"/>
      <c r="N62" s="1555">
        <v>9354.2207999999991</v>
      </c>
      <c r="O62" s="1556">
        <v>5573.7168000000001</v>
      </c>
      <c r="P62" s="1557">
        <v>2823.7579679999999</v>
      </c>
      <c r="Q62" s="110"/>
    </row>
    <row r="63" spans="1:17" ht="14.25" thickBot="1" x14ac:dyDescent="0.3">
      <c r="A63" s="2530" t="s">
        <v>71</v>
      </c>
      <c r="B63" s="2531" t="s">
        <v>122</v>
      </c>
      <c r="C63" s="183">
        <f>SUM(C54:C62)</f>
        <v>27397206.028367996</v>
      </c>
      <c r="D63" s="183">
        <f>SUM(D54:D62)</f>
        <v>0</v>
      </c>
      <c r="E63" s="184">
        <f t="shared" ref="E63:P63" si="20">SUM(E54:E62)</f>
        <v>21092066.027999997</v>
      </c>
      <c r="F63" s="2532">
        <f t="shared" si="20"/>
        <v>1687264.0919999999</v>
      </c>
      <c r="G63" s="2532">
        <f t="shared" si="20"/>
        <v>654248.78399999999</v>
      </c>
      <c r="H63" s="187">
        <f t="shared" si="20"/>
        <v>3764617.3119999999</v>
      </c>
      <c r="I63" s="187">
        <f t="shared" si="20"/>
        <v>1308162.9999999998</v>
      </c>
      <c r="J63" s="187">
        <f t="shared" si="20"/>
        <v>2090325.4400000002</v>
      </c>
      <c r="K63" s="185">
        <f t="shared" si="20"/>
        <v>11587447.4</v>
      </c>
      <c r="L63" s="184">
        <f t="shared" si="20"/>
        <v>6305140.0003679991</v>
      </c>
      <c r="M63" s="2533">
        <f t="shared" si="20"/>
        <v>0</v>
      </c>
      <c r="N63" s="185">
        <f t="shared" si="20"/>
        <v>3301123.7007999998</v>
      </c>
      <c r="O63" s="2534">
        <f t="shared" si="20"/>
        <v>2051698.7968000001</v>
      </c>
      <c r="P63" s="186">
        <f t="shared" si="20"/>
        <v>952317.50276800012</v>
      </c>
      <c r="Q63" s="188"/>
    </row>
    <row r="64" spans="1:17" x14ac:dyDescent="0.25">
      <c r="A64" s="2535">
        <v>5178</v>
      </c>
      <c r="B64" s="2536" t="s">
        <v>580</v>
      </c>
      <c r="C64" s="158">
        <f>SUM(C65:C71)</f>
        <v>3090000</v>
      </c>
      <c r="D64" s="158">
        <f t="shared" ref="D64:K64" si="21">SUM(D65:D71)</f>
        <v>0</v>
      </c>
      <c r="E64" s="139">
        <f>SUM(E65:E71)</f>
        <v>2770000</v>
      </c>
      <c r="F64" s="2537">
        <f t="shared" si="21"/>
        <v>0</v>
      </c>
      <c r="G64" s="2537">
        <f t="shared" si="21"/>
        <v>0</v>
      </c>
      <c r="H64" s="2538">
        <f t="shared" si="21"/>
        <v>1300000</v>
      </c>
      <c r="I64" s="2538">
        <f t="shared" si="21"/>
        <v>450000</v>
      </c>
      <c r="J64" s="2538">
        <f t="shared" si="21"/>
        <v>350000</v>
      </c>
      <c r="K64" s="2539">
        <f t="shared" si="21"/>
        <v>670000</v>
      </c>
      <c r="L64" s="139">
        <f>SUM(N64:P64)</f>
        <v>320000</v>
      </c>
      <c r="M64" s="2540">
        <f>SUM(M65:M71)</f>
        <v>0</v>
      </c>
      <c r="N64" s="2539">
        <f>SUM(N65:N71)</f>
        <v>0</v>
      </c>
      <c r="O64" s="2541">
        <f>SUM(O65:O71)</f>
        <v>0</v>
      </c>
      <c r="P64" s="2542">
        <f>SUM(P65:P71)</f>
        <v>320000</v>
      </c>
      <c r="Q64" s="110"/>
    </row>
    <row r="65" spans="1:17" outlineLevel="1" x14ac:dyDescent="0.25">
      <c r="A65" s="232"/>
      <c r="B65" s="233" t="s">
        <v>951</v>
      </c>
      <c r="C65" s="1596">
        <f t="shared" ref="C65:C75" si="22">+E65+L65+D65</f>
        <v>350000</v>
      </c>
      <c r="D65" s="1591"/>
      <c r="E65" s="1587">
        <f t="shared" ref="E65:E75" si="23">SUM(F65:K65)</f>
        <v>350000</v>
      </c>
      <c r="F65" s="1577"/>
      <c r="G65" s="1577"/>
      <c r="H65" s="1577"/>
      <c r="I65" s="1577"/>
      <c r="J65" s="1577">
        <v>350000</v>
      </c>
      <c r="K65" s="1577"/>
      <c r="L65" s="1587">
        <f t="shared" ref="L65:L113" si="24">SUM(N65:P65)</f>
        <v>0</v>
      </c>
      <c r="M65" s="1559"/>
      <c r="N65" s="1555"/>
      <c r="O65" s="1556"/>
      <c r="P65" s="1557"/>
      <c r="Q65" s="110"/>
    </row>
    <row r="66" spans="1:17" ht="15.75" customHeight="1" outlineLevel="1" x14ac:dyDescent="0.25">
      <c r="A66" s="232"/>
      <c r="B66" s="233" t="s">
        <v>1899</v>
      </c>
      <c r="C66" s="1596">
        <f t="shared" si="22"/>
        <v>450000</v>
      </c>
      <c r="D66" s="1591"/>
      <c r="E66" s="1587">
        <f t="shared" si="23"/>
        <v>450000</v>
      </c>
      <c r="F66" s="1577"/>
      <c r="G66" s="1577"/>
      <c r="H66" s="1569"/>
      <c r="I66" s="1569">
        <v>450000</v>
      </c>
      <c r="J66" s="1569"/>
      <c r="K66" s="1555"/>
      <c r="L66" s="1587">
        <f t="shared" si="24"/>
        <v>0</v>
      </c>
      <c r="M66" s="1559"/>
      <c r="N66" s="1555"/>
      <c r="O66" s="1556"/>
      <c r="P66" s="1557"/>
      <c r="Q66" s="110"/>
    </row>
    <row r="67" spans="1:17" outlineLevel="1" x14ac:dyDescent="0.25">
      <c r="A67" s="232"/>
      <c r="B67" s="233" t="s">
        <v>952</v>
      </c>
      <c r="C67" s="1596">
        <f t="shared" si="22"/>
        <v>1300000</v>
      </c>
      <c r="D67" s="1591"/>
      <c r="E67" s="1587">
        <f t="shared" si="23"/>
        <v>1300000</v>
      </c>
      <c r="F67" s="1577"/>
      <c r="G67" s="1577"/>
      <c r="H67" s="1569">
        <v>1300000</v>
      </c>
      <c r="I67" s="1569"/>
      <c r="J67" s="1569"/>
      <c r="K67" s="1555"/>
      <c r="L67" s="1587">
        <f t="shared" si="24"/>
        <v>0</v>
      </c>
      <c r="M67" s="1559"/>
      <c r="N67" s="1555"/>
      <c r="O67" s="1556"/>
      <c r="P67" s="1557"/>
      <c r="Q67" s="110"/>
    </row>
    <row r="68" spans="1:17" outlineLevel="1" x14ac:dyDescent="0.25">
      <c r="A68" s="232"/>
      <c r="B68" s="233" t="s">
        <v>887</v>
      </c>
      <c r="C68" s="1596">
        <f t="shared" si="22"/>
        <v>420000</v>
      </c>
      <c r="D68" s="1591"/>
      <c r="E68" s="1587">
        <f t="shared" si="23"/>
        <v>420000</v>
      </c>
      <c r="F68" s="1577"/>
      <c r="G68" s="1577"/>
      <c r="H68" s="1569"/>
      <c r="I68" s="1569"/>
      <c r="J68" s="1569"/>
      <c r="K68" s="1555">
        <v>420000</v>
      </c>
      <c r="L68" s="1587">
        <f t="shared" si="24"/>
        <v>0</v>
      </c>
      <c r="M68" s="1559"/>
      <c r="N68" s="1555"/>
      <c r="O68" s="1556"/>
      <c r="P68" s="1557"/>
      <c r="Q68" s="110"/>
    </row>
    <row r="69" spans="1:17" outlineLevel="1" x14ac:dyDescent="0.25">
      <c r="A69" s="232"/>
      <c r="B69" s="233" t="s">
        <v>1718</v>
      </c>
      <c r="C69" s="1596">
        <f t="shared" si="22"/>
        <v>250000</v>
      </c>
      <c r="D69" s="1591"/>
      <c r="E69" s="1587">
        <f t="shared" si="23"/>
        <v>250000</v>
      </c>
      <c r="F69" s="1577"/>
      <c r="G69" s="1577"/>
      <c r="H69" s="1569"/>
      <c r="I69" s="1569"/>
      <c r="J69" s="1569"/>
      <c r="K69" s="1555">
        <v>250000</v>
      </c>
      <c r="L69" s="1587">
        <f t="shared" si="24"/>
        <v>0</v>
      </c>
      <c r="M69" s="1559"/>
      <c r="N69" s="1555"/>
      <c r="O69" s="1556"/>
      <c r="P69" s="1557"/>
      <c r="Q69" s="110"/>
    </row>
    <row r="70" spans="1:17" outlineLevel="1" x14ac:dyDescent="0.25">
      <c r="A70" s="232"/>
      <c r="B70" s="233" t="s">
        <v>1717</v>
      </c>
      <c r="C70" s="1596">
        <f t="shared" si="22"/>
        <v>170000</v>
      </c>
      <c r="D70" s="1591"/>
      <c r="E70" s="1587">
        <f t="shared" si="23"/>
        <v>0</v>
      </c>
      <c r="F70" s="1577"/>
      <c r="G70" s="1577"/>
      <c r="H70" s="1569"/>
      <c r="I70" s="1569"/>
      <c r="J70" s="1569"/>
      <c r="K70" s="1555"/>
      <c r="L70" s="1587">
        <f t="shared" si="24"/>
        <v>170000</v>
      </c>
      <c r="M70" s="1559"/>
      <c r="N70" s="1555"/>
      <c r="O70" s="1556"/>
      <c r="P70" s="1557">
        <v>170000</v>
      </c>
      <c r="Q70" s="110"/>
    </row>
    <row r="71" spans="1:17" outlineLevel="1" x14ac:dyDescent="0.25">
      <c r="A71" s="232"/>
      <c r="B71" s="233" t="s">
        <v>1721</v>
      </c>
      <c r="C71" s="1596">
        <f t="shared" si="22"/>
        <v>150000</v>
      </c>
      <c r="D71" s="1591"/>
      <c r="E71" s="1587">
        <f t="shared" si="23"/>
        <v>0</v>
      </c>
      <c r="F71" s="1577"/>
      <c r="G71" s="1577"/>
      <c r="H71" s="1569"/>
      <c r="I71" s="1569"/>
      <c r="J71" s="1569"/>
      <c r="K71" s="1555"/>
      <c r="L71" s="1587">
        <f t="shared" si="24"/>
        <v>150000</v>
      </c>
      <c r="M71" s="1559"/>
      <c r="N71" s="1555"/>
      <c r="O71" s="1556"/>
      <c r="P71" s="1557">
        <v>150000</v>
      </c>
      <c r="Q71" s="110"/>
    </row>
    <row r="72" spans="1:17" x14ac:dyDescent="0.25">
      <c r="A72" s="222">
        <v>5132</v>
      </c>
      <c r="B72" s="205" t="s">
        <v>73</v>
      </c>
      <c r="C72" s="143">
        <f t="shared" si="22"/>
        <v>155000</v>
      </c>
      <c r="D72" s="138"/>
      <c r="E72" s="139">
        <f t="shared" si="23"/>
        <v>116000</v>
      </c>
      <c r="F72" s="140">
        <v>5000</v>
      </c>
      <c r="G72" s="1580">
        <v>7000</v>
      </c>
      <c r="H72" s="141">
        <v>24000</v>
      </c>
      <c r="I72" s="141"/>
      <c r="J72" s="141">
        <v>10000</v>
      </c>
      <c r="K72" s="143">
        <v>70000</v>
      </c>
      <c r="L72" s="139">
        <f t="shared" si="24"/>
        <v>39000</v>
      </c>
      <c r="M72" s="239"/>
      <c r="N72" s="143">
        <v>10000</v>
      </c>
      <c r="O72" s="240">
        <v>19000</v>
      </c>
      <c r="P72" s="142">
        <v>10000</v>
      </c>
      <c r="Q72" s="110"/>
    </row>
    <row r="73" spans="1:17" x14ac:dyDescent="0.25">
      <c r="A73" s="222">
        <v>5134</v>
      </c>
      <c r="B73" s="205" t="s">
        <v>74</v>
      </c>
      <c r="C73" s="143">
        <f t="shared" si="22"/>
        <v>217000</v>
      </c>
      <c r="D73" s="138"/>
      <c r="E73" s="139">
        <f t="shared" si="23"/>
        <v>196000</v>
      </c>
      <c r="F73" s="140">
        <v>14200</v>
      </c>
      <c r="G73" s="140">
        <v>5100</v>
      </c>
      <c r="H73" s="141">
        <v>42500</v>
      </c>
      <c r="I73" s="1581"/>
      <c r="J73" s="141">
        <v>14200</v>
      </c>
      <c r="K73" s="143">
        <v>120000</v>
      </c>
      <c r="L73" s="139">
        <f t="shared" si="24"/>
        <v>21000</v>
      </c>
      <c r="M73" s="239"/>
      <c r="N73" s="143">
        <v>5000</v>
      </c>
      <c r="O73" s="240">
        <v>11000</v>
      </c>
      <c r="P73" s="142">
        <v>5000</v>
      </c>
      <c r="Q73" s="110"/>
    </row>
    <row r="74" spans="1:17" x14ac:dyDescent="0.25">
      <c r="A74" s="222">
        <v>5136</v>
      </c>
      <c r="B74" s="205" t="s">
        <v>75</v>
      </c>
      <c r="C74" s="143">
        <f t="shared" si="22"/>
        <v>5000</v>
      </c>
      <c r="D74" s="138"/>
      <c r="E74" s="139">
        <f t="shared" si="23"/>
        <v>3000</v>
      </c>
      <c r="F74" s="140"/>
      <c r="G74" s="140"/>
      <c r="H74" s="141"/>
      <c r="I74" s="141"/>
      <c r="J74" s="141"/>
      <c r="K74" s="143">
        <v>3000</v>
      </c>
      <c r="L74" s="139">
        <f t="shared" si="24"/>
        <v>2000</v>
      </c>
      <c r="M74" s="239"/>
      <c r="N74" s="143">
        <v>750</v>
      </c>
      <c r="O74" s="240">
        <v>750</v>
      </c>
      <c r="P74" s="142">
        <v>500</v>
      </c>
      <c r="Q74" s="110"/>
    </row>
    <row r="75" spans="1:17" x14ac:dyDescent="0.25">
      <c r="A75" s="222">
        <v>5137</v>
      </c>
      <c r="B75" s="205" t="s">
        <v>76</v>
      </c>
      <c r="C75" s="143">
        <f t="shared" si="22"/>
        <v>760000</v>
      </c>
      <c r="D75" s="138"/>
      <c r="E75" s="139">
        <f t="shared" si="23"/>
        <v>566000</v>
      </c>
      <c r="F75" s="140">
        <v>36000</v>
      </c>
      <c r="G75" s="140">
        <v>1500</v>
      </c>
      <c r="H75" s="141">
        <v>56000</v>
      </c>
      <c r="I75" s="141"/>
      <c r="J75" s="141">
        <v>256000</v>
      </c>
      <c r="K75" s="143">
        <v>216500</v>
      </c>
      <c r="L75" s="139">
        <f t="shared" si="24"/>
        <v>194000</v>
      </c>
      <c r="M75" s="239"/>
      <c r="N75" s="143">
        <v>159000</v>
      </c>
      <c r="O75" s="240">
        <v>29000</v>
      </c>
      <c r="P75" s="142">
        <v>6000</v>
      </c>
      <c r="Q75" s="110"/>
    </row>
    <row r="76" spans="1:17" s="135" customFormat="1" x14ac:dyDescent="0.25">
      <c r="A76" s="2549">
        <v>5139</v>
      </c>
      <c r="B76" s="2550" t="s">
        <v>77</v>
      </c>
      <c r="C76" s="2539">
        <f>SUM(C77:C99)</f>
        <v>3897091</v>
      </c>
      <c r="D76" s="158">
        <f t="shared" ref="D76:K76" si="25">SUM(D77:D99)</f>
        <v>0</v>
      </c>
      <c r="E76" s="139">
        <f>SUM(E77:E99)</f>
        <v>1262491</v>
      </c>
      <c r="F76" s="2537">
        <f t="shared" si="25"/>
        <v>170900</v>
      </c>
      <c r="G76" s="2537">
        <f t="shared" si="25"/>
        <v>21950</v>
      </c>
      <c r="H76" s="2538">
        <f t="shared" si="25"/>
        <v>155944</v>
      </c>
      <c r="I76" s="2538">
        <f t="shared" si="25"/>
        <v>0</v>
      </c>
      <c r="J76" s="2538">
        <f t="shared" si="25"/>
        <v>55900</v>
      </c>
      <c r="K76" s="2539">
        <f t="shared" si="25"/>
        <v>857797</v>
      </c>
      <c r="L76" s="139">
        <f t="shared" si="24"/>
        <v>2634600</v>
      </c>
      <c r="M76" s="2540">
        <f>SUM(M77:M99)</f>
        <v>0</v>
      </c>
      <c r="N76" s="2539">
        <f>SUM(N77:N99)</f>
        <v>1823850</v>
      </c>
      <c r="O76" s="2541">
        <f>SUM(O77:O99)</f>
        <v>781350</v>
      </c>
      <c r="P76" s="2542">
        <f>SUM(P77:P99)</f>
        <v>29400</v>
      </c>
      <c r="Q76" s="159"/>
    </row>
    <row r="77" spans="1:17" outlineLevel="1" x14ac:dyDescent="0.25">
      <c r="A77" s="232"/>
      <c r="B77" s="233" t="s">
        <v>343</v>
      </c>
      <c r="C77" s="1596">
        <f t="shared" ref="C77:C111" si="26">+E77+L77+D77</f>
        <v>45000</v>
      </c>
      <c r="D77" s="1591"/>
      <c r="E77" s="1587">
        <f t="shared" ref="E77:E111" si="27">SUM(F77:K77)</f>
        <v>35000</v>
      </c>
      <c r="F77" s="1577">
        <v>4000</v>
      </c>
      <c r="G77" s="1577">
        <v>2000</v>
      </c>
      <c r="H77" s="1569">
        <v>5000</v>
      </c>
      <c r="I77" s="1569"/>
      <c r="J77" s="1569">
        <v>6000</v>
      </c>
      <c r="K77" s="1555">
        <v>18000</v>
      </c>
      <c r="L77" s="1587">
        <f t="shared" si="24"/>
        <v>10000</v>
      </c>
      <c r="M77" s="1559"/>
      <c r="N77" s="1555">
        <v>2500</v>
      </c>
      <c r="O77" s="1556">
        <v>5000</v>
      </c>
      <c r="P77" s="1557">
        <v>2500</v>
      </c>
      <c r="Q77" s="110"/>
    </row>
    <row r="78" spans="1:17" outlineLevel="1" x14ac:dyDescent="0.25">
      <c r="A78" s="232"/>
      <c r="B78" s="233" t="s">
        <v>344</v>
      </c>
      <c r="C78" s="1596">
        <f t="shared" si="26"/>
        <v>140000</v>
      </c>
      <c r="D78" s="1591"/>
      <c r="E78" s="1587">
        <f t="shared" si="27"/>
        <v>0</v>
      </c>
      <c r="F78" s="1577">
        <v>0</v>
      </c>
      <c r="G78" s="1577">
        <v>0</v>
      </c>
      <c r="H78" s="1569">
        <v>0</v>
      </c>
      <c r="I78" s="1569"/>
      <c r="J78" s="1569">
        <v>0</v>
      </c>
      <c r="K78" s="1555">
        <v>0</v>
      </c>
      <c r="L78" s="1587">
        <f t="shared" si="24"/>
        <v>140000</v>
      </c>
      <c r="M78" s="1559"/>
      <c r="N78" s="1555">
        <v>0</v>
      </c>
      <c r="O78" s="1556">
        <v>140000</v>
      </c>
      <c r="P78" s="1557">
        <v>0</v>
      </c>
      <c r="Q78" s="110"/>
    </row>
    <row r="79" spans="1:17" outlineLevel="1" x14ac:dyDescent="0.25">
      <c r="A79" s="232"/>
      <c r="B79" s="233" t="s">
        <v>963</v>
      </c>
      <c r="C79" s="1596">
        <f t="shared" si="26"/>
        <v>400000</v>
      </c>
      <c r="D79" s="1591"/>
      <c r="E79" s="1587">
        <f t="shared" si="27"/>
        <v>0</v>
      </c>
      <c r="F79" s="1577">
        <v>0</v>
      </c>
      <c r="G79" s="1577">
        <v>0</v>
      </c>
      <c r="H79" s="1569">
        <v>0</v>
      </c>
      <c r="I79" s="1569"/>
      <c r="J79" s="1569">
        <v>0</v>
      </c>
      <c r="K79" s="1555">
        <v>0</v>
      </c>
      <c r="L79" s="1587">
        <f t="shared" si="24"/>
        <v>400000</v>
      </c>
      <c r="M79" s="1559"/>
      <c r="N79" s="1555">
        <v>0</v>
      </c>
      <c r="O79" s="1556">
        <v>400000</v>
      </c>
      <c r="P79" s="1557">
        <v>0</v>
      </c>
      <c r="Q79" s="110"/>
    </row>
    <row r="80" spans="1:17" outlineLevel="1" x14ac:dyDescent="0.25">
      <c r="A80" s="232"/>
      <c r="B80" s="233" t="s">
        <v>345</v>
      </c>
      <c r="C80" s="1596">
        <f t="shared" si="26"/>
        <v>50000</v>
      </c>
      <c r="D80" s="1591"/>
      <c r="E80" s="1587">
        <f t="shared" si="27"/>
        <v>0</v>
      </c>
      <c r="F80" s="1577">
        <v>0</v>
      </c>
      <c r="G80" s="1577">
        <v>0</v>
      </c>
      <c r="H80" s="1569">
        <v>0</v>
      </c>
      <c r="I80" s="1569"/>
      <c r="J80" s="1569">
        <v>0</v>
      </c>
      <c r="K80" s="1555">
        <v>0</v>
      </c>
      <c r="L80" s="1587">
        <f t="shared" si="24"/>
        <v>50000</v>
      </c>
      <c r="M80" s="1559"/>
      <c r="N80" s="1555">
        <v>50000</v>
      </c>
      <c r="O80" s="1556">
        <v>0</v>
      </c>
      <c r="P80" s="1557">
        <v>0</v>
      </c>
      <c r="Q80" s="110"/>
    </row>
    <row r="81" spans="1:17" ht="12.75" customHeight="1" outlineLevel="1" x14ac:dyDescent="0.25">
      <c r="A81" s="232"/>
      <c r="B81" s="233" t="s">
        <v>346</v>
      </c>
      <c r="C81" s="1596">
        <f t="shared" si="26"/>
        <v>1000000</v>
      </c>
      <c r="D81" s="1591"/>
      <c r="E81" s="1587">
        <f t="shared" si="27"/>
        <v>0</v>
      </c>
      <c r="F81" s="1577">
        <v>0</v>
      </c>
      <c r="G81" s="1577">
        <v>0</v>
      </c>
      <c r="H81" s="1569">
        <v>0</v>
      </c>
      <c r="I81" s="1569"/>
      <c r="J81" s="1569">
        <v>0</v>
      </c>
      <c r="K81" s="1555">
        <v>0</v>
      </c>
      <c r="L81" s="1587">
        <f t="shared" si="24"/>
        <v>1000000</v>
      </c>
      <c r="M81" s="1559"/>
      <c r="N81" s="1555">
        <v>1000000</v>
      </c>
      <c r="O81" s="1556">
        <v>0</v>
      </c>
      <c r="P81" s="1557">
        <v>0</v>
      </c>
      <c r="Q81" s="110"/>
    </row>
    <row r="82" spans="1:17" outlineLevel="1" x14ac:dyDescent="0.25">
      <c r="A82" s="232"/>
      <c r="B82" s="233" t="s">
        <v>498</v>
      </c>
      <c r="C82" s="1596">
        <f t="shared" si="26"/>
        <v>87044</v>
      </c>
      <c r="D82" s="1591"/>
      <c r="E82" s="1587">
        <f t="shared" si="27"/>
        <v>47044</v>
      </c>
      <c r="F82" s="1577">
        <v>7500</v>
      </c>
      <c r="G82" s="1577">
        <v>1000</v>
      </c>
      <c r="H82" s="1569">
        <v>6544</v>
      </c>
      <c r="I82" s="1569"/>
      <c r="J82" s="1569">
        <v>9500</v>
      </c>
      <c r="K82" s="1555">
        <v>22500</v>
      </c>
      <c r="L82" s="1587">
        <f t="shared" si="24"/>
        <v>40000</v>
      </c>
      <c r="M82" s="1559"/>
      <c r="N82" s="1555">
        <v>22750</v>
      </c>
      <c r="O82" s="1556">
        <v>12750</v>
      </c>
      <c r="P82" s="1557">
        <v>4500</v>
      </c>
      <c r="Q82" s="110"/>
    </row>
    <row r="83" spans="1:17" outlineLevel="1" x14ac:dyDescent="0.25">
      <c r="A83" s="232"/>
      <c r="B83" s="233" t="s">
        <v>550</v>
      </c>
      <c r="C83" s="1596">
        <f t="shared" si="26"/>
        <v>200000</v>
      </c>
      <c r="D83" s="1591"/>
      <c r="E83" s="1587">
        <f t="shared" si="27"/>
        <v>200000</v>
      </c>
      <c r="F83" s="1577">
        <v>0</v>
      </c>
      <c r="G83" s="1577">
        <v>0</v>
      </c>
      <c r="H83" s="1569">
        <v>0</v>
      </c>
      <c r="I83" s="1569"/>
      <c r="J83" s="1569">
        <v>0</v>
      </c>
      <c r="K83" s="1555">
        <v>200000</v>
      </c>
      <c r="L83" s="1587">
        <f t="shared" si="24"/>
        <v>0</v>
      </c>
      <c r="M83" s="1559"/>
      <c r="N83" s="1555">
        <v>0</v>
      </c>
      <c r="O83" s="1556">
        <v>0</v>
      </c>
      <c r="P83" s="1557">
        <v>0</v>
      </c>
      <c r="Q83" s="110"/>
    </row>
    <row r="84" spans="1:17" outlineLevel="1" x14ac:dyDescent="0.25">
      <c r="A84" s="232"/>
      <c r="B84" s="233" t="s">
        <v>347</v>
      </c>
      <c r="C84" s="1596">
        <f t="shared" si="26"/>
        <v>276000</v>
      </c>
      <c r="D84" s="1591"/>
      <c r="E84" s="1587">
        <f t="shared" si="27"/>
        <v>276000</v>
      </c>
      <c r="F84" s="1577">
        <v>20000</v>
      </c>
      <c r="G84" s="1577">
        <v>6000</v>
      </c>
      <c r="H84" s="1569">
        <v>0</v>
      </c>
      <c r="I84" s="1569"/>
      <c r="J84" s="1569">
        <v>0</v>
      </c>
      <c r="K84" s="1555">
        <v>250000</v>
      </c>
      <c r="L84" s="1587">
        <f t="shared" si="24"/>
        <v>0</v>
      </c>
      <c r="M84" s="1559"/>
      <c r="N84" s="1555">
        <v>0</v>
      </c>
      <c r="O84" s="1556">
        <v>0</v>
      </c>
      <c r="P84" s="1557">
        <v>0</v>
      </c>
      <c r="Q84" s="110"/>
    </row>
    <row r="85" spans="1:17" outlineLevel="1" x14ac:dyDescent="0.25">
      <c r="A85" s="232"/>
      <c r="B85" s="233" t="s">
        <v>551</v>
      </c>
      <c r="C85" s="1596">
        <f t="shared" si="26"/>
        <v>5047</v>
      </c>
      <c r="D85" s="1591"/>
      <c r="E85" s="1587">
        <f t="shared" si="27"/>
        <v>5047</v>
      </c>
      <c r="F85" s="1577">
        <v>0</v>
      </c>
      <c r="G85" s="1577">
        <v>0</v>
      </c>
      <c r="H85" s="1569">
        <v>0</v>
      </c>
      <c r="I85" s="1569"/>
      <c r="J85" s="1569">
        <v>0</v>
      </c>
      <c r="K85" s="1555">
        <v>5047</v>
      </c>
      <c r="L85" s="1587">
        <f t="shared" si="24"/>
        <v>0</v>
      </c>
      <c r="M85" s="1559"/>
      <c r="N85" s="1555">
        <v>0</v>
      </c>
      <c r="O85" s="1556">
        <v>0</v>
      </c>
      <c r="P85" s="1557">
        <v>0</v>
      </c>
      <c r="Q85" s="110"/>
    </row>
    <row r="86" spans="1:17" outlineLevel="1" x14ac:dyDescent="0.25">
      <c r="A86" s="232"/>
      <c r="B86" s="233" t="s">
        <v>552</v>
      </c>
      <c r="C86" s="1596">
        <f t="shared" si="26"/>
        <v>0</v>
      </c>
      <c r="D86" s="1591"/>
      <c r="E86" s="1587">
        <f t="shared" si="27"/>
        <v>0</v>
      </c>
      <c r="F86" s="1577">
        <v>0</v>
      </c>
      <c r="G86" s="1577">
        <v>0</v>
      </c>
      <c r="H86" s="1569">
        <v>0</v>
      </c>
      <c r="I86" s="1569"/>
      <c r="J86" s="1569">
        <v>0</v>
      </c>
      <c r="K86" s="1555">
        <v>0</v>
      </c>
      <c r="L86" s="1587">
        <f t="shared" si="24"/>
        <v>0</v>
      </c>
      <c r="M86" s="1559"/>
      <c r="N86" s="1555">
        <v>0</v>
      </c>
      <c r="O86" s="1556">
        <v>0</v>
      </c>
      <c r="P86" s="1557">
        <v>0</v>
      </c>
      <c r="Q86" s="110"/>
    </row>
    <row r="87" spans="1:17" outlineLevel="1" x14ac:dyDescent="0.25">
      <c r="A87" s="232"/>
      <c r="B87" s="233" t="s">
        <v>553</v>
      </c>
      <c r="C87" s="1596">
        <f t="shared" si="26"/>
        <v>0</v>
      </c>
      <c r="D87" s="1591"/>
      <c r="E87" s="1587">
        <f t="shared" si="27"/>
        <v>0</v>
      </c>
      <c r="F87" s="1577">
        <v>0</v>
      </c>
      <c r="G87" s="1577">
        <v>0</v>
      </c>
      <c r="H87" s="1569">
        <v>0</v>
      </c>
      <c r="I87" s="1569"/>
      <c r="J87" s="1569">
        <v>0</v>
      </c>
      <c r="K87" s="1555">
        <v>0</v>
      </c>
      <c r="L87" s="1587">
        <f t="shared" si="24"/>
        <v>0</v>
      </c>
      <c r="M87" s="1559"/>
      <c r="N87" s="1555">
        <v>0</v>
      </c>
      <c r="O87" s="1556">
        <v>0</v>
      </c>
      <c r="P87" s="1557">
        <v>0</v>
      </c>
      <c r="Q87" s="110"/>
    </row>
    <row r="88" spans="1:17" outlineLevel="1" x14ac:dyDescent="0.25">
      <c r="A88" s="232"/>
      <c r="B88" s="233" t="s">
        <v>889</v>
      </c>
      <c r="C88" s="1596">
        <f t="shared" si="26"/>
        <v>106000</v>
      </c>
      <c r="D88" s="1591"/>
      <c r="E88" s="1587">
        <f t="shared" si="27"/>
        <v>90200</v>
      </c>
      <c r="F88" s="1577">
        <v>50200</v>
      </c>
      <c r="G88" s="1577">
        <v>2100</v>
      </c>
      <c r="H88" s="1569">
        <v>2200</v>
      </c>
      <c r="I88" s="1569"/>
      <c r="J88" s="1569">
        <v>5200</v>
      </c>
      <c r="K88" s="1555">
        <v>30500</v>
      </c>
      <c r="L88" s="1587">
        <f t="shared" si="24"/>
        <v>15800</v>
      </c>
      <c r="M88" s="1559"/>
      <c r="N88" s="1555">
        <v>10300</v>
      </c>
      <c r="O88" s="1556">
        <v>5300</v>
      </c>
      <c r="P88" s="1557">
        <v>200</v>
      </c>
      <c r="Q88" s="110"/>
    </row>
    <row r="89" spans="1:17" outlineLevel="1" x14ac:dyDescent="0.25">
      <c r="A89" s="232"/>
      <c r="B89" s="233" t="s">
        <v>890</v>
      </c>
      <c r="C89" s="1596">
        <f t="shared" si="26"/>
        <v>72000</v>
      </c>
      <c r="D89" s="1591"/>
      <c r="E89" s="1587">
        <f t="shared" si="27"/>
        <v>32000</v>
      </c>
      <c r="F89" s="1577">
        <v>2000</v>
      </c>
      <c r="G89" s="1577">
        <v>0</v>
      </c>
      <c r="H89" s="1569">
        <v>0</v>
      </c>
      <c r="I89" s="1569"/>
      <c r="J89" s="1569">
        <v>5000</v>
      </c>
      <c r="K89" s="1555">
        <v>25000</v>
      </c>
      <c r="L89" s="1587">
        <f t="shared" si="24"/>
        <v>40000</v>
      </c>
      <c r="M89" s="1559"/>
      <c r="N89" s="1555">
        <v>30000</v>
      </c>
      <c r="O89" s="1556">
        <v>10000</v>
      </c>
      <c r="P89" s="1557">
        <v>0</v>
      </c>
      <c r="Q89" s="110"/>
    </row>
    <row r="90" spans="1:17" outlineLevel="1" x14ac:dyDescent="0.25">
      <c r="A90" s="232"/>
      <c r="B90" s="233" t="s">
        <v>891</v>
      </c>
      <c r="C90" s="1596">
        <f t="shared" si="26"/>
        <v>165000</v>
      </c>
      <c r="D90" s="1591"/>
      <c r="E90" s="1587">
        <f t="shared" si="27"/>
        <v>68000</v>
      </c>
      <c r="F90" s="1577">
        <v>10500</v>
      </c>
      <c r="G90" s="1577">
        <v>5250</v>
      </c>
      <c r="H90" s="1569">
        <v>5500</v>
      </c>
      <c r="I90" s="1569"/>
      <c r="J90" s="1569">
        <v>5500</v>
      </c>
      <c r="K90" s="1555">
        <v>41250</v>
      </c>
      <c r="L90" s="1587">
        <f t="shared" si="24"/>
        <v>97000</v>
      </c>
      <c r="M90" s="1559"/>
      <c r="N90" s="1555">
        <v>40750</v>
      </c>
      <c r="O90" s="1556">
        <v>40750</v>
      </c>
      <c r="P90" s="1557">
        <v>15500</v>
      </c>
      <c r="Q90" s="110"/>
    </row>
    <row r="91" spans="1:17" outlineLevel="1" x14ac:dyDescent="0.25">
      <c r="A91" s="232"/>
      <c r="B91" s="233" t="s">
        <v>892</v>
      </c>
      <c r="C91" s="1596">
        <f t="shared" si="26"/>
        <v>90000</v>
      </c>
      <c r="D91" s="1591"/>
      <c r="E91" s="1587">
        <f t="shared" si="27"/>
        <v>90000</v>
      </c>
      <c r="F91" s="1577">
        <v>0</v>
      </c>
      <c r="G91" s="1577">
        <v>0</v>
      </c>
      <c r="H91" s="1569">
        <v>80000</v>
      </c>
      <c r="I91" s="1569"/>
      <c r="J91" s="1569">
        <v>10000</v>
      </c>
      <c r="K91" s="1555">
        <v>0</v>
      </c>
      <c r="L91" s="1587">
        <f t="shared" si="24"/>
        <v>0</v>
      </c>
      <c r="M91" s="1559"/>
      <c r="N91" s="1555">
        <v>0</v>
      </c>
      <c r="O91" s="1556">
        <v>0</v>
      </c>
      <c r="P91" s="1557">
        <v>0</v>
      </c>
      <c r="Q91" s="110"/>
    </row>
    <row r="92" spans="1:17" outlineLevel="1" x14ac:dyDescent="0.25">
      <c r="A92" s="232"/>
      <c r="B92" s="233" t="s">
        <v>893</v>
      </c>
      <c r="C92" s="1596">
        <f t="shared" si="26"/>
        <v>50000</v>
      </c>
      <c r="D92" s="1591"/>
      <c r="E92" s="1587">
        <f t="shared" si="27"/>
        <v>39200</v>
      </c>
      <c r="F92" s="1577">
        <v>5200</v>
      </c>
      <c r="G92" s="1577">
        <v>5100</v>
      </c>
      <c r="H92" s="1569">
        <v>5200</v>
      </c>
      <c r="I92" s="1569"/>
      <c r="J92" s="1569">
        <v>3200</v>
      </c>
      <c r="K92" s="1555">
        <v>20500</v>
      </c>
      <c r="L92" s="1587">
        <f t="shared" si="24"/>
        <v>10800</v>
      </c>
      <c r="M92" s="1559"/>
      <c r="N92" s="1555">
        <v>5300</v>
      </c>
      <c r="O92" s="1556">
        <v>5300</v>
      </c>
      <c r="P92" s="1557">
        <v>200</v>
      </c>
      <c r="Q92" s="110"/>
    </row>
    <row r="93" spans="1:17" outlineLevel="1" x14ac:dyDescent="0.25">
      <c r="A93" s="232"/>
      <c r="B93" s="233" t="s">
        <v>894</v>
      </c>
      <c r="C93" s="1596">
        <f t="shared" si="26"/>
        <v>110000</v>
      </c>
      <c r="D93" s="1591"/>
      <c r="E93" s="1587">
        <f t="shared" si="27"/>
        <v>84000</v>
      </c>
      <c r="F93" s="1577">
        <v>21500</v>
      </c>
      <c r="G93" s="1577">
        <v>500</v>
      </c>
      <c r="H93" s="1569">
        <v>11500</v>
      </c>
      <c r="I93" s="1569"/>
      <c r="J93" s="1569">
        <v>11500</v>
      </c>
      <c r="K93" s="1555">
        <v>39000</v>
      </c>
      <c r="L93" s="1587">
        <f t="shared" si="24"/>
        <v>26000</v>
      </c>
      <c r="M93" s="1559"/>
      <c r="N93" s="1555">
        <v>12250</v>
      </c>
      <c r="O93" s="1556">
        <v>12250</v>
      </c>
      <c r="P93" s="1557">
        <v>1500</v>
      </c>
      <c r="Q93" s="110"/>
    </row>
    <row r="94" spans="1:17" outlineLevel="1" x14ac:dyDescent="0.25">
      <c r="A94" s="232"/>
      <c r="B94" s="233" t="s">
        <v>895</v>
      </c>
      <c r="C94" s="1596">
        <f t="shared" si="26"/>
        <v>855000</v>
      </c>
      <c r="D94" s="1591"/>
      <c r="E94" s="1587">
        <f t="shared" si="27"/>
        <v>50000</v>
      </c>
      <c r="F94" s="1577">
        <v>0</v>
      </c>
      <c r="G94" s="1577">
        <v>0</v>
      </c>
      <c r="H94" s="1569">
        <v>0</v>
      </c>
      <c r="I94" s="1569"/>
      <c r="J94" s="1569">
        <v>0</v>
      </c>
      <c r="K94" s="1555">
        <v>50000</v>
      </c>
      <c r="L94" s="1587">
        <f t="shared" si="24"/>
        <v>805000</v>
      </c>
      <c r="M94" s="1559"/>
      <c r="N94" s="1555">
        <v>650000</v>
      </c>
      <c r="O94" s="1556">
        <v>150000</v>
      </c>
      <c r="P94" s="1557">
        <v>5000</v>
      </c>
      <c r="Q94" s="110"/>
    </row>
    <row r="95" spans="1:17" outlineLevel="1" x14ac:dyDescent="0.25">
      <c r="A95" s="232"/>
      <c r="B95" s="233" t="s">
        <v>896</v>
      </c>
      <c r="C95" s="1596">
        <f t="shared" si="26"/>
        <v>71000</v>
      </c>
      <c r="D95" s="1591"/>
      <c r="E95" s="1587">
        <f t="shared" si="27"/>
        <v>71000</v>
      </c>
      <c r="F95" s="1577">
        <v>20000</v>
      </c>
      <c r="G95" s="1577">
        <v>0</v>
      </c>
      <c r="H95" s="1569">
        <v>0</v>
      </c>
      <c r="I95" s="1569"/>
      <c r="J95" s="1569">
        <v>0</v>
      </c>
      <c r="K95" s="1555">
        <v>51000</v>
      </c>
      <c r="L95" s="1587">
        <f t="shared" si="24"/>
        <v>0</v>
      </c>
      <c r="M95" s="1559"/>
      <c r="N95" s="1555">
        <v>0</v>
      </c>
      <c r="O95" s="1556">
        <v>0</v>
      </c>
      <c r="P95" s="1557">
        <v>0</v>
      </c>
      <c r="Q95" s="110"/>
    </row>
    <row r="96" spans="1:17" outlineLevel="1" x14ac:dyDescent="0.25">
      <c r="A96" s="232"/>
      <c r="B96" s="233" t="s">
        <v>897</v>
      </c>
      <c r="C96" s="1596">
        <f t="shared" si="26"/>
        <v>70000</v>
      </c>
      <c r="D96" s="1591"/>
      <c r="E96" s="1587">
        <f t="shared" si="27"/>
        <v>70000</v>
      </c>
      <c r="F96" s="1577">
        <v>0</v>
      </c>
      <c r="G96" s="1577">
        <v>0</v>
      </c>
      <c r="H96" s="1569">
        <v>40000</v>
      </c>
      <c r="I96" s="1569"/>
      <c r="J96" s="1569">
        <v>0</v>
      </c>
      <c r="K96" s="1555">
        <v>30000</v>
      </c>
      <c r="L96" s="1587">
        <f t="shared" si="24"/>
        <v>0</v>
      </c>
      <c r="M96" s="1559"/>
      <c r="N96" s="1555">
        <v>0</v>
      </c>
      <c r="O96" s="1556">
        <v>0</v>
      </c>
      <c r="P96" s="1557">
        <v>0</v>
      </c>
      <c r="Q96" s="110"/>
    </row>
    <row r="97" spans="1:17" outlineLevel="1" x14ac:dyDescent="0.25">
      <c r="A97" s="232"/>
      <c r="B97" s="233" t="s">
        <v>898</v>
      </c>
      <c r="C97" s="1596">
        <f t="shared" si="26"/>
        <v>80000</v>
      </c>
      <c r="D97" s="1591"/>
      <c r="E97" s="1587">
        <f t="shared" si="27"/>
        <v>80000</v>
      </c>
      <c r="F97" s="1577">
        <v>30000</v>
      </c>
      <c r="G97" s="1577">
        <v>0</v>
      </c>
      <c r="H97" s="1569">
        <v>0</v>
      </c>
      <c r="I97" s="1569"/>
      <c r="J97" s="1569">
        <v>0</v>
      </c>
      <c r="K97" s="1555">
        <v>50000</v>
      </c>
      <c r="L97" s="1587">
        <f t="shared" si="24"/>
        <v>0</v>
      </c>
      <c r="M97" s="1559"/>
      <c r="N97" s="1555">
        <v>0</v>
      </c>
      <c r="O97" s="1556">
        <v>0</v>
      </c>
      <c r="P97" s="1557">
        <v>0</v>
      </c>
      <c r="Q97" s="110"/>
    </row>
    <row r="98" spans="1:17" outlineLevel="1" x14ac:dyDescent="0.25">
      <c r="A98" s="232"/>
      <c r="B98" s="233" t="s">
        <v>899</v>
      </c>
      <c r="C98" s="1596">
        <f t="shared" si="26"/>
        <v>25000</v>
      </c>
      <c r="D98" s="1591"/>
      <c r="E98" s="1587">
        <f t="shared" si="27"/>
        <v>25000</v>
      </c>
      <c r="F98" s="1577">
        <v>0</v>
      </c>
      <c r="G98" s="1577">
        <v>0</v>
      </c>
      <c r="H98" s="1569">
        <v>0</v>
      </c>
      <c r="I98" s="1569"/>
      <c r="J98" s="1569">
        <v>0</v>
      </c>
      <c r="K98" s="1555">
        <v>25000</v>
      </c>
      <c r="L98" s="1587">
        <f t="shared" si="24"/>
        <v>0</v>
      </c>
      <c r="M98" s="1559"/>
      <c r="N98" s="1555">
        <v>0</v>
      </c>
      <c r="O98" s="1556">
        <v>0</v>
      </c>
      <c r="P98" s="1557">
        <v>0</v>
      </c>
      <c r="Q98" s="110"/>
    </row>
    <row r="99" spans="1:17" ht="12" customHeight="1" outlineLevel="1" x14ac:dyDescent="0.25">
      <c r="A99" s="232"/>
      <c r="B99" s="233"/>
      <c r="C99" s="1596">
        <f t="shared" si="26"/>
        <v>0</v>
      </c>
      <c r="D99" s="1591"/>
      <c r="E99" s="1587">
        <f t="shared" si="27"/>
        <v>0</v>
      </c>
      <c r="F99" s="1577">
        <v>0</v>
      </c>
      <c r="G99" s="1577">
        <v>0</v>
      </c>
      <c r="H99" s="1569">
        <v>0</v>
      </c>
      <c r="I99" s="1569"/>
      <c r="J99" s="1569">
        <v>0</v>
      </c>
      <c r="K99" s="1555">
        <v>0</v>
      </c>
      <c r="L99" s="1587">
        <f t="shared" si="24"/>
        <v>0</v>
      </c>
      <c r="M99" s="1559"/>
      <c r="N99" s="1555">
        <v>0</v>
      </c>
      <c r="O99" s="1556">
        <v>0</v>
      </c>
      <c r="P99" s="1557">
        <v>0</v>
      </c>
      <c r="Q99" s="110"/>
    </row>
    <row r="100" spans="1:17" x14ac:dyDescent="0.25">
      <c r="A100" s="222">
        <v>5151</v>
      </c>
      <c r="B100" s="205" t="s">
        <v>900</v>
      </c>
      <c r="C100" s="143">
        <f t="shared" si="26"/>
        <v>12000</v>
      </c>
      <c r="D100" s="138"/>
      <c r="E100" s="139">
        <f t="shared" si="27"/>
        <v>12000</v>
      </c>
      <c r="F100" s="140">
        <v>0</v>
      </c>
      <c r="G100" s="140">
        <v>0</v>
      </c>
      <c r="H100" s="141">
        <v>4000</v>
      </c>
      <c r="I100" s="141"/>
      <c r="J100" s="141">
        <v>2000</v>
      </c>
      <c r="K100" s="143">
        <v>6000</v>
      </c>
      <c r="L100" s="139">
        <f t="shared" si="24"/>
        <v>0</v>
      </c>
      <c r="M100" s="239"/>
      <c r="N100" s="143"/>
      <c r="O100" s="240"/>
      <c r="P100" s="142"/>
      <c r="Q100" s="110"/>
    </row>
    <row r="101" spans="1:17" x14ac:dyDescent="0.25">
      <c r="A101" s="222">
        <v>5151</v>
      </c>
      <c r="B101" s="205" t="s">
        <v>901</v>
      </c>
      <c r="C101" s="143">
        <f t="shared" si="26"/>
        <v>24900000</v>
      </c>
      <c r="D101" s="138"/>
      <c r="E101" s="139">
        <f t="shared" si="27"/>
        <v>0</v>
      </c>
      <c r="F101" s="140"/>
      <c r="G101" s="140"/>
      <c r="H101" s="141"/>
      <c r="I101" s="141"/>
      <c r="J101" s="141"/>
      <c r="K101" s="143"/>
      <c r="L101" s="139">
        <f t="shared" si="24"/>
        <v>24900000</v>
      </c>
      <c r="M101" s="239"/>
      <c r="N101" s="143">
        <v>9800000</v>
      </c>
      <c r="O101" s="240"/>
      <c r="P101" s="142">
        <v>15100000</v>
      </c>
      <c r="Q101" s="110"/>
    </row>
    <row r="102" spans="1:17" x14ac:dyDescent="0.25">
      <c r="A102" s="222">
        <v>5153</v>
      </c>
      <c r="B102" s="205" t="s">
        <v>79</v>
      </c>
      <c r="C102" s="143">
        <f t="shared" si="26"/>
        <v>1050000</v>
      </c>
      <c r="D102" s="138"/>
      <c r="E102" s="139">
        <f t="shared" si="27"/>
        <v>262000</v>
      </c>
      <c r="F102" s="140">
        <v>22000</v>
      </c>
      <c r="G102" s="140">
        <v>5500</v>
      </c>
      <c r="H102" s="141">
        <v>22000</v>
      </c>
      <c r="I102" s="141"/>
      <c r="J102" s="141">
        <v>22000</v>
      </c>
      <c r="K102" s="143">
        <v>190500</v>
      </c>
      <c r="L102" s="139">
        <f t="shared" si="24"/>
        <v>788000</v>
      </c>
      <c r="M102" s="239"/>
      <c r="N102" s="143">
        <v>33000</v>
      </c>
      <c r="O102" s="240">
        <v>733000</v>
      </c>
      <c r="P102" s="142">
        <v>22000</v>
      </c>
      <c r="Q102" s="110"/>
    </row>
    <row r="103" spans="1:17" x14ac:dyDescent="0.25">
      <c r="A103" s="222">
        <v>5154</v>
      </c>
      <c r="B103" s="205" t="s">
        <v>80</v>
      </c>
      <c r="C103" s="143">
        <f t="shared" si="26"/>
        <v>3860000</v>
      </c>
      <c r="D103" s="138"/>
      <c r="E103" s="139">
        <f t="shared" si="27"/>
        <v>128000</v>
      </c>
      <c r="F103" s="140">
        <v>8000</v>
      </c>
      <c r="G103" s="140">
        <v>2000</v>
      </c>
      <c r="H103" s="141">
        <v>8000</v>
      </c>
      <c r="I103" s="141"/>
      <c r="J103" s="141">
        <v>58000</v>
      </c>
      <c r="K103" s="143">
        <v>52000</v>
      </c>
      <c r="L103" s="139">
        <f t="shared" si="24"/>
        <v>3732000</v>
      </c>
      <c r="M103" s="239"/>
      <c r="N103" s="143">
        <v>612000</v>
      </c>
      <c r="O103" s="240">
        <v>2012000</v>
      </c>
      <c r="P103" s="142">
        <v>1108000</v>
      </c>
      <c r="Q103" s="110"/>
    </row>
    <row r="104" spans="1:17" x14ac:dyDescent="0.25">
      <c r="A104" s="222">
        <v>5156</v>
      </c>
      <c r="B104" s="205" t="s">
        <v>902</v>
      </c>
      <c r="C104" s="143">
        <f t="shared" si="26"/>
        <v>2310000</v>
      </c>
      <c r="D104" s="138"/>
      <c r="E104" s="139">
        <f t="shared" si="27"/>
        <v>2160000</v>
      </c>
      <c r="F104" s="140">
        <v>198000</v>
      </c>
      <c r="G104" s="140">
        <v>10000</v>
      </c>
      <c r="H104" s="141">
        <v>1003000</v>
      </c>
      <c r="I104" s="141"/>
      <c r="J104" s="141">
        <v>112000</v>
      </c>
      <c r="K104" s="143">
        <v>837000</v>
      </c>
      <c r="L104" s="139">
        <f t="shared" si="24"/>
        <v>150000</v>
      </c>
      <c r="M104" s="239"/>
      <c r="N104" s="143">
        <v>123750</v>
      </c>
      <c r="O104" s="240">
        <v>3750</v>
      </c>
      <c r="P104" s="142">
        <v>22500</v>
      </c>
      <c r="Q104" s="110"/>
    </row>
    <row r="105" spans="1:17" x14ac:dyDescent="0.25">
      <c r="A105" s="222">
        <v>5161</v>
      </c>
      <c r="B105" s="205" t="s">
        <v>82</v>
      </c>
      <c r="C105" s="143">
        <f t="shared" si="26"/>
        <v>55000</v>
      </c>
      <c r="D105" s="138"/>
      <c r="E105" s="139">
        <f t="shared" si="27"/>
        <v>7600</v>
      </c>
      <c r="F105" s="140">
        <v>700</v>
      </c>
      <c r="G105" s="140">
        <v>200</v>
      </c>
      <c r="H105" s="141">
        <v>700</v>
      </c>
      <c r="I105" s="141"/>
      <c r="J105" s="141">
        <v>1000</v>
      </c>
      <c r="K105" s="143">
        <v>5000</v>
      </c>
      <c r="L105" s="139">
        <f t="shared" si="24"/>
        <v>47400</v>
      </c>
      <c r="M105" s="239"/>
      <c r="N105" s="143">
        <v>23200</v>
      </c>
      <c r="O105" s="240">
        <v>23200</v>
      </c>
      <c r="P105" s="142">
        <v>1000</v>
      </c>
      <c r="Q105" s="110"/>
    </row>
    <row r="106" spans="1:17" x14ac:dyDescent="0.25">
      <c r="A106" s="222">
        <v>5162</v>
      </c>
      <c r="B106" s="205" t="s">
        <v>83</v>
      </c>
      <c r="C106" s="143">
        <f t="shared" si="26"/>
        <v>113800</v>
      </c>
      <c r="D106" s="138"/>
      <c r="E106" s="139">
        <f t="shared" si="27"/>
        <v>81000</v>
      </c>
      <c r="F106" s="140">
        <v>5000</v>
      </c>
      <c r="G106" s="140">
        <v>2000</v>
      </c>
      <c r="H106" s="141">
        <v>15000</v>
      </c>
      <c r="I106" s="141"/>
      <c r="J106" s="141">
        <v>10500</v>
      </c>
      <c r="K106" s="143">
        <v>48500</v>
      </c>
      <c r="L106" s="139">
        <f t="shared" si="24"/>
        <v>32800</v>
      </c>
      <c r="M106" s="239"/>
      <c r="N106" s="143">
        <v>16550</v>
      </c>
      <c r="O106" s="240">
        <v>12550</v>
      </c>
      <c r="P106" s="142">
        <v>3700</v>
      </c>
      <c r="Q106" s="110"/>
    </row>
    <row r="107" spans="1:17" x14ac:dyDescent="0.25">
      <c r="A107" s="222">
        <v>5163</v>
      </c>
      <c r="B107" s="205" t="s">
        <v>903</v>
      </c>
      <c r="C107" s="143">
        <f t="shared" si="26"/>
        <v>308000</v>
      </c>
      <c r="D107" s="138"/>
      <c r="E107" s="139">
        <f t="shared" si="27"/>
        <v>270000</v>
      </c>
      <c r="F107" s="140">
        <v>23500</v>
      </c>
      <c r="G107" s="140">
        <v>1000</v>
      </c>
      <c r="H107" s="141">
        <v>163500</v>
      </c>
      <c r="I107" s="141"/>
      <c r="J107" s="141">
        <v>28500</v>
      </c>
      <c r="K107" s="143">
        <v>53500</v>
      </c>
      <c r="L107" s="139">
        <f t="shared" si="24"/>
        <v>38000</v>
      </c>
      <c r="M107" s="239"/>
      <c r="N107" s="143">
        <v>14250</v>
      </c>
      <c r="O107" s="240">
        <v>14250</v>
      </c>
      <c r="P107" s="142">
        <v>9500</v>
      </c>
      <c r="Q107" s="110"/>
    </row>
    <row r="108" spans="1:17" x14ac:dyDescent="0.25">
      <c r="A108" s="222">
        <v>5164</v>
      </c>
      <c r="B108" s="205" t="s">
        <v>85</v>
      </c>
      <c r="C108" s="143">
        <f t="shared" si="26"/>
        <v>11468000</v>
      </c>
      <c r="D108" s="138"/>
      <c r="E108" s="139">
        <f t="shared" si="27"/>
        <v>100000</v>
      </c>
      <c r="F108" s="140">
        <v>40000</v>
      </c>
      <c r="G108" s="140">
        <v>0</v>
      </c>
      <c r="H108" s="141">
        <v>30000</v>
      </c>
      <c r="I108" s="141"/>
      <c r="J108" s="141">
        <v>30000</v>
      </c>
      <c r="K108" s="143">
        <v>0</v>
      </c>
      <c r="L108" s="1601">
        <f t="shared" si="24"/>
        <v>11368000</v>
      </c>
      <c r="M108" s="1560"/>
      <c r="N108" s="1561">
        <v>3972000</v>
      </c>
      <c r="O108" s="1562">
        <v>7146000</v>
      </c>
      <c r="P108" s="1563">
        <v>250000</v>
      </c>
      <c r="Q108" s="180" t="s">
        <v>1165</v>
      </c>
    </row>
    <row r="109" spans="1:17" x14ac:dyDescent="0.25">
      <c r="A109" s="222">
        <v>5166</v>
      </c>
      <c r="B109" s="205" t="s">
        <v>86</v>
      </c>
      <c r="C109" s="143">
        <f t="shared" si="26"/>
        <v>200000</v>
      </c>
      <c r="D109" s="138"/>
      <c r="E109" s="139">
        <f t="shared" si="27"/>
        <v>46000</v>
      </c>
      <c r="F109" s="140">
        <v>8000</v>
      </c>
      <c r="G109" s="140">
        <v>2000</v>
      </c>
      <c r="H109" s="141">
        <v>8000</v>
      </c>
      <c r="I109" s="141"/>
      <c r="J109" s="141">
        <v>8000</v>
      </c>
      <c r="K109" s="143">
        <v>20000</v>
      </c>
      <c r="L109" s="139">
        <f t="shared" si="24"/>
        <v>154000</v>
      </c>
      <c r="M109" s="239"/>
      <c r="N109" s="143">
        <v>63000</v>
      </c>
      <c r="O109" s="240">
        <v>63000</v>
      </c>
      <c r="P109" s="142">
        <v>28000</v>
      </c>
      <c r="Q109" s="110"/>
    </row>
    <row r="110" spans="1:17" x14ac:dyDescent="0.25">
      <c r="A110" s="222">
        <v>5167</v>
      </c>
      <c r="B110" s="205" t="s">
        <v>87</v>
      </c>
      <c r="C110" s="143">
        <f t="shared" si="26"/>
        <v>90000</v>
      </c>
      <c r="D110" s="138"/>
      <c r="E110" s="139">
        <f t="shared" si="27"/>
        <v>67000</v>
      </c>
      <c r="F110" s="140">
        <v>7000</v>
      </c>
      <c r="G110" s="140">
        <v>1000</v>
      </c>
      <c r="H110" s="141">
        <v>12000</v>
      </c>
      <c r="I110" s="141"/>
      <c r="J110" s="141">
        <v>12000</v>
      </c>
      <c r="K110" s="143">
        <v>35000</v>
      </c>
      <c r="L110" s="139">
        <f t="shared" si="24"/>
        <v>23000</v>
      </c>
      <c r="M110" s="239"/>
      <c r="N110" s="143">
        <v>13000</v>
      </c>
      <c r="O110" s="240">
        <v>8000</v>
      </c>
      <c r="P110" s="142">
        <v>2000</v>
      </c>
      <c r="Q110" s="110"/>
    </row>
    <row r="111" spans="1:17" x14ac:dyDescent="0.25">
      <c r="A111" s="222">
        <v>5168</v>
      </c>
      <c r="B111" s="205" t="s">
        <v>966</v>
      </c>
      <c r="C111" s="143">
        <f t="shared" si="26"/>
        <v>255000</v>
      </c>
      <c r="D111" s="138"/>
      <c r="E111" s="139">
        <f t="shared" si="27"/>
        <v>125000</v>
      </c>
      <c r="F111" s="140">
        <v>5000</v>
      </c>
      <c r="G111" s="140">
        <v>1000</v>
      </c>
      <c r="H111" s="141">
        <v>50000</v>
      </c>
      <c r="I111" s="141"/>
      <c r="J111" s="141">
        <v>6500</v>
      </c>
      <c r="K111" s="143">
        <v>62500</v>
      </c>
      <c r="L111" s="139">
        <f t="shared" si="24"/>
        <v>130000</v>
      </c>
      <c r="M111" s="239"/>
      <c r="N111" s="143">
        <v>57500</v>
      </c>
      <c r="O111" s="240">
        <v>17500</v>
      </c>
      <c r="P111" s="142">
        <v>55000</v>
      </c>
      <c r="Q111" s="110"/>
    </row>
    <row r="112" spans="1:17" s="135" customFormat="1" x14ac:dyDescent="0.25">
      <c r="A112" s="238">
        <v>5169</v>
      </c>
      <c r="B112" s="182" t="s">
        <v>89</v>
      </c>
      <c r="C112" s="143">
        <f>SUM(C113:C129)</f>
        <v>10884500</v>
      </c>
      <c r="D112" s="138"/>
      <c r="E112" s="139">
        <f>SUM(E113:E129)</f>
        <v>7734200</v>
      </c>
      <c r="F112" s="138">
        <f t="shared" ref="F112:P112" si="28">SUM(F113:F129)</f>
        <v>75300</v>
      </c>
      <c r="G112" s="1607">
        <f t="shared" si="28"/>
        <v>18000</v>
      </c>
      <c r="H112" s="1607">
        <f t="shared" si="28"/>
        <v>3355200</v>
      </c>
      <c r="I112" s="1607">
        <f t="shared" si="28"/>
        <v>0</v>
      </c>
      <c r="J112" s="1607">
        <f t="shared" si="28"/>
        <v>1259200</v>
      </c>
      <c r="K112" s="143">
        <f t="shared" si="28"/>
        <v>3026500</v>
      </c>
      <c r="L112" s="139">
        <f t="shared" si="28"/>
        <v>3150300</v>
      </c>
      <c r="M112" s="138">
        <f t="shared" si="28"/>
        <v>0</v>
      </c>
      <c r="N112" s="138">
        <f t="shared" si="28"/>
        <v>360500</v>
      </c>
      <c r="O112" s="138">
        <f t="shared" si="28"/>
        <v>2658300</v>
      </c>
      <c r="P112" s="138">
        <f t="shared" si="28"/>
        <v>131500</v>
      </c>
      <c r="Q112" s="159"/>
    </row>
    <row r="113" spans="1:17" outlineLevel="1" x14ac:dyDescent="0.25">
      <c r="A113" s="232"/>
      <c r="B113" s="233" t="s">
        <v>904</v>
      </c>
      <c r="C113" s="1596">
        <f t="shared" ref="C113:C129" si="29">+E113+L113+D113</f>
        <v>800000</v>
      </c>
      <c r="D113" s="1591"/>
      <c r="E113" s="1587">
        <f t="shared" ref="E113:E129" si="30">SUM(F113:K113)</f>
        <v>0</v>
      </c>
      <c r="F113" s="1577">
        <v>0</v>
      </c>
      <c r="G113" s="1577">
        <v>0</v>
      </c>
      <c r="H113" s="1569">
        <v>0</v>
      </c>
      <c r="I113" s="1569"/>
      <c r="J113" s="1569">
        <v>0</v>
      </c>
      <c r="K113" s="1555">
        <v>0</v>
      </c>
      <c r="L113" s="1587">
        <f t="shared" si="24"/>
        <v>800000</v>
      </c>
      <c r="M113" s="1559">
        <v>0</v>
      </c>
      <c r="N113" s="1555">
        <v>0</v>
      </c>
      <c r="O113" s="1556">
        <v>800000</v>
      </c>
      <c r="P113" s="1557">
        <v>0</v>
      </c>
      <c r="Q113" s="110"/>
    </row>
    <row r="114" spans="1:17" ht="27" outlineLevel="1" x14ac:dyDescent="0.25">
      <c r="A114" s="232"/>
      <c r="B114" s="233" t="s">
        <v>1166</v>
      </c>
      <c r="C114" s="1596">
        <f t="shared" si="29"/>
        <v>1640000</v>
      </c>
      <c r="D114" s="1591"/>
      <c r="E114" s="1587">
        <f t="shared" si="30"/>
        <v>150000</v>
      </c>
      <c r="F114" s="1577">
        <v>0</v>
      </c>
      <c r="G114" s="1577">
        <v>0</v>
      </c>
      <c r="H114" s="1569">
        <v>0</v>
      </c>
      <c r="I114" s="1569"/>
      <c r="J114" s="1569">
        <v>0</v>
      </c>
      <c r="K114" s="1555">
        <v>150000</v>
      </c>
      <c r="L114" s="1587">
        <f t="shared" ref="L114:L129" si="31">SUM(N114:P114)</f>
        <v>1490000</v>
      </c>
      <c r="M114" s="1559">
        <v>0</v>
      </c>
      <c r="N114" s="1555">
        <v>115000</v>
      </c>
      <c r="O114" s="1556">
        <v>1300000</v>
      </c>
      <c r="P114" s="1557">
        <v>75000</v>
      </c>
      <c r="Q114" s="110"/>
    </row>
    <row r="115" spans="1:17" ht="14.25" customHeight="1" outlineLevel="1" x14ac:dyDescent="0.25">
      <c r="A115" s="232"/>
      <c r="B115" s="233" t="s">
        <v>905</v>
      </c>
      <c r="C115" s="1596">
        <f t="shared" si="29"/>
        <v>234000</v>
      </c>
      <c r="D115" s="1591"/>
      <c r="E115" s="1587">
        <f t="shared" si="30"/>
        <v>124000</v>
      </c>
      <c r="F115" s="1577">
        <v>13000</v>
      </c>
      <c r="G115" s="1577">
        <v>4000</v>
      </c>
      <c r="H115" s="1569">
        <v>15000</v>
      </c>
      <c r="I115" s="1569"/>
      <c r="J115" s="1569">
        <v>9000</v>
      </c>
      <c r="K115" s="1555">
        <v>83000</v>
      </c>
      <c r="L115" s="1587">
        <f t="shared" si="31"/>
        <v>110000</v>
      </c>
      <c r="M115" s="1564">
        <v>0</v>
      </c>
      <c r="N115" s="1546">
        <v>27500</v>
      </c>
      <c r="O115" s="1565">
        <v>57500</v>
      </c>
      <c r="P115" s="1548">
        <v>25000</v>
      </c>
      <c r="Q115" s="110"/>
    </row>
    <row r="116" spans="1:17" outlineLevel="1" x14ac:dyDescent="0.25">
      <c r="A116" s="232"/>
      <c r="B116" s="233" t="s">
        <v>906</v>
      </c>
      <c r="C116" s="1596">
        <f t="shared" si="29"/>
        <v>200000</v>
      </c>
      <c r="D116" s="1591"/>
      <c r="E116" s="1587">
        <f t="shared" si="30"/>
        <v>0</v>
      </c>
      <c r="F116" s="1577">
        <v>0</v>
      </c>
      <c r="G116" s="1577">
        <v>0</v>
      </c>
      <c r="H116" s="1569">
        <v>0</v>
      </c>
      <c r="I116" s="1569"/>
      <c r="J116" s="1569">
        <v>0</v>
      </c>
      <c r="K116" s="1555">
        <v>0</v>
      </c>
      <c r="L116" s="1587">
        <f t="shared" si="31"/>
        <v>200000</v>
      </c>
      <c r="M116" s="1559"/>
      <c r="N116" s="1555">
        <v>90000</v>
      </c>
      <c r="O116" s="1556">
        <v>90000</v>
      </c>
      <c r="P116" s="1557">
        <v>20000</v>
      </c>
      <c r="Q116" s="110"/>
    </row>
    <row r="117" spans="1:17" outlineLevel="1" x14ac:dyDescent="0.25">
      <c r="A117" s="232"/>
      <c r="B117" s="233" t="s">
        <v>907</v>
      </c>
      <c r="C117" s="1596">
        <f t="shared" si="29"/>
        <v>50000</v>
      </c>
      <c r="D117" s="1591"/>
      <c r="E117" s="1587">
        <f t="shared" si="30"/>
        <v>0</v>
      </c>
      <c r="F117" s="1577">
        <v>0</v>
      </c>
      <c r="G117" s="1577">
        <v>0</v>
      </c>
      <c r="H117" s="1569">
        <v>0</v>
      </c>
      <c r="I117" s="1569"/>
      <c r="J117" s="1569">
        <v>0</v>
      </c>
      <c r="K117" s="1555">
        <v>0</v>
      </c>
      <c r="L117" s="1587">
        <f t="shared" si="31"/>
        <v>50000</v>
      </c>
      <c r="M117" s="1559">
        <v>0</v>
      </c>
      <c r="N117" s="1555">
        <v>0</v>
      </c>
      <c r="O117" s="1556">
        <v>50000</v>
      </c>
      <c r="P117" s="1557">
        <v>0</v>
      </c>
      <c r="Q117" s="110"/>
    </row>
    <row r="118" spans="1:17" ht="27" outlineLevel="1" x14ac:dyDescent="0.25">
      <c r="A118" s="232"/>
      <c r="B118" s="233" t="s">
        <v>908</v>
      </c>
      <c r="C118" s="1596">
        <f t="shared" si="29"/>
        <v>56000</v>
      </c>
      <c r="D118" s="1591"/>
      <c r="E118" s="1587">
        <f t="shared" si="30"/>
        <v>45200</v>
      </c>
      <c r="F118" s="1577">
        <v>1300</v>
      </c>
      <c r="G118" s="1577">
        <v>1000</v>
      </c>
      <c r="H118" s="1569">
        <v>12200</v>
      </c>
      <c r="I118" s="1569"/>
      <c r="J118" s="1569">
        <v>5200</v>
      </c>
      <c r="K118" s="1555">
        <v>25500</v>
      </c>
      <c r="L118" s="1587">
        <f t="shared" si="31"/>
        <v>10800</v>
      </c>
      <c r="M118" s="1559">
        <v>0</v>
      </c>
      <c r="N118" s="1555">
        <v>6000</v>
      </c>
      <c r="O118" s="1556">
        <v>4300</v>
      </c>
      <c r="P118" s="1557">
        <v>500</v>
      </c>
      <c r="Q118" s="110"/>
    </row>
    <row r="119" spans="1:17" outlineLevel="1" x14ac:dyDescent="0.25">
      <c r="A119" s="232"/>
      <c r="B119" s="233" t="s">
        <v>909</v>
      </c>
      <c r="C119" s="1596">
        <f t="shared" si="29"/>
        <v>0</v>
      </c>
      <c r="D119" s="1591"/>
      <c r="E119" s="1587">
        <f t="shared" si="30"/>
        <v>0</v>
      </c>
      <c r="F119" s="1577">
        <v>0</v>
      </c>
      <c r="G119" s="1577">
        <v>0</v>
      </c>
      <c r="H119" s="1569">
        <v>0</v>
      </c>
      <c r="I119" s="1569"/>
      <c r="J119" s="1569">
        <v>0</v>
      </c>
      <c r="K119" s="1555">
        <v>0</v>
      </c>
      <c r="L119" s="1587">
        <f t="shared" si="31"/>
        <v>0</v>
      </c>
      <c r="M119" s="1559">
        <v>0</v>
      </c>
      <c r="N119" s="1555">
        <v>0</v>
      </c>
      <c r="O119" s="1556">
        <v>0</v>
      </c>
      <c r="P119" s="1557">
        <v>0</v>
      </c>
      <c r="Q119" s="110"/>
    </row>
    <row r="120" spans="1:17" outlineLevel="1" x14ac:dyDescent="0.25">
      <c r="A120" s="232"/>
      <c r="B120" s="233" t="s">
        <v>1725</v>
      </c>
      <c r="C120" s="1596">
        <f t="shared" si="29"/>
        <v>1550000</v>
      </c>
      <c r="D120" s="1591"/>
      <c r="E120" s="1587">
        <f t="shared" si="30"/>
        <v>1550000</v>
      </c>
      <c r="F120" s="1577">
        <v>0</v>
      </c>
      <c r="G120" s="1577">
        <v>0</v>
      </c>
      <c r="H120" s="1569">
        <v>0</v>
      </c>
      <c r="I120" s="1569"/>
      <c r="J120" s="1569">
        <v>0</v>
      </c>
      <c r="K120" s="1555">
        <v>1550000</v>
      </c>
      <c r="L120" s="1587">
        <f t="shared" si="31"/>
        <v>0</v>
      </c>
      <c r="M120" s="1559">
        <v>0</v>
      </c>
      <c r="N120" s="1555">
        <v>0</v>
      </c>
      <c r="O120" s="1556">
        <v>0</v>
      </c>
      <c r="P120" s="1557">
        <v>0</v>
      </c>
      <c r="Q120" s="110"/>
    </row>
    <row r="121" spans="1:17" outlineLevel="1" x14ac:dyDescent="0.25">
      <c r="A121" s="232"/>
      <c r="B121" s="233" t="s">
        <v>911</v>
      </c>
      <c r="C121" s="1596">
        <f t="shared" si="29"/>
        <v>3700000</v>
      </c>
      <c r="D121" s="1591"/>
      <c r="E121" s="1587">
        <f t="shared" si="30"/>
        <v>3700000</v>
      </c>
      <c r="F121" s="1577">
        <v>0</v>
      </c>
      <c r="G121" s="1577">
        <v>0</v>
      </c>
      <c r="H121" s="1569">
        <v>2700000</v>
      </c>
      <c r="I121" s="1569"/>
      <c r="J121" s="1569">
        <v>1000000</v>
      </c>
      <c r="K121" s="1555">
        <v>0</v>
      </c>
      <c r="L121" s="1587">
        <f t="shared" si="31"/>
        <v>0</v>
      </c>
      <c r="M121" s="1559">
        <v>0</v>
      </c>
      <c r="N121" s="1555">
        <v>0</v>
      </c>
      <c r="O121" s="1556">
        <v>0</v>
      </c>
      <c r="P121" s="1557">
        <v>0</v>
      </c>
      <c r="Q121" s="110"/>
    </row>
    <row r="122" spans="1:17" outlineLevel="1" x14ac:dyDescent="0.25">
      <c r="A122" s="232"/>
      <c r="B122" s="233" t="s">
        <v>912</v>
      </c>
      <c r="C122" s="1596">
        <f t="shared" si="29"/>
        <v>550000</v>
      </c>
      <c r="D122" s="1591"/>
      <c r="E122" s="1587">
        <f t="shared" si="30"/>
        <v>550000</v>
      </c>
      <c r="F122" s="1577">
        <v>0</v>
      </c>
      <c r="G122" s="1577">
        <v>0</v>
      </c>
      <c r="H122" s="1569">
        <v>350000</v>
      </c>
      <c r="I122" s="1569"/>
      <c r="J122" s="1569">
        <v>200000</v>
      </c>
      <c r="K122" s="1555">
        <v>0</v>
      </c>
      <c r="L122" s="1587">
        <f t="shared" si="31"/>
        <v>0</v>
      </c>
      <c r="M122" s="1559">
        <v>0</v>
      </c>
      <c r="N122" s="1555">
        <v>0</v>
      </c>
      <c r="O122" s="1556">
        <v>0</v>
      </c>
      <c r="P122" s="1557">
        <v>0</v>
      </c>
      <c r="Q122" s="110"/>
    </row>
    <row r="123" spans="1:17" outlineLevel="1" x14ac:dyDescent="0.25">
      <c r="A123" s="232"/>
      <c r="B123" s="233" t="s">
        <v>913</v>
      </c>
      <c r="C123" s="1596">
        <f t="shared" si="29"/>
        <v>250000</v>
      </c>
      <c r="D123" s="1591"/>
      <c r="E123" s="1587">
        <f t="shared" si="30"/>
        <v>250000</v>
      </c>
      <c r="F123" s="1577">
        <v>0</v>
      </c>
      <c r="G123" s="1577">
        <v>0</v>
      </c>
      <c r="H123" s="1569">
        <v>250000</v>
      </c>
      <c r="I123" s="1569"/>
      <c r="J123" s="1569">
        <v>0</v>
      </c>
      <c r="K123" s="1555">
        <v>0</v>
      </c>
      <c r="L123" s="1587">
        <f t="shared" si="31"/>
        <v>0</v>
      </c>
      <c r="M123" s="1559"/>
      <c r="N123" s="1555">
        <v>0</v>
      </c>
      <c r="O123" s="1556">
        <v>0</v>
      </c>
      <c r="P123" s="1557">
        <v>0</v>
      </c>
      <c r="Q123" s="110"/>
    </row>
    <row r="124" spans="1:17" ht="27" outlineLevel="1" x14ac:dyDescent="0.25">
      <c r="A124" s="232"/>
      <c r="B124" s="233" t="s">
        <v>914</v>
      </c>
      <c r="C124" s="1596">
        <f t="shared" si="29"/>
        <v>150000</v>
      </c>
      <c r="D124" s="1591"/>
      <c r="E124" s="1587">
        <f t="shared" si="30"/>
        <v>150000</v>
      </c>
      <c r="F124" s="1577">
        <v>0</v>
      </c>
      <c r="G124" s="1577">
        <v>0</v>
      </c>
      <c r="H124" s="1569">
        <v>0</v>
      </c>
      <c r="I124" s="1569"/>
      <c r="J124" s="1569">
        <v>0</v>
      </c>
      <c r="K124" s="1555">
        <v>150000</v>
      </c>
      <c r="L124" s="1587">
        <f t="shared" si="31"/>
        <v>0</v>
      </c>
      <c r="M124" s="1559"/>
      <c r="N124" s="1555">
        <v>0</v>
      </c>
      <c r="O124" s="1556">
        <v>0</v>
      </c>
      <c r="P124" s="1557">
        <v>0</v>
      </c>
      <c r="Q124" s="110"/>
    </row>
    <row r="125" spans="1:17" ht="27" outlineLevel="1" x14ac:dyDescent="0.25">
      <c r="A125" s="232"/>
      <c r="B125" s="233" t="s">
        <v>915</v>
      </c>
      <c r="C125" s="1596">
        <f t="shared" si="29"/>
        <v>22500</v>
      </c>
      <c r="D125" s="1591"/>
      <c r="E125" s="1587">
        <f t="shared" si="30"/>
        <v>17000</v>
      </c>
      <c r="F125" s="1577">
        <v>2000</v>
      </c>
      <c r="G125" s="1577">
        <v>1000</v>
      </c>
      <c r="H125" s="1569">
        <v>4000</v>
      </c>
      <c r="I125" s="1569"/>
      <c r="J125" s="1569">
        <v>2000</v>
      </c>
      <c r="K125" s="1555">
        <v>8000</v>
      </c>
      <c r="L125" s="1587">
        <f t="shared" si="31"/>
        <v>5500</v>
      </c>
      <c r="M125" s="1559"/>
      <c r="N125" s="1555">
        <v>2500</v>
      </c>
      <c r="O125" s="1556">
        <v>2000</v>
      </c>
      <c r="P125" s="1557">
        <v>1000</v>
      </c>
      <c r="Q125" s="110"/>
    </row>
    <row r="126" spans="1:17" outlineLevel="1" x14ac:dyDescent="0.25">
      <c r="A126" s="232"/>
      <c r="B126" s="233" t="s">
        <v>916</v>
      </c>
      <c r="C126" s="1596">
        <f t="shared" si="29"/>
        <v>8000</v>
      </c>
      <c r="D126" s="1591"/>
      <c r="E126" s="1587">
        <f t="shared" si="30"/>
        <v>5000</v>
      </c>
      <c r="F126" s="1577">
        <v>0</v>
      </c>
      <c r="G126" s="1577">
        <v>0</v>
      </c>
      <c r="H126" s="1569">
        <v>0</v>
      </c>
      <c r="I126" s="1569"/>
      <c r="J126" s="1569">
        <v>0</v>
      </c>
      <c r="K126" s="1555">
        <v>5000</v>
      </c>
      <c r="L126" s="1587">
        <f t="shared" si="31"/>
        <v>3000</v>
      </c>
      <c r="M126" s="1559"/>
      <c r="N126" s="1555">
        <v>1000</v>
      </c>
      <c r="O126" s="1556">
        <v>1000</v>
      </c>
      <c r="P126" s="1557">
        <v>1000</v>
      </c>
      <c r="Q126" s="110"/>
    </row>
    <row r="127" spans="1:17" outlineLevel="1" x14ac:dyDescent="0.25">
      <c r="A127" s="232"/>
      <c r="B127" s="233" t="s">
        <v>917</v>
      </c>
      <c r="C127" s="1596">
        <f t="shared" si="29"/>
        <v>720000</v>
      </c>
      <c r="D127" s="1591"/>
      <c r="E127" s="1587">
        <f t="shared" si="30"/>
        <v>354000</v>
      </c>
      <c r="F127" s="1577">
        <v>59000</v>
      </c>
      <c r="G127" s="1577">
        <v>12000</v>
      </c>
      <c r="H127" s="1569">
        <v>24000</v>
      </c>
      <c r="I127" s="1569"/>
      <c r="J127" s="1569">
        <v>34000</v>
      </c>
      <c r="K127" s="1555">
        <v>225000</v>
      </c>
      <c r="L127" s="1587">
        <f t="shared" si="31"/>
        <v>366000</v>
      </c>
      <c r="M127" s="1559"/>
      <c r="N127" s="1555">
        <v>73500</v>
      </c>
      <c r="O127" s="1556">
        <v>283500</v>
      </c>
      <c r="P127" s="1557">
        <v>9000</v>
      </c>
      <c r="Q127" s="110"/>
    </row>
    <row r="128" spans="1:17" outlineLevel="1" x14ac:dyDescent="0.25">
      <c r="A128" s="232"/>
      <c r="B128" s="233" t="s">
        <v>918</v>
      </c>
      <c r="C128" s="1596">
        <f t="shared" si="29"/>
        <v>124000</v>
      </c>
      <c r="D128" s="1591"/>
      <c r="E128" s="1587">
        <f t="shared" si="30"/>
        <v>24000</v>
      </c>
      <c r="F128" s="1577">
        <v>0</v>
      </c>
      <c r="G128" s="1577">
        <v>0</v>
      </c>
      <c r="H128" s="1569">
        <v>0</v>
      </c>
      <c r="I128" s="1569"/>
      <c r="J128" s="1569">
        <v>9000</v>
      </c>
      <c r="K128" s="1555">
        <v>15000</v>
      </c>
      <c r="L128" s="1587">
        <f t="shared" si="31"/>
        <v>100000</v>
      </c>
      <c r="M128" s="1559"/>
      <c r="N128" s="1555">
        <v>40000</v>
      </c>
      <c r="O128" s="1556">
        <v>60000</v>
      </c>
      <c r="P128" s="1557">
        <v>0</v>
      </c>
      <c r="Q128" s="110"/>
    </row>
    <row r="129" spans="1:17" outlineLevel="1" x14ac:dyDescent="0.25">
      <c r="A129" s="232"/>
      <c r="B129" s="233" t="s">
        <v>919</v>
      </c>
      <c r="C129" s="1596">
        <f t="shared" si="29"/>
        <v>830000</v>
      </c>
      <c r="D129" s="1591"/>
      <c r="E129" s="1587">
        <f t="shared" si="30"/>
        <v>815000</v>
      </c>
      <c r="F129" s="1577">
        <v>0</v>
      </c>
      <c r="G129" s="1577">
        <v>0</v>
      </c>
      <c r="H129" s="1569">
        <v>0</v>
      </c>
      <c r="I129" s="1569"/>
      <c r="J129" s="1569"/>
      <c r="K129" s="1555">
        <v>815000</v>
      </c>
      <c r="L129" s="1587">
        <f t="shared" si="31"/>
        <v>15000</v>
      </c>
      <c r="M129" s="1559"/>
      <c r="N129" s="1555">
        <v>5000</v>
      </c>
      <c r="O129" s="1556">
        <v>10000</v>
      </c>
      <c r="P129" s="1557"/>
      <c r="Q129" s="110"/>
    </row>
    <row r="130" spans="1:17" s="135" customFormat="1" x14ac:dyDescent="0.25">
      <c r="A130" s="238">
        <v>5171</v>
      </c>
      <c r="B130" s="182" t="s">
        <v>90</v>
      </c>
      <c r="C130" s="140">
        <f>SUM(C131:C134)</f>
        <v>3180000</v>
      </c>
      <c r="D130" s="138"/>
      <c r="E130" s="139">
        <f>SUM(E131:E134)</f>
        <v>803000</v>
      </c>
      <c r="F130" s="138">
        <f t="shared" ref="F130:K130" si="32">SUM(F131:F134)</f>
        <v>49500</v>
      </c>
      <c r="G130" s="1607">
        <f t="shared" si="32"/>
        <v>3000</v>
      </c>
      <c r="H130" s="1607">
        <f t="shared" si="32"/>
        <v>308500</v>
      </c>
      <c r="I130" s="1607">
        <f t="shared" si="32"/>
        <v>0</v>
      </c>
      <c r="J130" s="1607">
        <f t="shared" si="32"/>
        <v>76000</v>
      </c>
      <c r="K130" s="140">
        <f t="shared" si="32"/>
        <v>366000</v>
      </c>
      <c r="L130" s="139">
        <f t="shared" ref="L130:L145" si="33">SUM(N130:P130)</f>
        <v>0</v>
      </c>
      <c r="M130" s="239"/>
      <c r="N130" s="143"/>
      <c r="O130" s="240"/>
      <c r="P130" s="142"/>
      <c r="Q130" s="159"/>
    </row>
    <row r="131" spans="1:17" outlineLevel="1" x14ac:dyDescent="0.25">
      <c r="A131" s="232"/>
      <c r="B131" s="233" t="s">
        <v>920</v>
      </c>
      <c r="C131" s="1596">
        <f t="shared" ref="C131:C143" si="34">+E131+L131+D131</f>
        <v>782000</v>
      </c>
      <c r="D131" s="1591"/>
      <c r="E131" s="1587">
        <f t="shared" ref="E131:E143" si="35">SUM(F131:K131)</f>
        <v>602000</v>
      </c>
      <c r="F131" s="1577">
        <v>41000</v>
      </c>
      <c r="G131" s="1577">
        <v>1000</v>
      </c>
      <c r="H131" s="1569">
        <v>300000</v>
      </c>
      <c r="I131" s="1569"/>
      <c r="J131" s="1569">
        <v>50000</v>
      </c>
      <c r="K131" s="1555">
        <v>210000</v>
      </c>
      <c r="L131" s="1587">
        <f t="shared" si="33"/>
        <v>180000</v>
      </c>
      <c r="M131" s="1564"/>
      <c r="N131" s="1546">
        <v>100000</v>
      </c>
      <c r="O131" s="1565"/>
      <c r="P131" s="1548">
        <v>80000</v>
      </c>
      <c r="Q131" s="110"/>
    </row>
    <row r="132" spans="1:17" outlineLevel="1" x14ac:dyDescent="0.25">
      <c r="A132" s="232"/>
      <c r="B132" s="233" t="s">
        <v>921</v>
      </c>
      <c r="C132" s="1596">
        <f t="shared" si="34"/>
        <v>410000</v>
      </c>
      <c r="D132" s="1591"/>
      <c r="E132" s="1587">
        <f t="shared" si="35"/>
        <v>101000</v>
      </c>
      <c r="F132" s="1577">
        <v>3500</v>
      </c>
      <c r="G132" s="1577">
        <v>1000</v>
      </c>
      <c r="H132" s="1569">
        <v>3500</v>
      </c>
      <c r="I132" s="1569"/>
      <c r="J132" s="1569">
        <v>21000</v>
      </c>
      <c r="K132" s="1555">
        <v>72000</v>
      </c>
      <c r="L132" s="1587">
        <f t="shared" ref="L132:L134" si="36">SUM(N132:P132)</f>
        <v>309000</v>
      </c>
      <c r="M132" s="1559"/>
      <c r="N132" s="1555">
        <v>139000</v>
      </c>
      <c r="O132" s="1556">
        <v>100000</v>
      </c>
      <c r="P132" s="1557">
        <v>70000</v>
      </c>
      <c r="Q132" s="110"/>
    </row>
    <row r="133" spans="1:17" outlineLevel="1" x14ac:dyDescent="0.25">
      <c r="A133" s="232"/>
      <c r="B133" s="233" t="s">
        <v>922</v>
      </c>
      <c r="C133" s="1596">
        <f t="shared" si="34"/>
        <v>488000</v>
      </c>
      <c r="D133" s="1591"/>
      <c r="E133" s="1587">
        <f t="shared" si="35"/>
        <v>100000</v>
      </c>
      <c r="F133" s="1577">
        <v>5000</v>
      </c>
      <c r="G133" s="1577">
        <v>1000</v>
      </c>
      <c r="H133" s="1569">
        <v>5000</v>
      </c>
      <c r="I133" s="1569"/>
      <c r="J133" s="1569">
        <v>5000</v>
      </c>
      <c r="K133" s="1555">
        <v>84000</v>
      </c>
      <c r="L133" s="1587">
        <f t="shared" si="36"/>
        <v>388000</v>
      </c>
      <c r="M133" s="1559"/>
      <c r="N133" s="1555">
        <v>100000</v>
      </c>
      <c r="O133" s="1556">
        <v>208000</v>
      </c>
      <c r="P133" s="1557">
        <v>80000</v>
      </c>
      <c r="Q133" s="110"/>
    </row>
    <row r="134" spans="1:17" outlineLevel="1" x14ac:dyDescent="0.25">
      <c r="A134" s="232"/>
      <c r="B134" s="233" t="s">
        <v>923</v>
      </c>
      <c r="C134" s="1596">
        <f t="shared" si="34"/>
        <v>1500000</v>
      </c>
      <c r="D134" s="1591"/>
      <c r="E134" s="1587">
        <f t="shared" si="35"/>
        <v>0</v>
      </c>
      <c r="F134" s="1577">
        <v>0</v>
      </c>
      <c r="G134" s="1577">
        <v>0</v>
      </c>
      <c r="H134" s="1569">
        <v>0</v>
      </c>
      <c r="I134" s="1569"/>
      <c r="J134" s="1569">
        <v>0</v>
      </c>
      <c r="K134" s="1555">
        <v>0</v>
      </c>
      <c r="L134" s="1587">
        <f t="shared" si="36"/>
        <v>1500000</v>
      </c>
      <c r="M134" s="1559"/>
      <c r="N134" s="1555">
        <v>1200000</v>
      </c>
      <c r="O134" s="1556">
        <v>300000</v>
      </c>
      <c r="P134" s="1557">
        <v>0</v>
      </c>
      <c r="Q134" s="110"/>
    </row>
    <row r="135" spans="1:17" x14ac:dyDescent="0.25">
      <c r="A135" s="222" t="s">
        <v>924</v>
      </c>
      <c r="B135" s="205" t="s">
        <v>92</v>
      </c>
      <c r="C135" s="143">
        <f t="shared" si="34"/>
        <v>20000</v>
      </c>
      <c r="D135" s="138"/>
      <c r="E135" s="139">
        <f t="shared" si="35"/>
        <v>12000</v>
      </c>
      <c r="F135" s="140">
        <v>2000</v>
      </c>
      <c r="G135" s="140">
        <v>1000</v>
      </c>
      <c r="H135" s="141">
        <v>2000</v>
      </c>
      <c r="I135" s="141"/>
      <c r="J135" s="141">
        <v>2000</v>
      </c>
      <c r="K135" s="143">
        <v>5000</v>
      </c>
      <c r="L135" s="139">
        <f t="shared" si="33"/>
        <v>8000</v>
      </c>
      <c r="M135" s="239"/>
      <c r="N135" s="143">
        <v>3000</v>
      </c>
      <c r="O135" s="240">
        <v>3000</v>
      </c>
      <c r="P135" s="142">
        <v>2000</v>
      </c>
      <c r="Q135" s="110"/>
    </row>
    <row r="136" spans="1:17" x14ac:dyDescent="0.25">
      <c r="A136" s="222" t="s">
        <v>925</v>
      </c>
      <c r="B136" s="205" t="s">
        <v>926</v>
      </c>
      <c r="C136" s="143">
        <f t="shared" si="34"/>
        <v>50000</v>
      </c>
      <c r="D136" s="138"/>
      <c r="E136" s="139">
        <f t="shared" si="35"/>
        <v>34000</v>
      </c>
      <c r="F136" s="140">
        <v>4000</v>
      </c>
      <c r="G136" s="140">
        <v>2000</v>
      </c>
      <c r="H136" s="141">
        <v>4000</v>
      </c>
      <c r="I136" s="141"/>
      <c r="J136" s="141">
        <v>4000</v>
      </c>
      <c r="K136" s="143">
        <v>20000</v>
      </c>
      <c r="L136" s="139">
        <f t="shared" ref="L136:L142" si="37">SUM(N136:P136)</f>
        <v>16000</v>
      </c>
      <c r="M136" s="239"/>
      <c r="N136" s="143">
        <v>6000</v>
      </c>
      <c r="O136" s="240">
        <v>6000</v>
      </c>
      <c r="P136" s="142">
        <v>4000</v>
      </c>
      <c r="Q136" s="110"/>
    </row>
    <row r="137" spans="1:17" x14ac:dyDescent="0.25">
      <c r="A137" s="222" t="s">
        <v>927</v>
      </c>
      <c r="B137" s="205" t="s">
        <v>928</v>
      </c>
      <c r="C137" s="143">
        <f t="shared" si="34"/>
        <v>0</v>
      </c>
      <c r="D137" s="138"/>
      <c r="E137" s="139">
        <f t="shared" si="35"/>
        <v>0</v>
      </c>
      <c r="F137" s="140">
        <v>0</v>
      </c>
      <c r="G137" s="140">
        <v>0</v>
      </c>
      <c r="H137" s="141">
        <v>0</v>
      </c>
      <c r="I137" s="141"/>
      <c r="J137" s="141">
        <v>0</v>
      </c>
      <c r="K137" s="143">
        <v>0</v>
      </c>
      <c r="L137" s="139">
        <f t="shared" si="37"/>
        <v>0</v>
      </c>
      <c r="M137" s="239"/>
      <c r="N137" s="143">
        <v>0</v>
      </c>
      <c r="O137" s="240">
        <v>0</v>
      </c>
      <c r="P137" s="142">
        <v>0</v>
      </c>
      <c r="Q137" s="110"/>
    </row>
    <row r="138" spans="1:17" x14ac:dyDescent="0.25">
      <c r="A138" s="222" t="s">
        <v>929</v>
      </c>
      <c r="B138" s="205" t="s">
        <v>930</v>
      </c>
      <c r="C138" s="143">
        <f t="shared" si="34"/>
        <v>3024000</v>
      </c>
      <c r="D138" s="138"/>
      <c r="E138" s="139">
        <f t="shared" si="35"/>
        <v>2619000</v>
      </c>
      <c r="F138" s="140">
        <v>265000</v>
      </c>
      <c r="G138" s="140">
        <v>4000</v>
      </c>
      <c r="H138" s="141">
        <v>1015000</v>
      </c>
      <c r="I138" s="141"/>
      <c r="J138" s="141">
        <v>235000</v>
      </c>
      <c r="K138" s="143">
        <v>1100000</v>
      </c>
      <c r="L138" s="139">
        <f t="shared" si="37"/>
        <v>405000</v>
      </c>
      <c r="M138" s="239"/>
      <c r="N138" s="143">
        <v>123000</v>
      </c>
      <c r="O138" s="240">
        <v>217000</v>
      </c>
      <c r="P138" s="142">
        <v>65000</v>
      </c>
      <c r="Q138" s="110"/>
    </row>
    <row r="139" spans="1:17" x14ac:dyDescent="0.25">
      <c r="A139" s="222" t="s">
        <v>931</v>
      </c>
      <c r="B139" s="205" t="s">
        <v>932</v>
      </c>
      <c r="C139" s="143">
        <f t="shared" si="34"/>
        <v>0</v>
      </c>
      <c r="D139" s="138"/>
      <c r="E139" s="139">
        <f t="shared" si="35"/>
        <v>0</v>
      </c>
      <c r="F139" s="140">
        <v>0</v>
      </c>
      <c r="G139" s="140">
        <v>0</v>
      </c>
      <c r="H139" s="141">
        <v>0</v>
      </c>
      <c r="I139" s="141"/>
      <c r="J139" s="141">
        <v>0</v>
      </c>
      <c r="K139" s="143">
        <v>0</v>
      </c>
      <c r="L139" s="139">
        <f t="shared" si="37"/>
        <v>0</v>
      </c>
      <c r="M139" s="239"/>
      <c r="N139" s="143">
        <v>0</v>
      </c>
      <c r="O139" s="240">
        <v>0</v>
      </c>
      <c r="P139" s="142">
        <v>0</v>
      </c>
      <c r="Q139" s="110"/>
    </row>
    <row r="140" spans="1:17" x14ac:dyDescent="0.25">
      <c r="A140" s="222" t="s">
        <v>933</v>
      </c>
      <c r="B140" s="205" t="s">
        <v>934</v>
      </c>
      <c r="C140" s="143">
        <f t="shared" si="34"/>
        <v>110000</v>
      </c>
      <c r="D140" s="138"/>
      <c r="E140" s="139">
        <f t="shared" si="35"/>
        <v>83000</v>
      </c>
      <c r="F140" s="140">
        <v>11000</v>
      </c>
      <c r="G140" s="140">
        <v>0</v>
      </c>
      <c r="H140" s="141">
        <v>56000</v>
      </c>
      <c r="I140" s="141"/>
      <c r="J140" s="141">
        <v>11000</v>
      </c>
      <c r="K140" s="143">
        <v>5000</v>
      </c>
      <c r="L140" s="139">
        <f t="shared" si="37"/>
        <v>27000</v>
      </c>
      <c r="M140" s="239">
        <v>0</v>
      </c>
      <c r="N140" s="143">
        <v>25750</v>
      </c>
      <c r="O140" s="240">
        <v>750</v>
      </c>
      <c r="P140" s="142">
        <v>500</v>
      </c>
      <c r="Q140" s="110"/>
    </row>
    <row r="141" spans="1:17" x14ac:dyDescent="0.25">
      <c r="A141" s="222" t="s">
        <v>935</v>
      </c>
      <c r="B141" s="205" t="s">
        <v>936</v>
      </c>
      <c r="C141" s="143">
        <f t="shared" si="34"/>
        <v>0</v>
      </c>
      <c r="D141" s="138"/>
      <c r="E141" s="139">
        <f t="shared" si="35"/>
        <v>0</v>
      </c>
      <c r="F141" s="140">
        <v>0</v>
      </c>
      <c r="G141" s="140">
        <v>0</v>
      </c>
      <c r="H141" s="141">
        <v>0</v>
      </c>
      <c r="I141" s="141"/>
      <c r="J141" s="141">
        <v>0</v>
      </c>
      <c r="K141" s="143">
        <v>0</v>
      </c>
      <c r="L141" s="139">
        <f t="shared" si="37"/>
        <v>0</v>
      </c>
      <c r="M141" s="239"/>
      <c r="N141" s="143">
        <v>0</v>
      </c>
      <c r="O141" s="240">
        <v>0</v>
      </c>
      <c r="P141" s="142">
        <v>0</v>
      </c>
      <c r="Q141" s="110"/>
    </row>
    <row r="142" spans="1:17" x14ac:dyDescent="0.25">
      <c r="A142" s="222" t="s">
        <v>937</v>
      </c>
      <c r="B142" s="205" t="s">
        <v>938</v>
      </c>
      <c r="C142" s="143">
        <f t="shared" si="34"/>
        <v>20000</v>
      </c>
      <c r="D142" s="138"/>
      <c r="E142" s="139">
        <f t="shared" si="35"/>
        <v>20000</v>
      </c>
      <c r="F142" s="140">
        <v>0</v>
      </c>
      <c r="G142" s="140">
        <v>0</v>
      </c>
      <c r="H142" s="141">
        <v>0</v>
      </c>
      <c r="I142" s="141"/>
      <c r="J142" s="141">
        <v>0</v>
      </c>
      <c r="K142" s="143">
        <v>20000</v>
      </c>
      <c r="L142" s="139">
        <f t="shared" si="37"/>
        <v>0</v>
      </c>
      <c r="M142" s="239"/>
      <c r="N142" s="143">
        <v>0</v>
      </c>
      <c r="O142" s="240">
        <v>0</v>
      </c>
      <c r="P142" s="142">
        <v>0</v>
      </c>
      <c r="Q142" s="110"/>
    </row>
    <row r="143" spans="1:17" x14ac:dyDescent="0.25">
      <c r="A143" s="222" t="s">
        <v>939</v>
      </c>
      <c r="B143" s="205" t="s">
        <v>940</v>
      </c>
      <c r="C143" s="143">
        <f t="shared" si="34"/>
        <v>60000</v>
      </c>
      <c r="D143" s="138"/>
      <c r="E143" s="139">
        <f t="shared" si="35"/>
        <v>20000</v>
      </c>
      <c r="F143" s="140">
        <v>0</v>
      </c>
      <c r="G143" s="140">
        <v>0</v>
      </c>
      <c r="H143" s="141">
        <v>0</v>
      </c>
      <c r="I143" s="141"/>
      <c r="J143" s="141">
        <v>0</v>
      </c>
      <c r="K143" s="143">
        <v>20000</v>
      </c>
      <c r="L143" s="139">
        <f t="shared" ref="L143" si="38">SUM(N143:P143)</f>
        <v>40000</v>
      </c>
      <c r="M143" s="239"/>
      <c r="N143" s="143">
        <v>15000</v>
      </c>
      <c r="O143" s="240">
        <v>15000</v>
      </c>
      <c r="P143" s="142">
        <v>10000</v>
      </c>
      <c r="Q143" s="110"/>
    </row>
    <row r="144" spans="1:17" ht="14.25" thickBot="1" x14ac:dyDescent="0.3">
      <c r="A144" s="2529" t="s">
        <v>349</v>
      </c>
      <c r="B144" s="2531"/>
      <c r="C144" s="185">
        <f>SUM(C135:C143)+C130+C112+SUM(C100:C111)+C76+SUM(C72:C75)+C64</f>
        <v>70094391</v>
      </c>
      <c r="D144" s="183">
        <f t="shared" ref="D144:K144" si="39">SUM(D135:D143)+D130+D112+SUM(D100:D111)+D76+SUM(D72:D75)+D64</f>
        <v>0</v>
      </c>
      <c r="E144" s="184">
        <f t="shared" si="39"/>
        <v>19497291</v>
      </c>
      <c r="F144" s="2532">
        <f t="shared" si="39"/>
        <v>950100</v>
      </c>
      <c r="G144" s="2532">
        <f t="shared" si="39"/>
        <v>88250</v>
      </c>
      <c r="H144" s="187">
        <f t="shared" si="39"/>
        <v>7635344</v>
      </c>
      <c r="I144" s="187">
        <f t="shared" si="39"/>
        <v>450000</v>
      </c>
      <c r="J144" s="187">
        <f t="shared" si="39"/>
        <v>2563800</v>
      </c>
      <c r="K144" s="185">
        <f t="shared" si="39"/>
        <v>7809797</v>
      </c>
      <c r="L144" s="184">
        <f t="shared" ref="L144:P144" si="40">SUM(L135:L143)+L130+L112+SUM(L100:L111)+L76+SUM(L72:L75)+L64</f>
        <v>48220100</v>
      </c>
      <c r="M144" s="2533">
        <f t="shared" si="40"/>
        <v>0</v>
      </c>
      <c r="N144" s="185">
        <f t="shared" si="40"/>
        <v>17260100</v>
      </c>
      <c r="O144" s="2534">
        <f t="shared" si="40"/>
        <v>13774400</v>
      </c>
      <c r="P144" s="186">
        <f t="shared" si="40"/>
        <v>17185600</v>
      </c>
      <c r="Q144" s="110"/>
    </row>
    <row r="145" spans="1:17" x14ac:dyDescent="0.25">
      <c r="A145" s="222">
        <v>5141</v>
      </c>
      <c r="B145" s="205" t="s">
        <v>7</v>
      </c>
      <c r="C145" s="1599">
        <f>+E145+L145+D145</f>
        <v>280000</v>
      </c>
      <c r="D145" s="1592"/>
      <c r="E145" s="1593">
        <f t="shared" ref="E145" si="41">SUM(F145:K145)</f>
        <v>280000</v>
      </c>
      <c r="F145" s="1575"/>
      <c r="G145" s="1575"/>
      <c r="H145" s="308">
        <v>236000</v>
      </c>
      <c r="I145" s="405"/>
      <c r="J145" s="405"/>
      <c r="K145" s="308">
        <v>44000</v>
      </c>
      <c r="L145" s="1602">
        <f t="shared" si="33"/>
        <v>0</v>
      </c>
      <c r="M145" s="417"/>
      <c r="N145" s="308"/>
      <c r="O145" s="1552"/>
      <c r="P145" s="1566"/>
      <c r="Q145" s="110"/>
    </row>
    <row r="146" spans="1:17" ht="14.25" thickBot="1" x14ac:dyDescent="0.3">
      <c r="A146" s="2530" t="s">
        <v>104</v>
      </c>
      <c r="B146" s="2531" t="s">
        <v>105</v>
      </c>
      <c r="C146" s="183">
        <f>+C144+C145+C63</f>
        <v>97771597.028367996</v>
      </c>
      <c r="D146" s="183">
        <f t="shared" ref="D146:K146" si="42">+D144+D145+D63</f>
        <v>0</v>
      </c>
      <c r="E146" s="184">
        <f t="shared" si="42"/>
        <v>40869357.027999997</v>
      </c>
      <c r="F146" s="2532">
        <f t="shared" si="42"/>
        <v>2637364.0920000002</v>
      </c>
      <c r="G146" s="2532">
        <f t="shared" si="42"/>
        <v>742498.78399999999</v>
      </c>
      <c r="H146" s="187">
        <f t="shared" si="42"/>
        <v>11635961.311999999</v>
      </c>
      <c r="I146" s="187">
        <f t="shared" si="42"/>
        <v>1758162.9999999998</v>
      </c>
      <c r="J146" s="187">
        <f t="shared" si="42"/>
        <v>4654125.4400000004</v>
      </c>
      <c r="K146" s="185">
        <f t="shared" si="42"/>
        <v>19441244.399999999</v>
      </c>
      <c r="L146" s="184">
        <f t="shared" ref="L146:P146" si="43">+L144+L145+L63</f>
        <v>54525240.000367999</v>
      </c>
      <c r="M146" s="2533">
        <f t="shared" si="43"/>
        <v>0</v>
      </c>
      <c r="N146" s="185">
        <f t="shared" si="43"/>
        <v>20561223.700800002</v>
      </c>
      <c r="O146" s="2534">
        <f t="shared" si="43"/>
        <v>15826098.796800001</v>
      </c>
      <c r="P146" s="186">
        <f t="shared" si="43"/>
        <v>18137917.502767999</v>
      </c>
      <c r="Q146" s="110"/>
    </row>
    <row r="147" spans="1:17" ht="14.25" thickBot="1" x14ac:dyDescent="0.3">
      <c r="A147" s="222"/>
      <c r="B147" s="205"/>
      <c r="C147" s="1600"/>
      <c r="D147" s="1567"/>
      <c r="E147" s="1567"/>
      <c r="F147" s="1567"/>
      <c r="G147" s="1567"/>
      <c r="H147" s="1567"/>
      <c r="I147" s="1567"/>
      <c r="J147" s="1567"/>
      <c r="K147" s="1567"/>
      <c r="L147" s="1567"/>
      <c r="M147" s="1567"/>
      <c r="N147" s="1567"/>
      <c r="O147" s="1567"/>
      <c r="P147" s="1567"/>
      <c r="Q147" s="110"/>
    </row>
    <row r="148" spans="1:17" ht="14.25" thickBot="1" x14ac:dyDescent="0.3">
      <c r="A148" s="2622" t="s">
        <v>583</v>
      </c>
      <c r="B148" s="2623"/>
      <c r="C148" s="256">
        <f>+C146</f>
        <v>97771597.028367996</v>
      </c>
      <c r="D148" s="256">
        <f t="shared" ref="D148:P148" si="44">+D146</f>
        <v>0</v>
      </c>
      <c r="E148" s="258">
        <f t="shared" si="44"/>
        <v>40869357.027999997</v>
      </c>
      <c r="F148" s="2543">
        <f t="shared" si="44"/>
        <v>2637364.0920000002</v>
      </c>
      <c r="G148" s="2543">
        <f t="shared" si="44"/>
        <v>742498.78399999999</v>
      </c>
      <c r="H148" s="2544">
        <f t="shared" si="44"/>
        <v>11635961.311999999</v>
      </c>
      <c r="I148" s="2544">
        <f t="shared" si="44"/>
        <v>1758162.9999999998</v>
      </c>
      <c r="J148" s="2544">
        <f t="shared" si="44"/>
        <v>4654125.4400000004</v>
      </c>
      <c r="K148" s="2545">
        <f t="shared" si="44"/>
        <v>19441244.399999999</v>
      </c>
      <c r="L148" s="258">
        <f t="shared" si="44"/>
        <v>54525240.000367999</v>
      </c>
      <c r="M148" s="2546">
        <f t="shared" si="44"/>
        <v>0</v>
      </c>
      <c r="N148" s="2545">
        <f t="shared" si="44"/>
        <v>20561223.700800002</v>
      </c>
      <c r="O148" s="2547">
        <f t="shared" si="44"/>
        <v>15826098.796800001</v>
      </c>
      <c r="P148" s="2548">
        <f t="shared" si="44"/>
        <v>18137917.502767999</v>
      </c>
      <c r="Q148" s="110"/>
    </row>
    <row r="149" spans="1:17" ht="14.25" thickBot="1" x14ac:dyDescent="0.3">
      <c r="A149" s="2622" t="s">
        <v>129</v>
      </c>
      <c r="B149" s="2623"/>
      <c r="C149" s="256">
        <f>C52-C148</f>
        <v>-2.8367996215820313E-2</v>
      </c>
      <c r="D149" s="256">
        <f t="shared" ref="D149:P149" si="45">D52-D148</f>
        <v>0</v>
      </c>
      <c r="E149" s="258">
        <f t="shared" si="45"/>
        <v>-1364557.0279999971</v>
      </c>
      <c r="F149" s="2543">
        <f t="shared" si="45"/>
        <v>-734564.09200000018</v>
      </c>
      <c r="G149" s="2543">
        <f t="shared" si="45"/>
        <v>-179648.78399999999</v>
      </c>
      <c r="H149" s="2544">
        <f t="shared" si="45"/>
        <v>-1038061.311999999</v>
      </c>
      <c r="I149" s="2544">
        <f t="shared" si="45"/>
        <v>-316312.99999999977</v>
      </c>
      <c r="J149" s="2544">
        <f t="shared" si="45"/>
        <v>-1659225.4400000004</v>
      </c>
      <c r="K149" s="2545">
        <f t="shared" si="45"/>
        <v>2563255.6000000015</v>
      </c>
      <c r="L149" s="258">
        <f t="shared" si="45"/>
        <v>3741556.9996320009</v>
      </c>
      <c r="M149" s="2546">
        <f t="shared" si="45"/>
        <v>0</v>
      </c>
      <c r="N149" s="2545">
        <f t="shared" si="45"/>
        <v>-990685.70080000162</v>
      </c>
      <c r="O149" s="2547">
        <f t="shared" si="45"/>
        <v>1140439.2031999994</v>
      </c>
      <c r="P149" s="2548">
        <f t="shared" si="45"/>
        <v>3591803.4972320013</v>
      </c>
      <c r="Q149" s="110"/>
    </row>
    <row r="150" spans="1:17" x14ac:dyDescent="0.25">
      <c r="A150" s="265"/>
      <c r="B150" s="109"/>
      <c r="C150" s="308"/>
      <c r="D150" s="189"/>
      <c r="E150" s="308"/>
      <c r="F150" s="189"/>
      <c r="G150" s="189"/>
      <c r="H150" s="189"/>
      <c r="I150" s="189"/>
      <c r="J150" s="189"/>
      <c r="K150" s="308"/>
      <c r="L150" s="189"/>
      <c r="M150" s="189"/>
      <c r="N150" s="189"/>
      <c r="O150" s="189"/>
      <c r="P150" s="189"/>
      <c r="Q150" s="110"/>
    </row>
    <row r="151" spans="1:17" x14ac:dyDescent="0.25">
      <c r="K151" s="578"/>
    </row>
    <row r="152" spans="1:17" x14ac:dyDescent="0.25">
      <c r="A152" s="265" t="s">
        <v>546</v>
      </c>
      <c r="B152" s="109"/>
    </row>
  </sheetData>
  <sheetProtection algorithmName="SHA-512" hashValue="eDNH7B7fQm1iS8XZRsD/YE/WUHi+34pwGNRbi0kIXbSWjD26wK+9FgX/XelmvKhpI2eYhBrvKaiYxWXvaHQ1qg==" saltValue="RU6LeXuHJW1c3k1t9zkIwg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3"/>
    <mergeCell ref="A148:B148"/>
    <mergeCell ref="A149:B149"/>
    <mergeCell ref="A52:B52"/>
  </mergeCells>
  <pageMargins left="0.31496062992125984" right="0.31496062992125984" top="0.19685039370078741" bottom="0.19685039370078741" header="0.31496062992125984" footer="0.31496062992125984"/>
  <pageSetup paperSize="8" scale="58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</vt:i4>
      </vt:variant>
    </vt:vector>
  </HeadingPairs>
  <TitlesOfParts>
    <vt:vector size="48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 TSMÚ final</vt:lpstr>
      <vt:lpstr>TSMÚ 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výhled 2024-2028</vt:lpstr>
      <vt:lpstr>Zásobník projektů 2016-2020</vt:lpstr>
      <vt:lpstr>čerpání-úvěr a úroky</vt:lpstr>
      <vt:lpstr>zásobník projektů 2020-2024</vt:lpstr>
      <vt:lpstr>Financování</vt:lpstr>
      <vt:lpstr>zásobník projektů realizované </vt:lpstr>
      <vt:lpstr> Propočet úroků</vt:lpstr>
      <vt:lpstr>' TSMÚ final'!Názvy_tisku</vt:lpstr>
      <vt:lpstr>'TSMÚ '!Názvy_tisku</vt:lpstr>
      <vt:lpstr>TSÚ!Názvy_tisku</vt:lpstr>
      <vt:lpstr>'Výdaje kapitol celkem'!Názvy_tisku</vt:lpstr>
      <vt:lpstr>'Výdaje kapitol celkem (2)'!Názvy_tisku</vt:lpstr>
      <vt:lpstr>' TSMÚ final'!Oblast_tisku</vt:lpstr>
      <vt:lpstr>'Příjmy kapitol celkem'!Oblast_tisku</vt:lpstr>
      <vt:lpstr>'TSMÚ 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Monika Šimonová</cp:lastModifiedBy>
  <cp:lastPrinted>2023-05-29T12:21:17Z</cp:lastPrinted>
  <dcterms:created xsi:type="dcterms:W3CDTF">2014-09-16T07:52:57Z</dcterms:created>
  <dcterms:modified xsi:type="dcterms:W3CDTF">2023-10-20T08:27:45Z</dcterms:modified>
</cp:coreProperties>
</file>