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5\"/>
    </mc:Choice>
  </mc:AlternateContent>
  <xr:revisionPtr revIDLastSave="0" documentId="13_ncr:1_{DBDC96F1-04EB-41A5-AA94-80DA14F6E228}" xr6:coauthVersionLast="47" xr6:coauthVersionMax="47" xr10:uidLastSave="{00000000-0000-0000-0000-000000000000}"/>
  <bookViews>
    <workbookView xWindow="-98" yWindow="-98" windowWidth="19396" windowHeight="10395" activeTab="8" xr2:uid="{E87EF1DB-B078-4302-AA96-72D0B351248D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state="hidden" r:id="rId11"/>
    <sheet name="TSÚ úpr" sheetId="117" state="hidden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41 - Úroky" sheetId="138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ulice" sheetId="145" r:id="rId46"/>
    <sheet name=" Propočet úroků" sheetId="108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celkem'!$A$2:$K$106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2025'!$N:$S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2025'!$K:$K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celkem'!$A$2:$K$106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celkem'!$186:$186,'5169_nákup služeb celkem'!$189:$190,'5169_nákup služeb celkem'!$192:$193,'5169_nákup služeb celkem'!$195:$196,'5169_nákup služeb celkem'!$209:$211</definedName>
    <definedName name="Z_8E849D53_8AE4_474C_8B18_4F51F16C1AF2_.wvu.Rows" localSheetId="25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celkem'!$122:$122,'5171_Opravy a udrzování celkem'!$159:$159,'5171_Opravy a udrzování celkem'!$168:$168,'5171_Opravy a udrzování celkem'!$171:$173,'5171_Opravy a udrzování celkem'!$176:$176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2025'!$16:$19,'Investice celkem  2025'!$36:$38,'Investice celkem  2025'!$41:$41,'Investice celkem  2025'!$43:$43,'Investice celkem  2025'!$47:$47,'Investice celkem  2025'!$49:$53,'Investice celkem  2025'!$55:$62,'Investice celkem  2025'!$65:$67,'Investice celkem  2025'!$69:$70,'Investice celkem  2025'!$74:$74,'Investice celkem  2025'!$77:$79,'Investice celkem  2025'!$81:$87,'Investice celkem  2025'!$90:$90,'Investice celkem  2025'!$93:$95,'Investice celkem  2025'!$105:$108,'Investice celkem  2025'!$112:$112,'Investice celkem  2025'!$115:$123,'Investice celkem  2025'!$125:$126,'Investice celkem  2025'!$130:$131,'Investice celkem  2025'!$134:$137,'Investice celkem  2025'!$139:$141,'Investice celkem  2025'!$143:$153,'Investice celkem  2025'!$155:$157,'Investice celkem  2025'!$159:$162,'Investice celkem  2025'!#REF!,'Investice celkem  2025'!$187:$188,'Investice celkem  2025'!$190:$193,'Investice celkem  2025'!$195:$201,'Investice celkem  2025'!$204:$204,'Investice celkem  2025'!$206:$206,'Investice celkem  2025'!$209:$209,'Investice celkem  2025'!$212:$216,'Investice celkem  2025'!$219:$232,'Investice celkem  2025'!$234:$235,'Investice celkem  2025'!$246:$246,'Investice celkem  2025'!$259:$267,'Investice celkem  2025'!$270:$272,'Investice celkem  2025'!$283:$284,'Investice celkem  2025'!$286:$287,'Investice celkem  2025'!$289:$290,'Investice celkem  2025'!$292:$295,'Investice celkem  2025'!$297:$299,'Investice celkem  2025'!$301:$303,'Investice celkem  2025'!$305:$307,'Investice celkem  2025'!$309:$311,'Investice celkem  2025'!$313:$316,'Investice celkem  2025'!$318:$321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2025'!$47:$48,'Souhrn příjmů a výdajů 2025'!$56:$57,'Souhrn příjmů a výdajů 2025'!$61:$62,'Souhrn příjmů a výdajů 2025'!$66:$74,'Souhrn příjmů a výdajů 2025'!$78:$78,'Souhrn příjmů a výdajů 2025'!$87:$87,'Souhrn příjmů a výdajů 2025'!$99:$99,'Souhrn příjmů a výdajů 2025'!$102:$104,'Souhrn příjmů a výdajů 2025'!$110:$113,'Souhrn příjmů a výdajů 2025'!$139:$140,'Souhrn příjmů a výdajů 2025'!$161:$162,'Souhrn příjmů a výdajů 2025'!$169:$169,'Souhrn příjmů a výdajů 2025'!$181:$181,'Souhrn příjmů a výdajů 2025'!$183:$183,'Souhrn příjmů a výdajů 2025'!$185:$185,'Souhrn příjmů a výdajů 2025'!$187:$187,'Souhrn příjmů a výdajů 2025'!$191:$191,'Souhrn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K71" i="4" l="1"/>
  <c r="N64" i="4" l="1"/>
  <c r="L136" i="111"/>
  <c r="I54" i="4"/>
  <c r="I63" i="4"/>
  <c r="I68" i="4"/>
  <c r="I73" i="4"/>
  <c r="G28" i="141"/>
  <c r="J342" i="128"/>
  <c r="J341" i="128"/>
  <c r="H336" i="128"/>
  <c r="H337" i="128"/>
  <c r="H340" i="128" s="1"/>
  <c r="H338" i="128"/>
  <c r="H335" i="128"/>
  <c r="H333" i="128"/>
  <c r="H332" i="128"/>
  <c r="H334" i="128" s="1"/>
  <c r="H331" i="128"/>
  <c r="H330" i="128"/>
  <c r="H329" i="128"/>
  <c r="J339" i="128"/>
  <c r="F340" i="128"/>
  <c r="G340" i="128"/>
  <c r="G334" i="128"/>
  <c r="F334" i="128"/>
  <c r="J28" i="141"/>
  <c r="K28" i="141" s="1"/>
  <c r="L28" i="141" s="1"/>
  <c r="M28" i="141" s="1"/>
  <c r="N28" i="141" s="1"/>
  <c r="O28" i="141" s="1"/>
  <c r="P28" i="141" s="1"/>
  <c r="Q28" i="141" s="1"/>
  <c r="R28" i="141" s="1"/>
  <c r="S28" i="141" s="1"/>
  <c r="T28" i="141" s="1"/>
  <c r="I28" i="141"/>
  <c r="F18" i="141"/>
  <c r="J11" i="107"/>
  <c r="J6" i="107"/>
  <c r="J18" i="127"/>
  <c r="J173" i="72"/>
  <c r="J164" i="72"/>
  <c r="J160" i="72"/>
  <c r="J156" i="72"/>
  <c r="J152" i="72"/>
  <c r="J148" i="72"/>
  <c r="J147" i="72"/>
  <c r="J142" i="72"/>
  <c r="J140" i="72"/>
  <c r="J125" i="72"/>
  <c r="J120" i="72"/>
  <c r="J119" i="72"/>
  <c r="J107" i="72"/>
  <c r="J87" i="72"/>
  <c r="J80" i="72"/>
  <c r="J79" i="72"/>
  <c r="J72" i="72"/>
  <c r="J68" i="72"/>
  <c r="J64" i="72"/>
  <c r="J51" i="72"/>
  <c r="J34" i="72"/>
  <c r="J21" i="72"/>
  <c r="J20" i="72"/>
  <c r="J12" i="72"/>
  <c r="J212" i="87"/>
  <c r="J211" i="87"/>
  <c r="J210" i="87"/>
  <c r="J209" i="87"/>
  <c r="J207" i="87"/>
  <c r="J202" i="87"/>
  <c r="J201" i="87"/>
  <c r="J200" i="87"/>
  <c r="J199" i="87"/>
  <c r="J198" i="87"/>
  <c r="J197" i="87"/>
  <c r="J196" i="87"/>
  <c r="J195" i="87"/>
  <c r="J194" i="87"/>
  <c r="J193" i="87"/>
  <c r="J192" i="87"/>
  <c r="J191" i="87"/>
  <c r="J190" i="87"/>
  <c r="J189" i="87"/>
  <c r="J187" i="87"/>
  <c r="J177" i="87"/>
  <c r="J176" i="87"/>
  <c r="J175" i="87"/>
  <c r="J174" i="87"/>
  <c r="J159" i="87"/>
  <c r="J158" i="87"/>
  <c r="J157" i="87"/>
  <c r="J156" i="87"/>
  <c r="J154" i="87"/>
  <c r="J150" i="87"/>
  <c r="J149" i="87"/>
  <c r="J128" i="87"/>
  <c r="J100" i="87"/>
  <c r="J99" i="87"/>
  <c r="J90" i="87"/>
  <c r="J86" i="87"/>
  <c r="J85" i="87"/>
  <c r="J84" i="87"/>
  <c r="J80" i="87"/>
  <c r="J76" i="87"/>
  <c r="J61" i="87"/>
  <c r="J37" i="87"/>
  <c r="J19" i="87"/>
  <c r="J14" i="87"/>
  <c r="J13" i="87"/>
  <c r="J12" i="87"/>
  <c r="J11" i="87"/>
  <c r="J60" i="106"/>
  <c r="J54" i="106"/>
  <c r="J50" i="106"/>
  <c r="J49" i="106"/>
  <c r="J41" i="106"/>
  <c r="J40" i="106"/>
  <c r="J39" i="106"/>
  <c r="J38" i="106"/>
  <c r="J37" i="106"/>
  <c r="J36" i="106"/>
  <c r="J18" i="106"/>
  <c r="J16" i="106"/>
  <c r="J5" i="106"/>
  <c r="J7" i="137"/>
  <c r="J65" i="125"/>
  <c r="J64" i="125"/>
  <c r="J63" i="125"/>
  <c r="J61" i="125"/>
  <c r="J7" i="125"/>
  <c r="J29" i="123"/>
  <c r="J28" i="123"/>
  <c r="J27" i="123"/>
  <c r="J7" i="123"/>
  <c r="J162" i="105"/>
  <c r="J161" i="105"/>
  <c r="J160" i="105"/>
  <c r="J159" i="105"/>
  <c r="J157" i="105"/>
  <c r="J154" i="105"/>
  <c r="J153" i="105"/>
  <c r="J152" i="105"/>
  <c r="J151" i="105"/>
  <c r="J150" i="105"/>
  <c r="J149" i="105"/>
  <c r="J148" i="105"/>
  <c r="J147" i="105"/>
  <c r="J146" i="105"/>
  <c r="J145" i="105"/>
  <c r="J144" i="105"/>
  <c r="J143" i="105"/>
  <c r="J142" i="105"/>
  <c r="J141" i="105"/>
  <c r="J140" i="105"/>
  <c r="J139" i="105"/>
  <c r="J138" i="105"/>
  <c r="J137" i="105"/>
  <c r="J136" i="105"/>
  <c r="J135" i="105"/>
  <c r="J134" i="105"/>
  <c r="J133" i="105"/>
  <c r="J132" i="105"/>
  <c r="J131" i="105"/>
  <c r="J130" i="105"/>
  <c r="J129" i="105"/>
  <c r="J128" i="105"/>
  <c r="J127" i="105"/>
  <c r="J126" i="105"/>
  <c r="J125" i="105"/>
  <c r="J124" i="105"/>
  <c r="J122" i="105"/>
  <c r="J119" i="105"/>
  <c r="J118" i="105"/>
  <c r="J117" i="105"/>
  <c r="J116" i="105"/>
  <c r="J115" i="105"/>
  <c r="J114" i="105"/>
  <c r="J112" i="105"/>
  <c r="J106" i="105"/>
  <c r="J105" i="105"/>
  <c r="J104" i="105"/>
  <c r="J103" i="105"/>
  <c r="J102" i="105"/>
  <c r="J101" i="105"/>
  <c r="J100" i="105"/>
  <c r="J99" i="105"/>
  <c r="J98" i="105"/>
  <c r="J97" i="105"/>
  <c r="J96" i="105"/>
  <c r="J95" i="105"/>
  <c r="J94" i="105"/>
  <c r="J93" i="105"/>
  <c r="J92" i="105"/>
  <c r="J91" i="105"/>
  <c r="J90" i="105"/>
  <c r="J89" i="105"/>
  <c r="J88" i="105"/>
  <c r="J87" i="105"/>
  <c r="J86" i="105"/>
  <c r="J85" i="105"/>
  <c r="J84" i="105"/>
  <c r="J83" i="105"/>
  <c r="J82" i="105"/>
  <c r="J81" i="105"/>
  <c r="J80" i="105"/>
  <c r="J79" i="105"/>
  <c r="J78" i="105"/>
  <c r="J77" i="105"/>
  <c r="J75" i="105"/>
  <c r="J72" i="105"/>
  <c r="J71" i="105"/>
  <c r="J70" i="105"/>
  <c r="J69" i="105"/>
  <c r="J67" i="105"/>
  <c r="J63" i="105"/>
  <c r="J62" i="105"/>
  <c r="J61" i="105"/>
  <c r="J55" i="105"/>
  <c r="J54" i="105"/>
  <c r="J53" i="105"/>
  <c r="J52" i="105"/>
  <c r="J47" i="105"/>
  <c r="J37" i="105"/>
  <c r="J36" i="105"/>
  <c r="J31" i="105"/>
  <c r="J24" i="105"/>
  <c r="J23" i="105"/>
  <c r="J22" i="105"/>
  <c r="J17" i="105"/>
  <c r="J14" i="105"/>
  <c r="J13" i="105"/>
  <c r="J12" i="105"/>
  <c r="J11" i="105"/>
  <c r="J7" i="105"/>
  <c r="J6" i="105"/>
  <c r="J5" i="105"/>
  <c r="J73" i="104"/>
  <c r="J69" i="104"/>
  <c r="J65" i="104"/>
  <c r="J64" i="104"/>
  <c r="J63" i="104"/>
  <c r="J62" i="104"/>
  <c r="J61" i="104"/>
  <c r="J60" i="104"/>
  <c r="J59" i="104"/>
  <c r="J57" i="104"/>
  <c r="J45" i="104"/>
  <c r="J42" i="104"/>
  <c r="J41" i="104"/>
  <c r="J39" i="104"/>
  <c r="J33" i="104"/>
  <c r="J32" i="104"/>
  <c r="J31" i="104"/>
  <c r="J23" i="104"/>
  <c r="J16" i="104"/>
  <c r="J13" i="104"/>
  <c r="J12" i="104"/>
  <c r="J11" i="104"/>
  <c r="J7" i="104"/>
  <c r="J6" i="104"/>
  <c r="J5" i="104"/>
  <c r="N321" i="94"/>
  <c r="N320" i="94"/>
  <c r="N319" i="94"/>
  <c r="N317" i="94"/>
  <c r="N316" i="94"/>
  <c r="N315" i="94"/>
  <c r="N314" i="94"/>
  <c r="N313" i="94"/>
  <c r="N312" i="94"/>
  <c r="N311" i="94"/>
  <c r="N310" i="94"/>
  <c r="N309" i="94"/>
  <c r="N308" i="94"/>
  <c r="N307" i="94"/>
  <c r="N306" i="94"/>
  <c r="N305" i="94"/>
  <c r="N304" i="94"/>
  <c r="N303" i="94"/>
  <c r="N302" i="94"/>
  <c r="N301" i="94"/>
  <c r="N300" i="94"/>
  <c r="N299" i="94"/>
  <c r="N298" i="94"/>
  <c r="N297" i="94"/>
  <c r="N295" i="94"/>
  <c r="N294" i="94"/>
  <c r="N288" i="94"/>
  <c r="N287" i="94"/>
  <c r="N286" i="94"/>
  <c r="N285" i="94"/>
  <c r="N284" i="94"/>
  <c r="N283" i="94"/>
  <c r="N278" i="94"/>
  <c r="N274" i="94"/>
  <c r="N253" i="94"/>
  <c r="N252" i="94"/>
  <c r="N249" i="94"/>
  <c r="N248" i="94"/>
  <c r="N247" i="94"/>
  <c r="N246" i="94"/>
  <c r="N245" i="94"/>
  <c r="N244" i="94"/>
  <c r="N228" i="94"/>
  <c r="N227" i="94"/>
  <c r="N179" i="94"/>
  <c r="N167" i="94"/>
  <c r="N165" i="94"/>
  <c r="N157" i="94"/>
  <c r="N153" i="94"/>
  <c r="N152" i="94"/>
  <c r="N151" i="94"/>
  <c r="N150" i="94"/>
  <c r="N149" i="94"/>
  <c r="N148" i="94"/>
  <c r="N147" i="94"/>
  <c r="N146" i="94"/>
  <c r="N144" i="94"/>
  <c r="N143" i="94"/>
  <c r="N141" i="94"/>
  <c r="N132" i="94"/>
  <c r="N131" i="94"/>
  <c r="N130" i="94"/>
  <c r="N129" i="94"/>
  <c r="N124" i="94"/>
  <c r="N123" i="94"/>
  <c r="N113" i="94"/>
  <c r="N112" i="94"/>
  <c r="N108" i="94"/>
  <c r="N107" i="94"/>
  <c r="N99" i="94"/>
  <c r="N96" i="94"/>
  <c r="N95" i="94"/>
  <c r="N94" i="94"/>
  <c r="N93" i="94"/>
  <c r="N88" i="94"/>
  <c r="N87" i="94"/>
  <c r="N79" i="94"/>
  <c r="N73" i="94"/>
  <c r="N72" i="94"/>
  <c r="N71" i="94"/>
  <c r="N70" i="94"/>
  <c r="N69" i="94"/>
  <c r="N63" i="94"/>
  <c r="N28" i="94"/>
  <c r="N26" i="94"/>
  <c r="N21" i="94"/>
  <c r="K193" i="73"/>
  <c r="K191" i="73"/>
  <c r="K188" i="73"/>
  <c r="K137" i="73"/>
  <c r="K115" i="73"/>
  <c r="K99" i="73"/>
  <c r="K98" i="73"/>
  <c r="K97" i="73"/>
  <c r="K95" i="73"/>
  <c r="K93" i="73"/>
  <c r="K92" i="73"/>
  <c r="K91" i="73"/>
  <c r="K90" i="73"/>
  <c r="K85" i="73"/>
  <c r="K84" i="73"/>
  <c r="K79" i="73"/>
  <c r="K67" i="73"/>
  <c r="K43" i="73"/>
  <c r="K29" i="73"/>
  <c r="K28" i="73"/>
  <c r="K13" i="73"/>
  <c r="K11" i="73"/>
  <c r="J43" i="73"/>
  <c r="O120" i="111"/>
  <c r="M10" i="94"/>
  <c r="N10" i="94" s="1"/>
  <c r="I143" i="72" l="1"/>
  <c r="J143" i="72" s="1"/>
  <c r="K78" i="1" l="1"/>
  <c r="J82" i="73" s="1"/>
  <c r="K82" i="73" s="1"/>
  <c r="CH60" i="4" l="1"/>
  <c r="CH59" i="4" l="1"/>
  <c r="CH58" i="4"/>
  <c r="M251" i="94"/>
  <c r="N251" i="94" s="1"/>
  <c r="M250" i="94"/>
  <c r="N250" i="94" s="1"/>
  <c r="M184" i="94"/>
  <c r="N184" i="94" s="1"/>
  <c r="I146" i="72"/>
  <c r="J146" i="72" s="1"/>
  <c r="I145" i="72"/>
  <c r="J145" i="72" s="1"/>
  <c r="I144" i="72"/>
  <c r="J144" i="72" s="1"/>
  <c r="I124" i="72"/>
  <c r="J124" i="72" s="1"/>
  <c r="I118" i="72"/>
  <c r="J118" i="72" s="1"/>
  <c r="I117" i="72"/>
  <c r="J117" i="72" s="1"/>
  <c r="I116" i="72"/>
  <c r="J116" i="72" s="1"/>
  <c r="I115" i="72"/>
  <c r="J115" i="72" s="1"/>
  <c r="I141" i="72"/>
  <c r="J141" i="72" s="1"/>
  <c r="I139" i="72"/>
  <c r="J139" i="72" s="1"/>
  <c r="I138" i="72"/>
  <c r="J138" i="72" s="1"/>
  <c r="I137" i="72"/>
  <c r="J137" i="72" s="1"/>
  <c r="I136" i="72"/>
  <c r="J136" i="72" s="1"/>
  <c r="I135" i="72"/>
  <c r="J135" i="72" s="1"/>
  <c r="I134" i="72"/>
  <c r="J134" i="72" s="1"/>
  <c r="I133" i="72"/>
  <c r="J133" i="72" s="1"/>
  <c r="I132" i="72"/>
  <c r="J132" i="72" s="1"/>
  <c r="I131" i="72"/>
  <c r="J131" i="72" s="1"/>
  <c r="I130" i="72"/>
  <c r="J130" i="72" s="1"/>
  <c r="I129" i="72"/>
  <c r="J129" i="72" s="1"/>
  <c r="I128" i="72"/>
  <c r="J128" i="72" s="1"/>
  <c r="I162" i="87"/>
  <c r="J162" i="87" s="1"/>
  <c r="I161" i="87"/>
  <c r="J161" i="87" s="1"/>
  <c r="M145" i="94"/>
  <c r="N145" i="94" s="1"/>
  <c r="BT59" i="4"/>
  <c r="F30" i="141"/>
  <c r="H307" i="128"/>
  <c r="H319" i="128"/>
  <c r="H313" i="128"/>
  <c r="H268" i="128"/>
  <c r="F15" i="141"/>
  <c r="F12" i="141"/>
  <c r="O11" i="141"/>
  <c r="N11" i="141"/>
  <c r="M11" i="141"/>
  <c r="L11" i="141"/>
  <c r="K11" i="141"/>
  <c r="J11" i="141"/>
  <c r="F16" i="141"/>
  <c r="H315" i="128"/>
  <c r="H320" i="128"/>
  <c r="H327" i="128"/>
  <c r="H326" i="128"/>
  <c r="H324" i="128"/>
  <c r="H328" i="128" s="1"/>
  <c r="H325" i="128"/>
  <c r="H323" i="128"/>
  <c r="G328" i="128"/>
  <c r="F328" i="128"/>
  <c r="H185" i="73"/>
  <c r="H178" i="73"/>
  <c r="Z9" i="4"/>
  <c r="M44" i="94"/>
  <c r="N44" i="94" s="1"/>
  <c r="H318" i="128"/>
  <c r="H322" i="128" s="1"/>
  <c r="H317" i="128"/>
  <c r="H314" i="128"/>
  <c r="H312" i="128"/>
  <c r="H311" i="128"/>
  <c r="H305" i="128"/>
  <c r="G322" i="128"/>
  <c r="F322" i="128"/>
  <c r="H316" i="128"/>
  <c r="G316" i="128"/>
  <c r="F316" i="128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L34" i="4"/>
  <c r="DN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37" i="73"/>
  <c r="I18" i="72"/>
  <c r="J18" i="72" s="1"/>
  <c r="I17" i="72"/>
  <c r="J17" i="72" s="1"/>
  <c r="I163" i="72"/>
  <c r="J163" i="72" s="1"/>
  <c r="I162" i="72"/>
  <c r="J162" i="72" s="1"/>
  <c r="I172" i="72"/>
  <c r="J172" i="72" s="1"/>
  <c r="I171" i="72"/>
  <c r="J171" i="72" s="1"/>
  <c r="I167" i="72"/>
  <c r="J167" i="72" s="1"/>
  <c r="I166" i="72"/>
  <c r="J166" i="72" s="1"/>
  <c r="I155" i="72"/>
  <c r="J155" i="72" s="1"/>
  <c r="I154" i="72"/>
  <c r="J154" i="72" s="1"/>
  <c r="I151" i="72"/>
  <c r="J151" i="72" s="1"/>
  <c r="I150" i="72"/>
  <c r="J150" i="72" s="1"/>
  <c r="I127" i="72"/>
  <c r="J127" i="72" s="1"/>
  <c r="I126" i="72"/>
  <c r="J126" i="72" s="1"/>
  <c r="I123" i="72"/>
  <c r="J123" i="72" s="1"/>
  <c r="I122" i="72"/>
  <c r="J122" i="72" s="1"/>
  <c r="I121" i="72"/>
  <c r="J121" i="72" s="1"/>
  <c r="I114" i="72"/>
  <c r="J114" i="72" s="1"/>
  <c r="I113" i="72"/>
  <c r="J113" i="72" s="1"/>
  <c r="I112" i="72"/>
  <c r="J112" i="72" s="1"/>
  <c r="I111" i="72"/>
  <c r="J111" i="72" s="1"/>
  <c r="I110" i="72"/>
  <c r="J110" i="72" s="1"/>
  <c r="I109" i="72"/>
  <c r="J109" i="72" s="1"/>
  <c r="I106" i="72"/>
  <c r="J106" i="72" s="1"/>
  <c r="I105" i="72"/>
  <c r="J105" i="72" s="1"/>
  <c r="I104" i="72"/>
  <c r="J104" i="72" s="1"/>
  <c r="I102" i="72"/>
  <c r="J102" i="72" s="1"/>
  <c r="I101" i="72"/>
  <c r="J101" i="72" s="1"/>
  <c r="I99" i="72"/>
  <c r="J99" i="72" s="1"/>
  <c r="I98" i="72"/>
  <c r="J98" i="72" s="1"/>
  <c r="I96" i="72"/>
  <c r="J96" i="72" s="1"/>
  <c r="I95" i="72"/>
  <c r="J95" i="72" s="1"/>
  <c r="I94" i="72"/>
  <c r="J94" i="72" s="1"/>
  <c r="I93" i="72"/>
  <c r="J93" i="72" s="1"/>
  <c r="I91" i="72"/>
  <c r="J91" i="72" s="1"/>
  <c r="I90" i="72"/>
  <c r="J90" i="72" s="1"/>
  <c r="I89" i="72"/>
  <c r="J89" i="72" s="1"/>
  <c r="I86" i="72"/>
  <c r="J86" i="72" s="1"/>
  <c r="I85" i="72"/>
  <c r="J85" i="72" s="1"/>
  <c r="I84" i="72"/>
  <c r="J84" i="72" s="1"/>
  <c r="I83" i="72"/>
  <c r="J83" i="72" s="1"/>
  <c r="I82" i="72"/>
  <c r="J82" i="72" s="1"/>
  <c r="I78" i="72"/>
  <c r="J78" i="72" s="1"/>
  <c r="I77" i="72"/>
  <c r="J77" i="72" s="1"/>
  <c r="I75" i="72"/>
  <c r="J75" i="72" s="1"/>
  <c r="I74" i="72"/>
  <c r="J74" i="72" s="1"/>
  <c r="I71" i="72"/>
  <c r="J71" i="72" s="1"/>
  <c r="I70" i="72"/>
  <c r="J70" i="72" s="1"/>
  <c r="I67" i="72"/>
  <c r="J67" i="72" s="1"/>
  <c r="I66" i="72"/>
  <c r="J66" i="72" s="1"/>
  <c r="I63" i="72"/>
  <c r="J63" i="72" s="1"/>
  <c r="I62" i="72"/>
  <c r="J62" i="72" s="1"/>
  <c r="I60" i="72"/>
  <c r="J60" i="72" s="1"/>
  <c r="I59" i="72"/>
  <c r="J59" i="72" s="1"/>
  <c r="I57" i="72"/>
  <c r="J57" i="72" s="1"/>
  <c r="I56" i="72"/>
  <c r="J56" i="72" s="1"/>
  <c r="I54" i="72"/>
  <c r="J54" i="72" s="1"/>
  <c r="I53" i="72"/>
  <c r="J53" i="72" s="1"/>
  <c r="I48" i="72"/>
  <c r="J48" i="72" s="1"/>
  <c r="I46" i="72"/>
  <c r="J46" i="72" s="1"/>
  <c r="I45" i="72"/>
  <c r="J45" i="72" s="1"/>
  <c r="I44" i="72"/>
  <c r="J44" i="72" s="1"/>
  <c r="I43" i="72"/>
  <c r="J43" i="72" s="1"/>
  <c r="I42" i="72"/>
  <c r="J42" i="72" s="1"/>
  <c r="I41" i="72"/>
  <c r="J41" i="72" s="1"/>
  <c r="I39" i="72"/>
  <c r="J39" i="72" s="1"/>
  <c r="I38" i="72"/>
  <c r="J38" i="72" s="1"/>
  <c r="I37" i="72"/>
  <c r="J37" i="72" s="1"/>
  <c r="I35" i="72"/>
  <c r="J35" i="72" s="1"/>
  <c r="I33" i="72"/>
  <c r="J33" i="72" s="1"/>
  <c r="I32" i="72"/>
  <c r="J32" i="72" s="1"/>
  <c r="I31" i="72"/>
  <c r="J31" i="72" s="1"/>
  <c r="I29" i="72"/>
  <c r="J29" i="72" s="1"/>
  <c r="I28" i="72"/>
  <c r="J28" i="72" s="1"/>
  <c r="I27" i="72"/>
  <c r="J27" i="72" s="1"/>
  <c r="I26" i="72"/>
  <c r="J26" i="72" s="1"/>
  <c r="I25" i="72"/>
  <c r="J25" i="72" s="1"/>
  <c r="I24" i="72"/>
  <c r="J24" i="72" s="1"/>
  <c r="I23" i="72"/>
  <c r="J23" i="72" s="1"/>
  <c r="I6" i="72"/>
  <c r="J6" i="72" s="1"/>
  <c r="I5" i="72"/>
  <c r="J5" i="72" s="1"/>
  <c r="I204" i="87"/>
  <c r="J204" i="87" s="1"/>
  <c r="I203" i="87"/>
  <c r="J203" i="87" s="1"/>
  <c r="I186" i="87"/>
  <c r="J186" i="87" s="1"/>
  <c r="I185" i="87"/>
  <c r="J185" i="87" s="1"/>
  <c r="I163" i="87"/>
  <c r="J163" i="87" s="1"/>
  <c r="I160" i="87"/>
  <c r="J160" i="87" s="1"/>
  <c r="I141" i="87"/>
  <c r="J141" i="87" s="1"/>
  <c r="I140" i="87"/>
  <c r="J140" i="87" s="1"/>
  <c r="I138" i="87"/>
  <c r="J138" i="87" s="1"/>
  <c r="I137" i="87"/>
  <c r="J137" i="87" s="1"/>
  <c r="I136" i="87"/>
  <c r="J136" i="87" s="1"/>
  <c r="I134" i="87"/>
  <c r="J134" i="87" s="1"/>
  <c r="I131" i="87"/>
  <c r="J131" i="87" s="1"/>
  <c r="I130" i="87"/>
  <c r="J130" i="87" s="1"/>
  <c r="I127" i="87"/>
  <c r="J127" i="87" s="1"/>
  <c r="I126" i="87"/>
  <c r="J126" i="87" s="1"/>
  <c r="I125" i="87"/>
  <c r="J125" i="87" s="1"/>
  <c r="I124" i="87"/>
  <c r="J124" i="87" s="1"/>
  <c r="I122" i="87"/>
  <c r="J122" i="87" s="1"/>
  <c r="I121" i="87"/>
  <c r="J121" i="87" s="1"/>
  <c r="I119" i="87"/>
  <c r="J119" i="87" s="1"/>
  <c r="I118" i="87"/>
  <c r="J118" i="87" s="1"/>
  <c r="I113" i="87"/>
  <c r="J113" i="87" s="1"/>
  <c r="I112" i="87"/>
  <c r="J112" i="87" s="1"/>
  <c r="I111" i="87"/>
  <c r="J111" i="87" s="1"/>
  <c r="I109" i="87"/>
  <c r="J109" i="87" s="1"/>
  <c r="I108" i="87"/>
  <c r="J108" i="87" s="1"/>
  <c r="I106" i="87"/>
  <c r="J106" i="87" s="1"/>
  <c r="I105" i="87"/>
  <c r="J105" i="87" s="1"/>
  <c r="I103" i="87"/>
  <c r="J103" i="87" s="1"/>
  <c r="I102" i="87"/>
  <c r="J102" i="87" s="1"/>
  <c r="I98" i="87"/>
  <c r="J98" i="87" s="1"/>
  <c r="I97" i="87"/>
  <c r="J97" i="87" s="1"/>
  <c r="I95" i="87"/>
  <c r="J95" i="87" s="1"/>
  <c r="I94" i="87"/>
  <c r="J94" i="87" s="1"/>
  <c r="I93" i="87"/>
  <c r="J93" i="87" s="1"/>
  <c r="I92" i="87"/>
  <c r="J92" i="87" s="1"/>
  <c r="I89" i="87"/>
  <c r="J89" i="87" s="1"/>
  <c r="I88" i="87"/>
  <c r="J88" i="87" s="1"/>
  <c r="I83" i="87"/>
  <c r="J83" i="87" s="1"/>
  <c r="I82" i="87"/>
  <c r="J82" i="87" s="1"/>
  <c r="I75" i="87"/>
  <c r="J75" i="87" s="1"/>
  <c r="I74" i="87"/>
  <c r="J74" i="87" s="1"/>
  <c r="I79" i="87"/>
  <c r="J79" i="87" s="1"/>
  <c r="I78" i="87"/>
  <c r="J78" i="87" s="1"/>
  <c r="I72" i="87"/>
  <c r="J72" i="87" s="1"/>
  <c r="I71" i="87"/>
  <c r="J71" i="87" s="1"/>
  <c r="I67" i="87"/>
  <c r="J67" i="87" s="1"/>
  <c r="I66" i="87"/>
  <c r="J66" i="87" s="1"/>
  <c r="I64" i="87"/>
  <c r="J64" i="87" s="1"/>
  <c r="I63" i="87"/>
  <c r="J63" i="87" s="1"/>
  <c r="I57" i="87"/>
  <c r="J57" i="87" s="1"/>
  <c r="I56" i="87"/>
  <c r="J56" i="87" s="1"/>
  <c r="I60" i="87"/>
  <c r="J60" i="87" s="1"/>
  <c r="I59" i="87"/>
  <c r="J59" i="87" s="1"/>
  <c r="I54" i="87"/>
  <c r="J54" i="87" s="1"/>
  <c r="I53" i="87"/>
  <c r="J53" i="87" s="1"/>
  <c r="I38" i="87"/>
  <c r="J38" i="87" s="1"/>
  <c r="I15" i="87"/>
  <c r="J15" i="87" s="1"/>
  <c r="I6" i="87"/>
  <c r="J6" i="87" s="1"/>
  <c r="I5" i="87"/>
  <c r="J5" i="87" s="1"/>
  <c r="I53" i="106"/>
  <c r="J53" i="106" s="1"/>
  <c r="I52" i="106"/>
  <c r="J52" i="106" s="1"/>
  <c r="I34" i="106"/>
  <c r="J34" i="106" s="1"/>
  <c r="I33" i="106"/>
  <c r="J33" i="106" s="1"/>
  <c r="I28" i="106"/>
  <c r="J28" i="106" s="1"/>
  <c r="I27" i="106"/>
  <c r="J27" i="106" s="1"/>
  <c r="I25" i="106"/>
  <c r="J25" i="106" s="1"/>
  <c r="I24" i="106"/>
  <c r="J24" i="106" s="1"/>
  <c r="I22" i="106"/>
  <c r="J22" i="106" s="1"/>
  <c r="I21" i="106"/>
  <c r="J21" i="106" s="1"/>
  <c r="I19" i="106"/>
  <c r="J19" i="106" s="1"/>
  <c r="I6" i="106"/>
  <c r="J6" i="106" s="1"/>
  <c r="I10" i="137"/>
  <c r="J10" i="137" s="1"/>
  <c r="I9" i="137"/>
  <c r="J9" i="137" s="1"/>
  <c r="I60" i="125"/>
  <c r="J60" i="125" s="1"/>
  <c r="I59" i="125"/>
  <c r="J59" i="125" s="1"/>
  <c r="I57" i="125"/>
  <c r="J57" i="125" s="1"/>
  <c r="I56" i="125"/>
  <c r="J56" i="125" s="1"/>
  <c r="I51" i="125"/>
  <c r="J51" i="125" s="1"/>
  <c r="I50" i="125"/>
  <c r="J50" i="125" s="1"/>
  <c r="I49" i="125"/>
  <c r="J49" i="125" s="1"/>
  <c r="I47" i="125"/>
  <c r="J47" i="125" s="1"/>
  <c r="I46" i="125"/>
  <c r="J46" i="125" s="1"/>
  <c r="I45" i="125"/>
  <c r="J45" i="125" s="1"/>
  <c r="I74" i="105"/>
  <c r="J74" i="105" s="1"/>
  <c r="I73" i="105"/>
  <c r="J73" i="105" s="1"/>
  <c r="I66" i="105"/>
  <c r="J66" i="105" s="1"/>
  <c r="I65" i="105"/>
  <c r="J65" i="105" s="1"/>
  <c r="I64" i="105"/>
  <c r="J64" i="105" s="1"/>
  <c r="I59" i="105"/>
  <c r="J59" i="105" s="1"/>
  <c r="I58" i="105"/>
  <c r="J58" i="105" s="1"/>
  <c r="I50" i="105"/>
  <c r="J50" i="105" s="1"/>
  <c r="I49" i="105"/>
  <c r="J49" i="105" s="1"/>
  <c r="I46" i="105"/>
  <c r="J46" i="105" s="1"/>
  <c r="I45" i="105"/>
  <c r="J45" i="105" s="1"/>
  <c r="I43" i="105"/>
  <c r="J43" i="105" s="1"/>
  <c r="I42" i="105"/>
  <c r="J42" i="105" s="1"/>
  <c r="I34" i="105"/>
  <c r="J34" i="105" s="1"/>
  <c r="I56" i="104"/>
  <c r="J56" i="104" s="1"/>
  <c r="I54" i="104"/>
  <c r="J54" i="104" s="1"/>
  <c r="I53" i="104"/>
  <c r="J53" i="104" s="1"/>
  <c r="I51" i="104"/>
  <c r="J51" i="104" s="1"/>
  <c r="I50" i="104"/>
  <c r="J50" i="104" s="1"/>
  <c r="I48" i="104"/>
  <c r="J48" i="104" s="1"/>
  <c r="I47" i="104"/>
  <c r="J47" i="104" s="1"/>
  <c r="I35" i="104"/>
  <c r="J35" i="104" s="1"/>
  <c r="I34" i="104"/>
  <c r="J34" i="104" s="1"/>
  <c r="I22" i="104"/>
  <c r="J22" i="104" s="1"/>
  <c r="I21" i="104"/>
  <c r="J21" i="104" s="1"/>
  <c r="M23" i="94"/>
  <c r="N23" i="94" s="1"/>
  <c r="M22" i="94"/>
  <c r="N22" i="94" s="1"/>
  <c r="O22" i="145" l="1"/>
  <c r="N30" i="145"/>
  <c r="M31" i="94"/>
  <c r="N31" i="94" s="1"/>
  <c r="M30" i="94"/>
  <c r="N30" i="94" s="1"/>
  <c r="M38" i="94"/>
  <c r="N38" i="94" s="1"/>
  <c r="M37" i="94"/>
  <c r="N37" i="94" s="1"/>
  <c r="M36" i="94"/>
  <c r="N36" i="94" s="1"/>
  <c r="M61" i="94"/>
  <c r="N61" i="94" s="1"/>
  <c r="M60" i="94"/>
  <c r="N60" i="94" s="1"/>
  <c r="M62" i="94"/>
  <c r="N62" i="94" s="1"/>
  <c r="M67" i="94"/>
  <c r="N67" i="94" s="1"/>
  <c r="M66" i="94"/>
  <c r="N66" i="94" s="1"/>
  <c r="M65" i="94"/>
  <c r="N65" i="94" s="1"/>
  <c r="M74" i="94"/>
  <c r="N74" i="94" s="1"/>
  <c r="M77" i="94"/>
  <c r="N77" i="94" s="1"/>
  <c r="M78" i="94"/>
  <c r="N78" i="94" s="1"/>
  <c r="M89" i="94"/>
  <c r="N89" i="94" s="1"/>
  <c r="M111" i="94"/>
  <c r="N111" i="94" s="1"/>
  <c r="M110" i="94"/>
  <c r="N110" i="94" s="1"/>
  <c r="M103" i="94"/>
  <c r="N103" i="94" s="1"/>
  <c r="M102" i="94"/>
  <c r="N102" i="94" s="1"/>
  <c r="M135" i="94"/>
  <c r="N135" i="94" s="1"/>
  <c r="M134" i="94"/>
  <c r="N134" i="94" s="1"/>
  <c r="M183" i="94"/>
  <c r="N183" i="94" s="1"/>
  <c r="M182" i="94"/>
  <c r="N182" i="94" s="1"/>
  <c r="M181" i="94"/>
  <c r="N181" i="94" s="1"/>
  <c r="N46" i="4" l="1"/>
  <c r="BI64" i="4"/>
  <c r="BH64" i="4"/>
  <c r="AC59" i="4"/>
  <c r="AC58" i="4"/>
  <c r="AC35" i="4"/>
  <c r="AC34" i="4"/>
  <c r="AC22" i="4"/>
  <c r="AC21" i="4"/>
  <c r="T61" i="4"/>
  <c r="S61" i="4"/>
  <c r="S35" i="4"/>
  <c r="T35" i="4"/>
  <c r="T34" i="4"/>
  <c r="S34" i="4"/>
  <c r="O66" i="4"/>
  <c r="N35" i="4"/>
  <c r="N34" i="4"/>
  <c r="N33" i="4"/>
  <c r="N30" i="4"/>
  <c r="N29" i="4"/>
  <c r="DO35" i="4"/>
  <c r="DO34" i="4"/>
  <c r="CX35" i="4"/>
  <c r="CY35" i="4"/>
  <c r="CY34" i="4"/>
  <c r="CX34" i="4"/>
  <c r="CR35" i="4"/>
  <c r="CS35" i="4"/>
  <c r="CS34" i="4"/>
  <c r="CR34" i="4"/>
  <c r="CS25" i="4"/>
  <c r="CR25" i="4"/>
  <c r="CM47" i="4"/>
  <c r="CL47" i="4"/>
  <c r="CL35" i="4"/>
  <c r="CM35" i="4"/>
  <c r="CM34" i="4"/>
  <c r="CL34" i="4"/>
  <c r="CM25" i="4"/>
  <c r="CL25" i="4"/>
  <c r="CI60" i="4"/>
  <c r="CH35" i="4"/>
  <c r="CI35" i="4"/>
  <c r="CI34" i="4"/>
  <c r="CH34" i="4"/>
  <c r="CI30" i="4"/>
  <c r="CH30" i="4"/>
  <c r="CI25" i="4"/>
  <c r="CH25" i="4"/>
  <c r="CI21" i="4"/>
  <c r="CH21" i="4"/>
  <c r="CF58" i="4"/>
  <c r="CE58" i="4"/>
  <c r="CE35" i="4"/>
  <c r="CF35" i="4"/>
  <c r="CF34" i="4"/>
  <c r="CE34" i="4"/>
  <c r="CF25" i="4"/>
  <c r="CE25" i="4"/>
  <c r="CF22" i="4"/>
  <c r="CE22" i="4"/>
  <c r="CA35" i="4"/>
  <c r="CB35" i="4"/>
  <c r="CB34" i="4"/>
  <c r="CA34" i="4"/>
  <c r="BY35" i="4"/>
  <c r="BY34" i="4"/>
  <c r="BX35" i="4"/>
  <c r="BW35" i="4"/>
  <c r="BW34" i="4"/>
  <c r="BX34" i="4"/>
  <c r="BT35" i="4"/>
  <c r="BU35" i="4"/>
  <c r="BU34" i="4"/>
  <c r="BT34" i="4"/>
  <c r="BR35" i="4"/>
  <c r="BQ35" i="4"/>
  <c r="BQ34" i="4"/>
  <c r="BR34" i="4"/>
  <c r="BN35" i="4"/>
  <c r="BO35" i="4"/>
  <c r="BO34" i="4"/>
  <c r="BN34" i="4"/>
  <c r="BK35" i="4"/>
  <c r="BL35" i="4"/>
  <c r="BL34" i="4"/>
  <c r="BK34" i="4"/>
  <c r="BE35" i="4"/>
  <c r="BF35" i="4"/>
  <c r="BF34" i="4"/>
  <c r="BE34" i="4"/>
  <c r="BC35" i="4"/>
  <c r="BB35" i="4"/>
  <c r="BB34" i="4"/>
  <c r="BC34" i="4"/>
  <c r="BC30" i="4"/>
  <c r="BB30" i="4"/>
  <c r="AY35" i="4"/>
  <c r="AZ35" i="4"/>
  <c r="AZ34" i="4"/>
  <c r="AY34" i="4"/>
  <c r="AY30" i="4"/>
  <c r="AZ30" i="4"/>
  <c r="AV59" i="4"/>
  <c r="AW58" i="4"/>
  <c r="AW59" i="4"/>
  <c r="AV58" i="4"/>
  <c r="AW35" i="4"/>
  <c r="AV35" i="4"/>
  <c r="AV34" i="4"/>
  <c r="AW34" i="4"/>
  <c r="AW30" i="4"/>
  <c r="AV30" i="4"/>
  <c r="AW21" i="4"/>
  <c r="AV21" i="4"/>
  <c r="AQ35" i="4"/>
  <c r="AQ34" i="4"/>
  <c r="AP58" i="4"/>
  <c r="AP35" i="4"/>
  <c r="AP34" i="4"/>
  <c r="AO61" i="4" l="1"/>
  <c r="AO58" i="4" l="1"/>
  <c r="AO35" i="4"/>
  <c r="AO34" i="4"/>
  <c r="AO26" i="4"/>
  <c r="AO22" i="4"/>
  <c r="AN60" i="4" l="1"/>
  <c r="AM60" i="4"/>
  <c r="AN35" i="4"/>
  <c r="AM35" i="4"/>
  <c r="AM34" i="4"/>
  <c r="AN34" i="4"/>
  <c r="AJ28" i="4"/>
  <c r="AK28" i="4"/>
  <c r="AJ58" i="4"/>
  <c r="AK58" i="4"/>
  <c r="AK35" i="4"/>
  <c r="AJ35" i="4"/>
  <c r="AJ34" i="4"/>
  <c r="AK34" i="4"/>
  <c r="AS59" i="4"/>
  <c r="AT59" i="4"/>
  <c r="AT58" i="4"/>
  <c r="AS58" i="4"/>
  <c r="AT35" i="4"/>
  <c r="AS35" i="4"/>
  <c r="AS34" i="4"/>
  <c r="AT34" i="4"/>
  <c r="AS22" i="4"/>
  <c r="AT22" i="4"/>
  <c r="AK22" i="4"/>
  <c r="AJ22" i="4"/>
  <c r="AJ21" i="4"/>
  <c r="AK21" i="4"/>
  <c r="AH35" i="4"/>
  <c r="AG35" i="4"/>
  <c r="AG34" i="4"/>
  <c r="AH34" i="4"/>
  <c r="AG30" i="4"/>
  <c r="AH30" i="4"/>
  <c r="AG22" i="4"/>
  <c r="AH22" i="4"/>
  <c r="AH21" i="4"/>
  <c r="AG21" i="4"/>
  <c r="AB35" i="4"/>
  <c r="AB34" i="4"/>
  <c r="AB22" i="4"/>
  <c r="AB21" i="4"/>
  <c r="H302" i="128" l="1"/>
  <c r="H308" i="128"/>
  <c r="H306" i="128"/>
  <c r="H310" i="128"/>
  <c r="G310" i="128"/>
  <c r="F310" i="128"/>
  <c r="DJ34" i="4"/>
  <c r="K46" i="1" l="1"/>
  <c r="K77" i="1"/>
  <c r="K76" i="1"/>
  <c r="H297" i="128" l="1"/>
  <c r="H300" i="128"/>
  <c r="H301" i="128"/>
  <c r="H299" i="128"/>
  <c r="H304" i="128"/>
  <c r="G304" i="128"/>
  <c r="F304" i="128"/>
  <c r="M13" i="94" l="1"/>
  <c r="N13" i="94" s="1"/>
  <c r="P267" i="94"/>
  <c r="P168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I148" i="87" l="1"/>
  <c r="J148" i="87" s="1"/>
  <c r="I147" i="87"/>
  <c r="J147" i="87" s="1"/>
  <c r="I146" i="87"/>
  <c r="J146" i="87" s="1"/>
  <c r="I145" i="87"/>
  <c r="J145" i="87" s="1"/>
  <c r="I144" i="87"/>
  <c r="J144" i="87" s="1"/>
  <c r="I143" i="87"/>
  <c r="J143" i="87" s="1"/>
  <c r="M98" i="94"/>
  <c r="N98" i="94" s="1"/>
  <c r="M97" i="94"/>
  <c r="N97" i="94" s="1"/>
  <c r="DL59" i="4" l="1"/>
  <c r="DL33" i="4"/>
  <c r="K104" i="1"/>
  <c r="H284" i="128" l="1"/>
  <c r="H283" i="128"/>
  <c r="H282" i="128"/>
  <c r="H281" i="128"/>
  <c r="G286" i="128"/>
  <c r="H286" i="128"/>
  <c r="F286" i="128"/>
  <c r="N120" i="111" l="1"/>
  <c r="N121" i="111"/>
  <c r="I5" i="125"/>
  <c r="J5" i="125" s="1"/>
  <c r="I6" i="125"/>
  <c r="J6" i="125" s="1"/>
  <c r="I9" i="125"/>
  <c r="J9" i="125" s="1"/>
  <c r="I10" i="125"/>
  <c r="J10" i="125" s="1"/>
  <c r="I12" i="125"/>
  <c r="J12" i="125" s="1"/>
  <c r="I13" i="125"/>
  <c r="J13" i="125" s="1"/>
  <c r="I15" i="125"/>
  <c r="J15" i="125" s="1"/>
  <c r="I16" i="125"/>
  <c r="J16" i="125" s="1"/>
  <c r="I18" i="125"/>
  <c r="J18" i="125" s="1"/>
  <c r="I19" i="125"/>
  <c r="J19" i="125" s="1"/>
  <c r="I21" i="125"/>
  <c r="J21" i="125" s="1"/>
  <c r="I22" i="125"/>
  <c r="J22" i="125" s="1"/>
  <c r="I24" i="125"/>
  <c r="J24" i="125" s="1"/>
  <c r="I25" i="125"/>
  <c r="J25" i="125" s="1"/>
  <c r="I27" i="125"/>
  <c r="J27" i="125" s="1"/>
  <c r="I28" i="125"/>
  <c r="J28" i="125" s="1"/>
  <c r="I30" i="125"/>
  <c r="J30" i="125" s="1"/>
  <c r="I31" i="125"/>
  <c r="J31" i="125" s="1"/>
  <c r="I33" i="125"/>
  <c r="J33" i="125" s="1"/>
  <c r="I34" i="125"/>
  <c r="J34" i="125" s="1"/>
  <c r="I36" i="125"/>
  <c r="J36" i="125" s="1"/>
  <c r="I37" i="125"/>
  <c r="J37" i="125" s="1"/>
  <c r="I39" i="125"/>
  <c r="J39" i="125" s="1"/>
  <c r="I40" i="125"/>
  <c r="J40" i="125" s="1"/>
  <c r="I42" i="125"/>
  <c r="J42" i="125" s="1"/>
  <c r="I43" i="125"/>
  <c r="J43" i="125" s="1"/>
  <c r="I53" i="125"/>
  <c r="J53" i="125" s="1"/>
  <c r="I54" i="125"/>
  <c r="J54" i="125" s="1"/>
  <c r="I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J117" i="73"/>
  <c r="K117" i="73" s="1"/>
  <c r="J118" i="73"/>
  <c r="K118" i="73" s="1"/>
  <c r="J119" i="73"/>
  <c r="K119" i="73" s="1"/>
  <c r="J121" i="73"/>
  <c r="K121" i="73" s="1"/>
  <c r="G280" i="128"/>
  <c r="F280" i="128"/>
  <c r="H279" i="128"/>
  <c r="H278" i="128"/>
  <c r="H277" i="128"/>
  <c r="H276" i="128"/>
  <c r="H280" i="128" s="1"/>
  <c r="G275" i="128"/>
  <c r="F275" i="128"/>
  <c r="H274" i="128"/>
  <c r="H273" i="128"/>
  <c r="H272" i="128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H259" i="128"/>
  <c r="H257" i="128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H237" i="128"/>
  <c r="J237" i="128" s="1"/>
  <c r="H236" i="128"/>
  <c r="H240" i="128" s="1"/>
  <c r="G235" i="128"/>
  <c r="F235" i="128"/>
  <c r="H234" i="128"/>
  <c r="H233" i="128"/>
  <c r="H232" i="128"/>
  <c r="H231" i="128"/>
  <c r="H235" i="128" s="1"/>
  <c r="G230" i="128"/>
  <c r="F230" i="128"/>
  <c r="H229" i="128"/>
  <c r="J229" i="128" s="1"/>
  <c r="H228" i="128"/>
  <c r="H227" i="128"/>
  <c r="H226" i="128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L65" i="4"/>
  <c r="AL66" i="4"/>
  <c r="AI65" i="4"/>
  <c r="I41" i="125" l="1"/>
  <c r="J41" i="125" s="1"/>
  <c r="I58" i="125"/>
  <c r="J58" i="125" s="1"/>
  <c r="I8" i="125"/>
  <c r="J8" i="125" s="1"/>
  <c r="I20" i="125"/>
  <c r="J20" i="125" s="1"/>
  <c r="I14" i="125"/>
  <c r="J14" i="125" s="1"/>
  <c r="I29" i="125"/>
  <c r="J29" i="125" s="1"/>
  <c r="I38" i="125"/>
  <c r="J38" i="125" s="1"/>
  <c r="I35" i="125"/>
  <c r="J35" i="125" s="1"/>
  <c r="I62" i="125"/>
  <c r="J62" i="125" s="1"/>
  <c r="I52" i="125"/>
  <c r="J52" i="125" s="1"/>
  <c r="I48" i="125"/>
  <c r="J48" i="125" s="1"/>
  <c r="I44" i="125"/>
  <c r="J44" i="125" s="1"/>
  <c r="I23" i="125"/>
  <c r="J23" i="125" s="1"/>
  <c r="I11" i="125"/>
  <c r="J11" i="125" s="1"/>
  <c r="I32" i="125"/>
  <c r="J32" i="125" s="1"/>
  <c r="I17" i="125"/>
  <c r="J17" i="125" s="1"/>
  <c r="I26" i="125"/>
  <c r="J26" i="125" s="1"/>
  <c r="I55" i="125"/>
  <c r="J55" i="125" s="1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L77" i="128"/>
  <c r="H213" i="128"/>
  <c r="F212" i="128"/>
  <c r="H207" i="128"/>
  <c r="H153" i="128"/>
  <c r="F159" i="128" s="1"/>
  <c r="F208" i="128"/>
  <c r="F154" i="128"/>
  <c r="L144" i="128"/>
  <c r="L149" i="128" s="1"/>
  <c r="H150" i="128"/>
  <c r="F155" i="128"/>
  <c r="H71" i="128"/>
  <c r="H211" i="128"/>
  <c r="I66" i="125" l="1"/>
  <c r="J66" i="125" s="1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M169" i="94"/>
  <c r="N169" i="94" s="1"/>
  <c r="M168" i="94"/>
  <c r="N168" i="94" s="1"/>
  <c r="M209" i="94"/>
  <c r="N209" i="94" s="1"/>
  <c r="M208" i="94"/>
  <c r="N208" i="94" s="1"/>
  <c r="M203" i="94"/>
  <c r="N203" i="94" s="1"/>
  <c r="M268" i="94"/>
  <c r="N268" i="94" s="1"/>
  <c r="M267" i="94"/>
  <c r="N267" i="94" s="1"/>
  <c r="O169" i="94" l="1"/>
  <c r="O268" i="94"/>
  <c r="H171" i="128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K136" i="111" s="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O139" i="111" l="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O136" i="111" s="1"/>
  <c r="H172" i="128" l="1"/>
  <c r="H173" i="128" s="1"/>
  <c r="F167" i="128"/>
  <c r="H166" i="128"/>
  <c r="H167" i="128" s="1"/>
  <c r="H161" i="128"/>
  <c r="K34" i="1"/>
  <c r="M6" i="1"/>
  <c r="I10" i="139"/>
  <c r="J10" i="139" s="1"/>
  <c r="L223" i="128" l="1"/>
  <c r="L224" i="128" s="1"/>
  <c r="M318" i="94" l="1"/>
  <c r="N318" i="94" s="1"/>
  <c r="M293" i="94"/>
  <c r="N293" i="94" s="1"/>
  <c r="M292" i="94"/>
  <c r="N292" i="94" s="1"/>
  <c r="B37" i="134" l="1"/>
  <c r="F28" i="141" l="1"/>
  <c r="I29" i="104"/>
  <c r="J29" i="104" s="1"/>
  <c r="I28" i="104"/>
  <c r="J28" i="104" s="1"/>
  <c r="I27" i="104"/>
  <c r="J27" i="104" s="1"/>
  <c r="I26" i="104"/>
  <c r="J26" i="104" s="1"/>
  <c r="I25" i="104"/>
  <c r="J25" i="104" s="1"/>
  <c r="H28" i="141" l="1"/>
  <c r="H30" i="141" s="1"/>
  <c r="G30" i="141"/>
  <c r="N65" i="4"/>
  <c r="I65" i="4" s="1"/>
  <c r="J108" i="73"/>
  <c r="K108" i="73" s="1"/>
  <c r="J107" i="73"/>
  <c r="K107" i="73" s="1"/>
  <c r="K50" i="1"/>
  <c r="J49" i="73" s="1"/>
  <c r="K49" i="73" s="1"/>
  <c r="BH59" i="4"/>
  <c r="BH58" i="4"/>
  <c r="CA59" i="4" l="1"/>
  <c r="CA58" i="4"/>
  <c r="M174" i="94"/>
  <c r="N174" i="94" s="1"/>
  <c r="M171" i="94"/>
  <c r="N171" i="94" s="1"/>
  <c r="M177" i="94"/>
  <c r="N177" i="94" s="1"/>
  <c r="M178" i="94"/>
  <c r="N178" i="94" s="1"/>
  <c r="M176" i="94"/>
  <c r="N176" i="94" s="1"/>
  <c r="M175" i="94"/>
  <c r="N175" i="94" s="1"/>
  <c r="M173" i="94"/>
  <c r="N173" i="94" s="1"/>
  <c r="M172" i="94"/>
  <c r="N172" i="94" s="1"/>
  <c r="M170" i="94"/>
  <c r="N170" i="94" s="1"/>
  <c r="M166" i="94"/>
  <c r="N166" i="94" s="1"/>
  <c r="O175" i="94" l="1"/>
  <c r="O177" i="94"/>
  <c r="O170" i="94"/>
  <c r="O172" i="94"/>
  <c r="O166" i="94"/>
  <c r="O171" i="94"/>
  <c r="O173" i="94"/>
  <c r="M180" i="94"/>
  <c r="N180" i="94" s="1"/>
  <c r="M15" i="1"/>
  <c r="I19" i="72"/>
  <c r="J19" i="72" s="1"/>
  <c r="DH34" i="4" l="1"/>
  <c r="DI34" i="4"/>
  <c r="DB34" i="4"/>
  <c r="DC34" i="4"/>
  <c r="I41" i="87" l="1"/>
  <c r="J41" i="87" s="1"/>
  <c r="I39" i="87"/>
  <c r="J39" i="87" s="1"/>
  <c r="I58" i="104" l="1"/>
  <c r="J58" i="104" s="1"/>
  <c r="M27" i="94" l="1"/>
  <c r="N27" i="94" s="1"/>
  <c r="M75" i="94"/>
  <c r="N75" i="94" s="1"/>
  <c r="M137" i="94" l="1"/>
  <c r="N137" i="94" s="1"/>
  <c r="M136" i="94"/>
  <c r="N136" i="94" s="1"/>
  <c r="M242" i="94"/>
  <c r="N242" i="94" s="1"/>
  <c r="M241" i="94"/>
  <c r="N241" i="94" s="1"/>
  <c r="M226" i="94"/>
  <c r="N226" i="94" s="1"/>
  <c r="M225" i="94"/>
  <c r="N225" i="94" s="1"/>
  <c r="CC59" i="4" l="1"/>
  <c r="I11" i="141" l="1"/>
  <c r="G11" i="141"/>
  <c r="H11" i="141" s="1"/>
  <c r="E28" i="141" l="1"/>
  <c r="T18" i="141" l="1"/>
  <c r="U18" i="141" s="1"/>
  <c r="DO59" i="4" l="1"/>
  <c r="J120" i="73" l="1"/>
  <c r="K120" i="73" s="1"/>
  <c r="K100" i="1"/>
  <c r="D234" i="73"/>
  <c r="J216" i="73" l="1"/>
  <c r="J116" i="73"/>
  <c r="K116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G16" i="14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G15" i="141"/>
  <c r="H15" i="141" s="1"/>
  <c r="E15" i="141"/>
  <c r="C24" i="141"/>
  <c r="D24" i="141" s="1"/>
  <c r="E24" i="141" s="1"/>
  <c r="E30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H25" i="141"/>
  <c r="H7" i="141"/>
  <c r="I26" i="141"/>
  <c r="I8" i="141"/>
  <c r="J10" i="141" l="1"/>
  <c r="J26" i="141"/>
  <c r="J8" i="141"/>
  <c r="I25" i="141"/>
  <c r="I7" i="141"/>
  <c r="I24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E5" i="141"/>
  <c r="AC46" i="4"/>
  <c r="AC38" i="4"/>
  <c r="AC37" i="4"/>
  <c r="AC36" i="4"/>
  <c r="O22" i="75"/>
  <c r="S57" i="4"/>
  <c r="I21" i="127"/>
  <c r="J21" i="127" s="1"/>
  <c r="I20" i="127"/>
  <c r="J20" i="127" s="1"/>
  <c r="I17" i="127"/>
  <c r="J17" i="127" s="1"/>
  <c r="I15" i="127"/>
  <c r="J15" i="127" s="1"/>
  <c r="I14" i="127"/>
  <c r="J14" i="127" s="1"/>
  <c r="I12" i="127"/>
  <c r="J12" i="127" s="1"/>
  <c r="I11" i="127"/>
  <c r="J11" i="127" s="1"/>
  <c r="I9" i="127"/>
  <c r="J9" i="127" s="1"/>
  <c r="I8" i="127"/>
  <c r="J8" i="127" s="1"/>
  <c r="I6" i="127"/>
  <c r="J6" i="127" s="1"/>
  <c r="I5" i="127"/>
  <c r="J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T58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M91" i="94"/>
  <c r="N91" i="94" s="1"/>
  <c r="M86" i="94"/>
  <c r="N86" i="94" s="1"/>
  <c r="M85" i="94"/>
  <c r="N85" i="94" s="1"/>
  <c r="M84" i="94"/>
  <c r="N84" i="94" s="1"/>
  <c r="M83" i="94"/>
  <c r="N83" i="94" s="1"/>
  <c r="M82" i="94"/>
  <c r="N82" i="94" s="1"/>
  <c r="M81" i="94"/>
  <c r="N81" i="94" s="1"/>
  <c r="R26" i="141" l="1"/>
  <c r="R8" i="141"/>
  <c r="Q25" i="141"/>
  <c r="Q7" i="141"/>
  <c r="Q24" i="141"/>
  <c r="K20" i="141"/>
  <c r="K21" i="141" s="1"/>
  <c r="H38" i="141"/>
  <c r="I59" i="106"/>
  <c r="J59" i="106" s="1"/>
  <c r="I58" i="106"/>
  <c r="J58" i="106" s="1"/>
  <c r="I121" i="105"/>
  <c r="J121" i="105" s="1"/>
  <c r="I120" i="105"/>
  <c r="J120" i="105" s="1"/>
  <c r="M290" i="94"/>
  <c r="N290" i="94" s="1"/>
  <c r="M289" i="94"/>
  <c r="N289" i="94" s="1"/>
  <c r="I183" i="87"/>
  <c r="J183" i="87" s="1"/>
  <c r="I182" i="87"/>
  <c r="J182" i="87" s="1"/>
  <c r="I181" i="87"/>
  <c r="J181" i="87" s="1"/>
  <c r="I179" i="87"/>
  <c r="J179" i="87" s="1"/>
  <c r="I178" i="87"/>
  <c r="J178" i="87" s="1"/>
  <c r="I172" i="87"/>
  <c r="J172" i="87" s="1"/>
  <c r="I171" i="87"/>
  <c r="J171" i="87" s="1"/>
  <c r="I170" i="87"/>
  <c r="J170" i="87" s="1"/>
  <c r="I169" i="87"/>
  <c r="J169" i="87" s="1"/>
  <c r="I168" i="87"/>
  <c r="J168" i="87" s="1"/>
  <c r="I167" i="87"/>
  <c r="J167" i="87" s="1"/>
  <c r="I166" i="87"/>
  <c r="J166" i="87" s="1"/>
  <c r="I165" i="87"/>
  <c r="J165" i="87" s="1"/>
  <c r="I153" i="87"/>
  <c r="J153" i="87" s="1"/>
  <c r="I152" i="87"/>
  <c r="J152" i="87" s="1"/>
  <c r="M281" i="94"/>
  <c r="N281" i="94" s="1"/>
  <c r="M280" i="94"/>
  <c r="N280" i="94" s="1"/>
  <c r="I116" i="87"/>
  <c r="J116" i="87" s="1"/>
  <c r="I115" i="87"/>
  <c r="J115" i="87" s="1"/>
  <c r="M100" i="94" l="1"/>
  <c r="N100" i="94" s="1"/>
  <c r="R24" i="141"/>
  <c r="R25" i="141"/>
  <c r="R7" i="141"/>
  <c r="S26" i="141"/>
  <c r="S8" i="141"/>
  <c r="L20" i="141"/>
  <c r="L21" i="141" s="1"/>
  <c r="I38" i="141"/>
  <c r="I151" i="87"/>
  <c r="J151" i="87" s="1"/>
  <c r="I169" i="72"/>
  <c r="J169" i="72" s="1"/>
  <c r="I168" i="72"/>
  <c r="J168" i="72" s="1"/>
  <c r="I206" i="87"/>
  <c r="J206" i="87" s="1"/>
  <c r="I205" i="87"/>
  <c r="J205" i="87" s="1"/>
  <c r="I156" i="105"/>
  <c r="J156" i="105" s="1"/>
  <c r="I155" i="105"/>
  <c r="J155" i="105" s="1"/>
  <c r="I72" i="104"/>
  <c r="J72" i="104" s="1"/>
  <c r="I71" i="104"/>
  <c r="J71" i="104" s="1"/>
  <c r="I50" i="72"/>
  <c r="J50" i="72" s="1"/>
  <c r="I49" i="72"/>
  <c r="J49" i="72" s="1"/>
  <c r="S25" i="141" l="1"/>
  <c r="S7" i="141"/>
  <c r="T26" i="141"/>
  <c r="T8" i="141"/>
  <c r="S24" i="141"/>
  <c r="M20" i="141"/>
  <c r="M21" i="141" s="1"/>
  <c r="J38" i="141"/>
  <c r="I69" i="87"/>
  <c r="J69" i="87" s="1"/>
  <c r="I68" i="87"/>
  <c r="J68" i="87" s="1"/>
  <c r="U26" i="141" l="1"/>
  <c r="U8" i="141"/>
  <c r="T24" i="141"/>
  <c r="T25" i="141"/>
  <c r="T7" i="141"/>
  <c r="N20" i="141"/>
  <c r="N21" i="141" s="1"/>
  <c r="K38" i="141"/>
  <c r="I57" i="105"/>
  <c r="J57" i="105" s="1"/>
  <c r="I56" i="105"/>
  <c r="J56" i="105" s="1"/>
  <c r="I68" i="104"/>
  <c r="J68" i="104" s="1"/>
  <c r="I67" i="104"/>
  <c r="J67" i="104" s="1"/>
  <c r="I66" i="104"/>
  <c r="J66" i="104" s="1"/>
  <c r="I51" i="87"/>
  <c r="J51" i="87" s="1"/>
  <c r="I50" i="87"/>
  <c r="J50" i="87" s="1"/>
  <c r="I49" i="87"/>
  <c r="J49" i="87" s="1"/>
  <c r="I48" i="87"/>
  <c r="J48" i="87" s="1"/>
  <c r="I47" i="87"/>
  <c r="J47" i="87" s="1"/>
  <c r="I46" i="87"/>
  <c r="J46" i="87" s="1"/>
  <c r="I15" i="106"/>
  <c r="J15" i="106" s="1"/>
  <c r="I14" i="106"/>
  <c r="J14" i="106" s="1"/>
  <c r="I40" i="105"/>
  <c r="J40" i="105" s="1"/>
  <c r="I39" i="105"/>
  <c r="J39" i="105" s="1"/>
  <c r="I38" i="105"/>
  <c r="J38" i="105" s="1"/>
  <c r="I44" i="104"/>
  <c r="J44" i="104" s="1"/>
  <c r="I43" i="104"/>
  <c r="J43" i="104" s="1"/>
  <c r="I44" i="87"/>
  <c r="J44" i="87" s="1"/>
  <c r="I43" i="87"/>
  <c r="J43" i="87" s="1"/>
  <c r="I40" i="87"/>
  <c r="J40" i="87" s="1"/>
  <c r="I12" i="106"/>
  <c r="J12" i="106" s="1"/>
  <c r="I11" i="106"/>
  <c r="J11" i="106" s="1"/>
  <c r="I33" i="105"/>
  <c r="J33" i="105" s="1"/>
  <c r="I32" i="105"/>
  <c r="J32" i="105" s="1"/>
  <c r="I38" i="104"/>
  <c r="J38" i="104" s="1"/>
  <c r="I37" i="104"/>
  <c r="J37" i="104" s="1"/>
  <c r="I36" i="104"/>
  <c r="J36" i="104" s="1"/>
  <c r="I35" i="87"/>
  <c r="J35" i="87" s="1"/>
  <c r="I34" i="87"/>
  <c r="J34" i="87" s="1"/>
  <c r="I29" i="105"/>
  <c r="J29" i="105" s="1"/>
  <c r="I28" i="105"/>
  <c r="J28" i="105" s="1"/>
  <c r="I15" i="72"/>
  <c r="J15" i="72" s="1"/>
  <c r="I14" i="72"/>
  <c r="J14" i="72" s="1"/>
  <c r="I32" i="87"/>
  <c r="J32" i="87" s="1"/>
  <c r="I31" i="87"/>
  <c r="J31" i="87" s="1"/>
  <c r="I30" i="87"/>
  <c r="J30" i="87" s="1"/>
  <c r="I26" i="105"/>
  <c r="J26" i="105" s="1"/>
  <c r="I25" i="105"/>
  <c r="J25" i="105" s="1"/>
  <c r="I28" i="87"/>
  <c r="J28" i="87" s="1"/>
  <c r="I27" i="87"/>
  <c r="J27" i="87" s="1"/>
  <c r="I25" i="87"/>
  <c r="J25" i="87" s="1"/>
  <c r="I24" i="87"/>
  <c r="J24" i="87" s="1"/>
  <c r="I11" i="72"/>
  <c r="J11" i="72" s="1"/>
  <c r="I10" i="72"/>
  <c r="J10" i="72" s="1"/>
  <c r="I22" i="87"/>
  <c r="J22" i="87" s="1"/>
  <c r="I21" i="87"/>
  <c r="J21" i="87" s="1"/>
  <c r="I20" i="105"/>
  <c r="J20" i="105" s="1"/>
  <c r="I19" i="105"/>
  <c r="J19" i="105" s="1"/>
  <c r="I19" i="104"/>
  <c r="J19" i="104" s="1"/>
  <c r="I18" i="104"/>
  <c r="J18" i="104" s="1"/>
  <c r="I8" i="72"/>
  <c r="J8" i="72" s="1"/>
  <c r="I7" i="72"/>
  <c r="J7" i="72" s="1"/>
  <c r="I18" i="87"/>
  <c r="J18" i="87" s="1"/>
  <c r="I17" i="87"/>
  <c r="J17" i="87" s="1"/>
  <c r="I16" i="87"/>
  <c r="J16" i="87" s="1"/>
  <c r="I16" i="105"/>
  <c r="J16" i="105" s="1"/>
  <c r="I15" i="105"/>
  <c r="J15" i="105" s="1"/>
  <c r="I15" i="104"/>
  <c r="J15" i="104" s="1"/>
  <c r="I14" i="104"/>
  <c r="J14" i="104" s="1"/>
  <c r="I9" i="87"/>
  <c r="J9" i="87" s="1"/>
  <c r="I8" i="87"/>
  <c r="J8" i="87" s="1"/>
  <c r="I9" i="106"/>
  <c r="J9" i="106" s="1"/>
  <c r="I8" i="106"/>
  <c r="J8" i="106" s="1"/>
  <c r="I9" i="105"/>
  <c r="J9" i="105" s="1"/>
  <c r="I8" i="105"/>
  <c r="J8" i="105" s="1"/>
  <c r="I9" i="104"/>
  <c r="J9" i="104" s="1"/>
  <c r="I8" i="104"/>
  <c r="J8" i="104" s="1"/>
  <c r="U25" i="141" l="1"/>
  <c r="U7" i="141"/>
  <c r="U24" i="141"/>
  <c r="O20" i="141"/>
  <c r="L38" i="141"/>
  <c r="I6" i="107"/>
  <c r="I10" i="107"/>
  <c r="J10" i="107" s="1"/>
  <c r="I8" i="107"/>
  <c r="J8" i="107" s="1"/>
  <c r="I9" i="107"/>
  <c r="J9" i="107" s="1"/>
  <c r="I7" i="107"/>
  <c r="J7" i="107" s="1"/>
  <c r="I34" i="123"/>
  <c r="J34" i="123" s="1"/>
  <c r="I33" i="123"/>
  <c r="J33" i="123" s="1"/>
  <c r="I31" i="123"/>
  <c r="J31" i="123" s="1"/>
  <c r="I30" i="123"/>
  <c r="J30" i="123" s="1"/>
  <c r="I5" i="107"/>
  <c r="J5" i="107" s="1"/>
  <c r="I31" i="106"/>
  <c r="J31" i="106" s="1"/>
  <c r="I30" i="106"/>
  <c r="J30" i="106" s="1"/>
  <c r="I25" i="123"/>
  <c r="J25" i="123" s="1"/>
  <c r="I24" i="123"/>
  <c r="J24" i="123" s="1"/>
  <c r="I22" i="123"/>
  <c r="J22" i="123" s="1"/>
  <c r="I21" i="123"/>
  <c r="J21" i="123" s="1"/>
  <c r="I16" i="123"/>
  <c r="J16" i="123" s="1"/>
  <c r="I15" i="123"/>
  <c r="J15" i="123" s="1"/>
  <c r="I13" i="123"/>
  <c r="J13" i="123" s="1"/>
  <c r="I12" i="123"/>
  <c r="J12" i="123" s="1"/>
  <c r="I10" i="123"/>
  <c r="J10" i="123" s="1"/>
  <c r="I9" i="123"/>
  <c r="J9" i="123" s="1"/>
  <c r="I19" i="123"/>
  <c r="J19" i="123" s="1"/>
  <c r="I18" i="123"/>
  <c r="J18" i="123" s="1"/>
  <c r="I6" i="123"/>
  <c r="J6" i="123" s="1"/>
  <c r="I5" i="123"/>
  <c r="J5" i="123" s="1"/>
  <c r="I8" i="140"/>
  <c r="J8" i="140" s="1"/>
  <c r="I7" i="140"/>
  <c r="J7" i="140" s="1"/>
  <c r="I6" i="140"/>
  <c r="J6" i="140" s="1"/>
  <c r="I5" i="140"/>
  <c r="J5" i="140" s="1"/>
  <c r="I8" i="139"/>
  <c r="J8" i="139" s="1"/>
  <c r="I7" i="139"/>
  <c r="J7" i="139" s="1"/>
  <c r="I6" i="139"/>
  <c r="J6" i="139" s="1"/>
  <c r="I5" i="139"/>
  <c r="J5" i="139" s="1"/>
  <c r="I10" i="138"/>
  <c r="J10" i="138" s="1"/>
  <c r="I9" i="138"/>
  <c r="J9" i="138" s="1"/>
  <c r="I5" i="138"/>
  <c r="J5" i="138" s="1"/>
  <c r="I6" i="138"/>
  <c r="J6" i="138" s="1"/>
  <c r="I7" i="138"/>
  <c r="J7" i="138" s="1"/>
  <c r="I8" i="138"/>
  <c r="J8" i="138" s="1"/>
  <c r="P20" i="141" l="1"/>
  <c r="M38" i="141"/>
  <c r="I9" i="140"/>
  <c r="J9" i="140" s="1"/>
  <c r="I11" i="138"/>
  <c r="J11" i="138" s="1"/>
  <c r="Q20" i="141" l="1"/>
  <c r="N38" i="141"/>
  <c r="I6" i="137"/>
  <c r="J6" i="137" s="1"/>
  <c r="I5" i="137"/>
  <c r="J5" i="137" s="1"/>
  <c r="I13" i="137" l="1"/>
  <c r="J13" i="137" s="1"/>
  <c r="I12" i="137"/>
  <c r="J12" i="137" s="1"/>
  <c r="I14" i="137" l="1"/>
  <c r="J14" i="137" s="1"/>
  <c r="I8" i="137"/>
  <c r="J8" i="137" s="1"/>
  <c r="I30" i="72" l="1"/>
  <c r="J30" i="72" s="1"/>
  <c r="I35" i="105"/>
  <c r="J35" i="105" s="1"/>
  <c r="I42" i="87"/>
  <c r="J42" i="87" s="1"/>
  <c r="I22" i="72"/>
  <c r="J22" i="72" s="1"/>
  <c r="I40" i="104"/>
  <c r="J40" i="104" s="1"/>
  <c r="I208" i="87"/>
  <c r="J208" i="87" s="1"/>
  <c r="I11" i="137"/>
  <c r="J11" i="137" s="1"/>
  <c r="I15" i="137" l="1"/>
  <c r="J15" i="137" s="1"/>
  <c r="I57" i="106"/>
  <c r="J57" i="106" s="1"/>
  <c r="I56" i="106"/>
  <c r="J56" i="106" s="1"/>
  <c r="M256" i="94"/>
  <c r="N256" i="94" s="1"/>
  <c r="M255" i="94"/>
  <c r="N255" i="94" s="1"/>
  <c r="I159" i="72"/>
  <c r="J159" i="72" s="1"/>
  <c r="I158" i="72"/>
  <c r="J158" i="72" s="1"/>
  <c r="M273" i="94"/>
  <c r="N273" i="94" s="1"/>
  <c r="M272" i="94"/>
  <c r="N272" i="94" s="1"/>
  <c r="M271" i="94"/>
  <c r="N271" i="94" s="1"/>
  <c r="M270" i="94"/>
  <c r="N270" i="94" s="1"/>
  <c r="M269" i="94"/>
  <c r="N269" i="94" s="1"/>
  <c r="M266" i="94"/>
  <c r="N266" i="94" s="1"/>
  <c r="M265" i="94"/>
  <c r="N265" i="94" s="1"/>
  <c r="M264" i="94"/>
  <c r="N264" i="94" s="1"/>
  <c r="M263" i="94"/>
  <c r="N263" i="94" s="1"/>
  <c r="M262" i="94"/>
  <c r="N262" i="94" s="1"/>
  <c r="M261" i="94"/>
  <c r="N261" i="94" s="1"/>
  <c r="M260" i="94"/>
  <c r="N260" i="94" s="1"/>
  <c r="M259" i="94"/>
  <c r="N259" i="94" s="1"/>
  <c r="M258" i="94"/>
  <c r="N258" i="94" s="1"/>
  <c r="I177" i="72"/>
  <c r="J177" i="72" s="1"/>
  <c r="I176" i="72"/>
  <c r="J176" i="72" s="1"/>
  <c r="I175" i="72"/>
  <c r="J175" i="72" s="1"/>
  <c r="M277" i="94"/>
  <c r="N277" i="94" s="1"/>
  <c r="M276" i="94"/>
  <c r="N276" i="94" s="1"/>
  <c r="I51" i="106"/>
  <c r="J51" i="106" s="1"/>
  <c r="I48" i="106"/>
  <c r="J48" i="106" s="1"/>
  <c r="I47" i="106"/>
  <c r="J47" i="106" s="1"/>
  <c r="I46" i="106"/>
  <c r="J46" i="106" s="1"/>
  <c r="I45" i="106"/>
  <c r="J45" i="106" s="1"/>
  <c r="I44" i="106"/>
  <c r="J44" i="106" s="1"/>
  <c r="I43" i="106"/>
  <c r="J43" i="106" s="1"/>
  <c r="I42" i="106"/>
  <c r="J42" i="106" s="1"/>
  <c r="M243" i="94"/>
  <c r="N243" i="94" s="1"/>
  <c r="M164" i="94"/>
  <c r="N164" i="94" s="1"/>
  <c r="M163" i="94"/>
  <c r="N163" i="94" s="1"/>
  <c r="M162" i="94"/>
  <c r="N162" i="94" s="1"/>
  <c r="M161" i="94"/>
  <c r="N161" i="94" s="1"/>
  <c r="M160" i="94"/>
  <c r="N160" i="94" s="1"/>
  <c r="M159" i="94"/>
  <c r="N159" i="94" s="1"/>
  <c r="M156" i="94"/>
  <c r="N156" i="94" s="1"/>
  <c r="M155" i="94"/>
  <c r="N155" i="94" s="1"/>
  <c r="M140" i="94"/>
  <c r="N140" i="94" s="1"/>
  <c r="M139" i="94"/>
  <c r="N139" i="94" s="1"/>
  <c r="M122" i="94"/>
  <c r="N122" i="94" s="1"/>
  <c r="M121" i="94"/>
  <c r="N121" i="94" s="1"/>
  <c r="M128" i="94"/>
  <c r="N128" i="94" s="1"/>
  <c r="M127" i="94"/>
  <c r="N127" i="94" s="1"/>
  <c r="M126" i="94"/>
  <c r="N126" i="94" s="1"/>
  <c r="M125" i="94"/>
  <c r="N125" i="94" s="1"/>
  <c r="M120" i="94"/>
  <c r="N120" i="94" s="1"/>
  <c r="M119" i="94"/>
  <c r="N119" i="94" s="1"/>
  <c r="M118" i="94"/>
  <c r="N118" i="94" s="1"/>
  <c r="M117" i="94"/>
  <c r="N117" i="94" s="1"/>
  <c r="M116" i="94"/>
  <c r="N116" i="94" s="1"/>
  <c r="M115" i="94"/>
  <c r="N115" i="94" s="1"/>
  <c r="M106" i="94"/>
  <c r="N106" i="94" s="1"/>
  <c r="M105" i="94"/>
  <c r="N105" i="94" s="1"/>
  <c r="M101" i="94"/>
  <c r="N101" i="94" s="1"/>
  <c r="M240" i="94"/>
  <c r="N240" i="94" s="1"/>
  <c r="M239" i="94"/>
  <c r="N239" i="94" s="1"/>
  <c r="M238" i="94"/>
  <c r="N238" i="94" s="1"/>
  <c r="M237" i="94"/>
  <c r="N237" i="94" s="1"/>
  <c r="M236" i="94"/>
  <c r="N236" i="94" s="1"/>
  <c r="M235" i="94"/>
  <c r="N235" i="94" s="1"/>
  <c r="M234" i="94"/>
  <c r="N234" i="94" s="1"/>
  <c r="M233" i="94"/>
  <c r="N233" i="94" s="1"/>
  <c r="M232" i="94"/>
  <c r="N232" i="94" s="1"/>
  <c r="M231" i="94"/>
  <c r="N231" i="94" s="1"/>
  <c r="M230" i="94"/>
  <c r="N230" i="94" s="1"/>
  <c r="M229" i="94"/>
  <c r="N229" i="94" s="1"/>
  <c r="M224" i="94"/>
  <c r="N224" i="94" s="1"/>
  <c r="M223" i="94"/>
  <c r="N223" i="94" s="1"/>
  <c r="M222" i="94"/>
  <c r="N222" i="94" s="1"/>
  <c r="M221" i="94"/>
  <c r="N221" i="94" s="1"/>
  <c r="M220" i="94"/>
  <c r="N220" i="94" s="1"/>
  <c r="M219" i="94"/>
  <c r="N219" i="94" s="1"/>
  <c r="M218" i="94"/>
  <c r="N218" i="94" s="1"/>
  <c r="M217" i="94"/>
  <c r="N217" i="94" s="1"/>
  <c r="M216" i="94"/>
  <c r="N216" i="94" s="1"/>
  <c r="M215" i="94"/>
  <c r="N215" i="94" s="1"/>
  <c r="I111" i="105"/>
  <c r="J111" i="105" s="1"/>
  <c r="I110" i="105"/>
  <c r="J110" i="105" s="1"/>
  <c r="I109" i="105"/>
  <c r="J109" i="105" s="1"/>
  <c r="I108" i="105"/>
  <c r="J108" i="105" s="1"/>
  <c r="I107" i="105"/>
  <c r="J107" i="105" s="1"/>
  <c r="I133" i="87"/>
  <c r="J133" i="87" s="1"/>
  <c r="I132" i="87"/>
  <c r="J132" i="87" s="1"/>
  <c r="I61" i="106" l="1"/>
  <c r="J61" i="106" s="1"/>
  <c r="M210" i="94"/>
  <c r="N210" i="94" s="1"/>
  <c r="M207" i="94"/>
  <c r="N207" i="94" s="1"/>
  <c r="M205" i="94"/>
  <c r="N205" i="94" s="1"/>
  <c r="M206" i="94" l="1"/>
  <c r="N206" i="94" s="1"/>
  <c r="M213" i="94" l="1"/>
  <c r="N213" i="94" s="1"/>
  <c r="M214" i="94"/>
  <c r="N214" i="94" s="1"/>
  <c r="M212" i="94"/>
  <c r="N212" i="94" s="1"/>
  <c r="M202" i="94"/>
  <c r="N202" i="94" s="1"/>
  <c r="M200" i="94"/>
  <c r="N200" i="94" s="1"/>
  <c r="M197" i="94"/>
  <c r="N197" i="94" s="1"/>
  <c r="M198" i="94"/>
  <c r="N198" i="94" s="1"/>
  <c r="M201" i="94" l="1"/>
  <c r="N201" i="94" s="1"/>
  <c r="M211" i="94"/>
  <c r="N211" i="94" s="1"/>
  <c r="M186" i="94" l="1"/>
  <c r="N186" i="94" s="1"/>
  <c r="M194" i="94" l="1"/>
  <c r="N194" i="94" s="1"/>
  <c r="M195" i="94"/>
  <c r="N195" i="94" s="1"/>
  <c r="M196" i="94"/>
  <c r="N196" i="94" s="1"/>
  <c r="M193" i="94"/>
  <c r="N193" i="94" s="1"/>
  <c r="M189" i="94" l="1"/>
  <c r="N189" i="94" s="1"/>
  <c r="M191" i="94" l="1"/>
  <c r="N191" i="94" s="1"/>
  <c r="M192" i="94"/>
  <c r="N192" i="94" s="1"/>
  <c r="M190" i="94"/>
  <c r="N190" i="94" s="1"/>
  <c r="M109" i="94" l="1"/>
  <c r="N109" i="94" s="1"/>
  <c r="M58" i="94"/>
  <c r="N58" i="94" s="1"/>
  <c r="M57" i="94"/>
  <c r="N57" i="94" s="1"/>
  <c r="M56" i="94"/>
  <c r="N56" i="94" s="1"/>
  <c r="M55" i="94"/>
  <c r="N55" i="94" s="1"/>
  <c r="M54" i="94"/>
  <c r="N54" i="94" s="1"/>
  <c r="M53" i="94"/>
  <c r="N53" i="94" s="1"/>
  <c r="M52" i="94"/>
  <c r="N52" i="94" s="1"/>
  <c r="M51" i="94"/>
  <c r="N51" i="94" s="1"/>
  <c r="M50" i="94"/>
  <c r="N50" i="94" s="1"/>
  <c r="M49" i="94"/>
  <c r="N49" i="94" s="1"/>
  <c r="M48" i="94"/>
  <c r="N48" i="94" s="1"/>
  <c r="M47" i="94"/>
  <c r="N47" i="94" s="1"/>
  <c r="M46" i="94"/>
  <c r="N46" i="94" s="1"/>
  <c r="M43" i="94"/>
  <c r="N43" i="94" s="1"/>
  <c r="M42" i="94"/>
  <c r="N42" i="94" s="1"/>
  <c r="M41" i="94"/>
  <c r="N41" i="94" s="1"/>
  <c r="M34" i="94"/>
  <c r="N34" i="94" s="1"/>
  <c r="M33" i="94"/>
  <c r="N33" i="94" s="1"/>
  <c r="M25" i="94"/>
  <c r="N25" i="94" s="1"/>
  <c r="M24" i="94"/>
  <c r="N24" i="94" s="1"/>
  <c r="M19" i="94"/>
  <c r="N19" i="94" s="1"/>
  <c r="M18" i="94"/>
  <c r="N18" i="94" s="1"/>
  <c r="M17" i="94"/>
  <c r="N17" i="94" s="1"/>
  <c r="M16" i="94"/>
  <c r="N16" i="94" s="1"/>
  <c r="M14" i="94" l="1"/>
  <c r="N14" i="94" s="1"/>
  <c r="M12" i="94"/>
  <c r="N12" i="94" s="1"/>
  <c r="M11" i="94"/>
  <c r="N11" i="94" s="1"/>
  <c r="M9" i="94"/>
  <c r="N9" i="94" s="1"/>
  <c r="M8" i="94"/>
  <c r="N8" i="94" s="1"/>
  <c r="M7" i="94"/>
  <c r="N7" i="94" s="1"/>
  <c r="M6" i="94"/>
  <c r="N6" i="94" s="1"/>
  <c r="V66" i="4"/>
  <c r="CZ34" i="4" l="1"/>
  <c r="AO38" i="4" l="1"/>
  <c r="AO36" i="4"/>
  <c r="AO32" i="4"/>
  <c r="AO29" i="4"/>
  <c r="K14" i="137" s="1"/>
  <c r="L14" i="137" s="1"/>
  <c r="AO28" i="4"/>
  <c r="AO21" i="4"/>
  <c r="AO19" i="4"/>
  <c r="AE48" i="4"/>
  <c r="AE46" i="4"/>
  <c r="AE42" i="4"/>
  <c r="AE38" i="4"/>
  <c r="AE34" i="4"/>
  <c r="AE30" i="4"/>
  <c r="AE22" i="4"/>
  <c r="AE21" i="4"/>
  <c r="AC32" i="4"/>
  <c r="AC30" i="4"/>
  <c r="AC28" i="4"/>
  <c r="AC27" i="4"/>
  <c r="K40" i="104"/>
  <c r="L40" i="104" s="1"/>
  <c r="AC20" i="4"/>
  <c r="AA36" i="4"/>
  <c r="AA34" i="4"/>
  <c r="AA22" i="4"/>
  <c r="AA20" i="4"/>
  <c r="Z62" i="4"/>
  <c r="Z61" i="4"/>
  <c r="Z46" i="4"/>
  <c r="Z45" i="4"/>
  <c r="Z42" i="4"/>
  <c r="Z38" i="4"/>
  <c r="Z37" i="4"/>
  <c r="Z36" i="4"/>
  <c r="Z35" i="4"/>
  <c r="Z34" i="4"/>
  <c r="Z32" i="4"/>
  <c r="Z28" i="4"/>
  <c r="Z26" i="4"/>
  <c r="Z22" i="4"/>
  <c r="Z21" i="4"/>
  <c r="Z20" i="4"/>
  <c r="Z19" i="4"/>
  <c r="Y34" i="4"/>
  <c r="X34" i="4"/>
  <c r="S46" i="4"/>
  <c r="S45" i="4"/>
  <c r="S42" i="4"/>
  <c r="S38" i="4"/>
  <c r="S37" i="4"/>
  <c r="T36" i="4"/>
  <c r="S36" i="4"/>
  <c r="T32" i="4"/>
  <c r="S32" i="4"/>
  <c r="T31" i="4"/>
  <c r="S31" i="4"/>
  <c r="DO30" i="4" l="1"/>
  <c r="DZ59" i="4"/>
  <c r="DZ58" i="4"/>
  <c r="CU35" i="4"/>
  <c r="CO35" i="4"/>
  <c r="CL59" i="4"/>
  <c r="CL58" i="4"/>
  <c r="BW59" i="4"/>
  <c r="BW58" i="4"/>
  <c r="BQ59" i="4"/>
  <c r="BQ58" i="4"/>
  <c r="BK59" i="4"/>
  <c r="BK58" i="4"/>
  <c r="AY59" i="4"/>
  <c r="AY58" i="4"/>
  <c r="CH46" i="4"/>
  <c r="AB59" i="4"/>
  <c r="AB58" i="4"/>
  <c r="CX59" i="4" l="1"/>
  <c r="CX58" i="4"/>
  <c r="CR59" i="4"/>
  <c r="CR58" i="4"/>
  <c r="CH64" i="4"/>
  <c r="BE59" i="4"/>
  <c r="BE58" i="4"/>
  <c r="AM58" i="4"/>
  <c r="AG59" i="4" l="1"/>
  <c r="BY44" i="4"/>
  <c r="BT44" i="4"/>
  <c r="BW44" i="4"/>
  <c r="BN44" i="4"/>
  <c r="BK25" i="4"/>
  <c r="BK24" i="4"/>
  <c r="BK23" i="4"/>
  <c r="BH43" i="4"/>
  <c r="BH30" i="4"/>
  <c r="BH25" i="4"/>
  <c r="BH24" i="4"/>
  <c r="BH23" i="4"/>
  <c r="BE23" i="4"/>
  <c r="BE24" i="4"/>
  <c r="BE25" i="4"/>
  <c r="BB50" i="4"/>
  <c r="BB25" i="4"/>
  <c r="BE66" i="4"/>
  <c r="BE44" i="4"/>
  <c r="BE30" i="4"/>
  <c r="AY50" i="4"/>
  <c r="AY25" i="4"/>
  <c r="AV50" i="4"/>
  <c r="AV25" i="4"/>
  <c r="CH23" i="4"/>
  <c r="AS23" i="4"/>
  <c r="AQ25" i="4"/>
  <c r="AO25" i="4"/>
  <c r="AO24" i="4"/>
  <c r="AO23" i="4"/>
  <c r="AM25" i="4"/>
  <c r="AM24" i="4"/>
  <c r="AM23" i="4"/>
  <c r="AJ25" i="4"/>
  <c r="AJ24" i="4"/>
  <c r="AJ23" i="4"/>
  <c r="AG25" i="4"/>
  <c r="AG24" i="4"/>
  <c r="AG23" i="4"/>
  <c r="AC25" i="4"/>
  <c r="AC24" i="4"/>
  <c r="AC23" i="4"/>
  <c r="AB25" i="4"/>
  <c r="AB24" i="4"/>
  <c r="AB23" i="4"/>
  <c r="J29" i="4"/>
  <c r="K8" i="137" s="1"/>
  <c r="L8" i="137" s="1"/>
  <c r="Q15" i="4"/>
  <c r="Q14" i="4"/>
  <c r="Q13" i="4"/>
  <c r="Q12" i="4"/>
  <c r="Q11" i="4"/>
  <c r="Q10" i="4"/>
  <c r="Q9" i="4"/>
  <c r="Q8" i="4"/>
  <c r="S15" i="4"/>
  <c r="S14" i="4"/>
  <c r="S13" i="4"/>
  <c r="S12" i="4"/>
  <c r="S11" i="4"/>
  <c r="S10" i="4"/>
  <c r="S9" i="4"/>
  <c r="S8" i="4"/>
  <c r="BJ15" i="4"/>
  <c r="BJ14" i="4"/>
  <c r="BJ13" i="4"/>
  <c r="BJ12" i="4"/>
  <c r="BJ11" i="4"/>
  <c r="BJ10" i="4"/>
  <c r="BJ9" i="4"/>
  <c r="BJ8" i="4"/>
  <c r="AO15" i="4"/>
  <c r="AO14" i="4"/>
  <c r="AO13" i="4"/>
  <c r="AO12" i="4"/>
  <c r="AO11" i="4"/>
  <c r="AO10" i="4"/>
  <c r="AO9" i="4"/>
  <c r="AO8" i="4"/>
  <c r="AI15" i="4"/>
  <c r="AI14" i="4"/>
  <c r="AI13" i="4"/>
  <c r="AI12" i="4"/>
  <c r="AI11" i="4"/>
  <c r="AI10" i="4"/>
  <c r="AI9" i="4"/>
  <c r="AI8" i="4"/>
  <c r="AD15" i="4"/>
  <c r="AD14" i="4"/>
  <c r="AD13" i="4"/>
  <c r="AD12" i="4"/>
  <c r="AD11" i="4"/>
  <c r="AD10" i="4"/>
  <c r="AD9" i="4"/>
  <c r="AD8" i="4"/>
  <c r="AC15" i="4"/>
  <c r="AC14" i="4"/>
  <c r="AC13" i="4"/>
  <c r="AC12" i="4"/>
  <c r="AC11" i="4"/>
  <c r="AC10" i="4"/>
  <c r="AC9" i="4"/>
  <c r="AC8" i="4"/>
  <c r="AA15" i="4"/>
  <c r="AA14" i="4"/>
  <c r="AA13" i="4"/>
  <c r="AA12" i="4"/>
  <c r="AA11" i="4"/>
  <c r="AA10" i="4"/>
  <c r="AA9" i="4"/>
  <c r="AA8" i="4"/>
  <c r="Z15" i="4"/>
  <c r="Z14" i="4"/>
  <c r="Z13" i="4"/>
  <c r="Z12" i="4"/>
  <c r="Z11" i="4"/>
  <c r="Z10" i="4"/>
  <c r="Z8" i="4"/>
  <c r="W15" i="4"/>
  <c r="W14" i="4"/>
  <c r="W13" i="4"/>
  <c r="W12" i="4"/>
  <c r="W11" i="4"/>
  <c r="W10" i="4"/>
  <c r="W9" i="4"/>
  <c r="W8" i="4"/>
  <c r="V15" i="4"/>
  <c r="V14" i="4"/>
  <c r="V13" i="4"/>
  <c r="V12" i="4"/>
  <c r="V11" i="4"/>
  <c r="V10" i="4"/>
  <c r="V9" i="4"/>
  <c r="V8" i="4"/>
  <c r="U15" i="4"/>
  <c r="U14" i="4"/>
  <c r="U13" i="4"/>
  <c r="U12" i="4"/>
  <c r="U11" i="4"/>
  <c r="U10" i="4"/>
  <c r="U9" i="4"/>
  <c r="U8" i="4"/>
  <c r="P15" i="4"/>
  <c r="P14" i="4"/>
  <c r="P13" i="4"/>
  <c r="P12" i="4"/>
  <c r="P11" i="4"/>
  <c r="P10" i="4"/>
  <c r="P9" i="4"/>
  <c r="P8" i="4"/>
  <c r="P48" i="4"/>
  <c r="P42" i="4"/>
  <c r="P38" i="4"/>
  <c r="P37" i="4"/>
  <c r="P34" i="4"/>
  <c r="P32" i="4"/>
  <c r="P30" i="4"/>
  <c r="P28" i="4"/>
  <c r="P26" i="4"/>
  <c r="P22" i="4"/>
  <c r="P21" i="4"/>
  <c r="P20" i="4"/>
  <c r="CJ41" i="4"/>
  <c r="CJ25" i="4"/>
  <c r="N66" i="4"/>
  <c r="N58" i="4"/>
  <c r="N49" i="4"/>
  <c r="N43" i="4"/>
  <c r="K11" i="137"/>
  <c r="L11" i="137" s="1"/>
  <c r="T25" i="4"/>
  <c r="S25" i="4"/>
  <c r="T24" i="4"/>
  <c r="S24" i="4"/>
  <c r="T23" i="4"/>
  <c r="S23" i="4"/>
  <c r="S62" i="4"/>
  <c r="T28" i="4"/>
  <c r="S28" i="4"/>
  <c r="S27" i="4"/>
  <c r="T27" i="4"/>
  <c r="T26" i="4"/>
  <c r="S26" i="4"/>
  <c r="T22" i="4"/>
  <c r="S22" i="4"/>
  <c r="S21" i="4"/>
  <c r="T21" i="4"/>
  <c r="T20" i="4"/>
  <c r="S20" i="4"/>
  <c r="W46" i="4"/>
  <c r="W42" i="4"/>
  <c r="W38" i="4"/>
  <c r="W37" i="4"/>
  <c r="W36" i="4"/>
  <c r="W35" i="4"/>
  <c r="W34" i="4"/>
  <c r="W32" i="4"/>
  <c r="W28" i="4"/>
  <c r="W26" i="4"/>
  <c r="W22" i="4"/>
  <c r="W21" i="4"/>
  <c r="W19" i="4"/>
  <c r="AD34" i="4"/>
  <c r="AD27" i="4"/>
  <c r="BK28" i="4"/>
  <c r="BK22" i="4"/>
  <c r="BK21" i="4"/>
  <c r="CH22" i="4"/>
  <c r="CI22" i="4"/>
  <c r="DX34" i="4"/>
  <c r="DW34" i="4"/>
  <c r="DX25" i="4"/>
  <c r="DW25" i="4"/>
  <c r="DN22" i="4"/>
  <c r="DL22" i="4"/>
  <c r="DJ58" i="4"/>
  <c r="CC34" i="4"/>
  <c r="CC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J96" i="73" l="1"/>
  <c r="K96" i="73" s="1"/>
  <c r="J105" i="73"/>
  <c r="K105" i="7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F73" i="4"/>
  <c r="EF65" i="4"/>
  <c r="EG66" i="4"/>
  <c r="EF66" i="4" s="1"/>
  <c r="EE70" i="4"/>
  <c r="EG8" i="4"/>
  <c r="EF8" i="4" s="1"/>
  <c r="EG9" i="4"/>
  <c r="EF9" i="4" s="1"/>
  <c r="EG10" i="4"/>
  <c r="EF10" i="4" s="1"/>
  <c r="EG11" i="4"/>
  <c r="EF11" i="4" s="1"/>
  <c r="EG12" i="4"/>
  <c r="EF12" i="4" s="1"/>
  <c r="EG13" i="4"/>
  <c r="EF13" i="4" s="1"/>
  <c r="EG14" i="4"/>
  <c r="EF14" i="4" s="1"/>
  <c r="EG15" i="4"/>
  <c r="EF15" i="4" s="1"/>
  <c r="EG17" i="4"/>
  <c r="EF17" i="4" s="1"/>
  <c r="EG18" i="4"/>
  <c r="EF18" i="4" s="1"/>
  <c r="EG19" i="4"/>
  <c r="EG24" i="4"/>
  <c r="EG25" i="4"/>
  <c r="EG29" i="4"/>
  <c r="EG33" i="4"/>
  <c r="EG39" i="4"/>
  <c r="EG40" i="4"/>
  <c r="EG41" i="4"/>
  <c r="EG43" i="4"/>
  <c r="EG48" i="4"/>
  <c r="EG49" i="4"/>
  <c r="EG50" i="4"/>
  <c r="EG57" i="4"/>
  <c r="EG58" i="4"/>
  <c r="EG59" i="4"/>
  <c r="EG60" i="4"/>
  <c r="EG61" i="4"/>
  <c r="EG62" i="4"/>
  <c r="EG63" i="4"/>
  <c r="EG64" i="4"/>
  <c r="EG67" i="4"/>
  <c r="EG68" i="4"/>
  <c r="EF68" i="4" s="1"/>
  <c r="EG72" i="4"/>
  <c r="C11" i="75" l="1"/>
  <c r="EG16" i="4"/>
  <c r="EG69" i="4"/>
  <c r="V18" i="134" l="1"/>
  <c r="V19" i="134" s="1"/>
  <c r="EB65" i="4" l="1"/>
  <c r="X52" i="4" l="1"/>
  <c r="X72" i="4"/>
  <c r="X69" i="4"/>
  <c r="X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I26" i="87"/>
  <c r="J26" i="87" s="1"/>
  <c r="K26" i="87"/>
  <c r="L5" i="134"/>
  <c r="X55" i="4"/>
  <c r="X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L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M29" i="94" l="1"/>
  <c r="N29" i="94" s="1"/>
  <c r="I74" i="104"/>
  <c r="J74" i="104" s="1"/>
  <c r="I135" i="87" l="1"/>
  <c r="J135" i="87" s="1"/>
  <c r="I55" i="106"/>
  <c r="J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G44" i="4" l="1"/>
  <c r="EF44" i="4" s="1"/>
  <c r="EG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U69" i="4"/>
  <c r="CV69" i="4"/>
  <c r="CU72" i="4"/>
  <c r="CV72" i="4"/>
  <c r="CR72" i="4"/>
  <c r="CS72" i="4"/>
  <c r="CS69" i="4"/>
  <c r="EG23" i="4"/>
  <c r="EG45" i="4"/>
  <c r="EG42" i="4"/>
  <c r="EG37" i="4"/>
  <c r="EG36" i="4"/>
  <c r="EG32" i="4"/>
  <c r="EG31" i="4"/>
  <c r="EG27" i="4"/>
  <c r="EG26" i="4"/>
  <c r="EG20" i="4"/>
  <c r="EG28" i="4" l="1"/>
  <c r="EG46" i="4"/>
  <c r="EG22" i="4"/>
  <c r="EG21" i="4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J10" i="73" l="1"/>
  <c r="K10" i="73" s="1"/>
  <c r="J63" i="73"/>
  <c r="K63" i="73" s="1"/>
  <c r="J89" i="73"/>
  <c r="K89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K35" i="1"/>
  <c r="J27" i="73" l="1"/>
  <c r="K27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J237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P32" i="94" l="1"/>
  <c r="O72" i="4"/>
  <c r="O16" i="4"/>
  <c r="M32" i="94" l="1"/>
  <c r="N32" i="94" s="1"/>
  <c r="O69" i="4"/>
  <c r="T32" i="94" s="1"/>
  <c r="U32" i="94" l="1"/>
  <c r="U324" i="94"/>
  <c r="D231" i="131"/>
  <c r="D230" i="131"/>
  <c r="D227" i="131"/>
  <c r="D226" i="131"/>
  <c r="D225" i="131"/>
  <c r="I169" i="131"/>
  <c r="H169" i="131"/>
  <c r="G169" i="131"/>
  <c r="F169" i="131"/>
  <c r="E169" i="131"/>
  <c r="O52" i="4" l="1"/>
  <c r="O55" i="4" s="1"/>
  <c r="O74" i="4" s="1"/>
  <c r="J56" i="73" l="1"/>
  <c r="K56" i="73" s="1"/>
  <c r="D51" i="131" l="1"/>
  <c r="J20" i="73"/>
  <c r="K20" i="73" s="1"/>
  <c r="D19" i="131" l="1"/>
  <c r="F109" i="131"/>
  <c r="G109" i="131" s="1"/>
  <c r="H109" i="131" s="1"/>
  <c r="D131" i="131"/>
  <c r="D130" i="131"/>
  <c r="U36" i="1" l="1"/>
  <c r="U37" i="1" s="1"/>
  <c r="J88" i="73"/>
  <c r="K88" i="73" s="1"/>
  <c r="D81" i="131" l="1"/>
  <c r="J106" i="73"/>
  <c r="K106" i="73" s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M154" i="94" l="1"/>
  <c r="N154" i="94" s="1"/>
  <c r="T114" i="94" l="1"/>
  <c r="P114" i="94"/>
  <c r="M114" i="94" l="1"/>
  <c r="N114" i="94" s="1"/>
  <c r="U114" i="94" l="1"/>
  <c r="K91" i="111"/>
  <c r="L91" i="111"/>
  <c r="K92" i="111"/>
  <c r="L92" i="111"/>
  <c r="L93" i="111" l="1"/>
  <c r="K93" i="111"/>
  <c r="I45" i="87" l="1"/>
  <c r="J45" i="87" s="1"/>
  <c r="I103" i="72"/>
  <c r="J103" i="72" s="1"/>
  <c r="I100" i="72"/>
  <c r="J100" i="72" s="1"/>
  <c r="B34" i="106" l="1"/>
  <c r="I35" i="106" l="1"/>
  <c r="J35" i="106" s="1"/>
  <c r="I32" i="123"/>
  <c r="J32" i="123" s="1"/>
  <c r="I35" i="123"/>
  <c r="J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L90" i="87"/>
  <c r="I212" i="87"/>
  <c r="I202" i="87"/>
  <c r="I197" i="87"/>
  <c r="I194" i="87"/>
  <c r="I191" i="87"/>
  <c r="I188" i="87"/>
  <c r="J188" i="87" s="1"/>
  <c r="I184" i="87"/>
  <c r="J184" i="87" s="1"/>
  <c r="I180" i="87"/>
  <c r="J180" i="87" s="1"/>
  <c r="I177" i="87"/>
  <c r="I173" i="87"/>
  <c r="J173" i="87" s="1"/>
  <c r="I164" i="87"/>
  <c r="J164" i="87" s="1"/>
  <c r="I159" i="87"/>
  <c r="I155" i="87"/>
  <c r="J155" i="87" s="1"/>
  <c r="I142" i="87"/>
  <c r="J142" i="87" s="1"/>
  <c r="I129" i="87"/>
  <c r="J129" i="87" s="1"/>
  <c r="I123" i="87"/>
  <c r="J123" i="87" s="1"/>
  <c r="I120" i="87"/>
  <c r="J120" i="87" s="1"/>
  <c r="I117" i="87"/>
  <c r="J117" i="87" s="1"/>
  <c r="I114" i="87"/>
  <c r="J114" i="87" s="1"/>
  <c r="I110" i="87"/>
  <c r="J110" i="87" s="1"/>
  <c r="I107" i="87"/>
  <c r="J107" i="87" s="1"/>
  <c r="I104" i="87"/>
  <c r="J104" i="87" s="1"/>
  <c r="I101" i="87"/>
  <c r="J101" i="87" s="1"/>
  <c r="I96" i="87"/>
  <c r="J96" i="87" s="1"/>
  <c r="I91" i="87"/>
  <c r="J91" i="87" s="1"/>
  <c r="I81" i="87"/>
  <c r="J81" i="87" s="1"/>
  <c r="I77" i="87"/>
  <c r="J77" i="87" s="1"/>
  <c r="I73" i="87"/>
  <c r="J73" i="87" s="1"/>
  <c r="I70" i="87"/>
  <c r="J70" i="87" s="1"/>
  <c r="I65" i="87"/>
  <c r="J65" i="87" s="1"/>
  <c r="I62" i="87"/>
  <c r="J62" i="87" s="1"/>
  <c r="I58" i="87"/>
  <c r="J58" i="87" s="1"/>
  <c r="I55" i="87"/>
  <c r="J55" i="87" s="1"/>
  <c r="I52" i="87"/>
  <c r="J52" i="87" s="1"/>
  <c r="I36" i="87"/>
  <c r="J36" i="87" s="1"/>
  <c r="I33" i="87"/>
  <c r="J33" i="87" s="1"/>
  <c r="I29" i="87"/>
  <c r="J29" i="87" s="1"/>
  <c r="I23" i="87"/>
  <c r="J23" i="87" s="1"/>
  <c r="I20" i="87"/>
  <c r="J20" i="87" s="1"/>
  <c r="I14" i="87"/>
  <c r="I10" i="87"/>
  <c r="J10" i="87" s="1"/>
  <c r="I7" i="87"/>
  <c r="J7" i="87" s="1"/>
  <c r="L25" i="106"/>
  <c r="I41" i="106"/>
  <c r="I38" i="106"/>
  <c r="I32" i="106"/>
  <c r="J32" i="106" s="1"/>
  <c r="I29" i="106"/>
  <c r="J29" i="106" s="1"/>
  <c r="I26" i="106"/>
  <c r="J26" i="106" s="1"/>
  <c r="I20" i="106"/>
  <c r="J20" i="106" s="1"/>
  <c r="I17" i="106"/>
  <c r="J17" i="106" s="1"/>
  <c r="I13" i="106"/>
  <c r="J13" i="106" s="1"/>
  <c r="I10" i="106"/>
  <c r="J10" i="106" s="1"/>
  <c r="I7" i="106"/>
  <c r="J7" i="106" s="1"/>
  <c r="I29" i="123"/>
  <c r="I23" i="123"/>
  <c r="J23" i="123" s="1"/>
  <c r="I20" i="123"/>
  <c r="J20" i="123" s="1"/>
  <c r="I14" i="123"/>
  <c r="J14" i="123" s="1"/>
  <c r="I11" i="123"/>
  <c r="J11" i="123" s="1"/>
  <c r="I8" i="123"/>
  <c r="J8" i="123" s="1"/>
  <c r="L22" i="104"/>
  <c r="L44" i="104"/>
  <c r="L69" i="104"/>
  <c r="L73" i="104"/>
  <c r="M185" i="94"/>
  <c r="N185" i="94" s="1"/>
  <c r="M158" i="94"/>
  <c r="N158" i="94" s="1"/>
  <c r="M96" i="94"/>
  <c r="M80" i="94"/>
  <c r="N80" i="94" s="1"/>
  <c r="M76" i="94"/>
  <c r="N76" i="94" s="1"/>
  <c r="M71" i="94"/>
  <c r="M68" i="94"/>
  <c r="N68" i="94" s="1"/>
  <c r="M35" i="94"/>
  <c r="N35" i="94" s="1"/>
  <c r="N137" i="111" l="1"/>
  <c r="I136" i="111"/>
  <c r="I137" i="111"/>
  <c r="O123" i="111"/>
  <c r="O125" i="111" s="1"/>
  <c r="O140" i="111"/>
  <c r="O141" i="111" s="1"/>
  <c r="L137" i="111"/>
  <c r="J137" i="111"/>
  <c r="J136" i="111"/>
  <c r="K137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L41" i="106"/>
  <c r="L41" i="125"/>
  <c r="O119" i="111"/>
  <c r="O137" i="111" l="1"/>
  <c r="O121" i="111"/>
  <c r="I22" i="127"/>
  <c r="J22" i="127" s="1"/>
  <c r="I19" i="127"/>
  <c r="J19" i="127" s="1"/>
  <c r="I16" i="127"/>
  <c r="J16" i="127" s="1"/>
  <c r="I13" i="127"/>
  <c r="J13" i="127" s="1"/>
  <c r="I10" i="127"/>
  <c r="J10" i="127" s="1"/>
  <c r="I7" i="127"/>
  <c r="J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B10" i="4"/>
  <c r="L5" i="130"/>
  <c r="BD5" i="130"/>
  <c r="AC5" i="130"/>
  <c r="Q5" i="130"/>
  <c r="I23" i="127" l="1"/>
  <c r="J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V60" i="4"/>
  <c r="DV59" i="4"/>
  <c r="DV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I162" i="105"/>
  <c r="I158" i="105"/>
  <c r="J158" i="105" s="1"/>
  <c r="I154" i="105"/>
  <c r="I151" i="105"/>
  <c r="I148" i="105"/>
  <c r="I144" i="105"/>
  <c r="I141" i="105"/>
  <c r="I137" i="105"/>
  <c r="I134" i="105"/>
  <c r="I131" i="105"/>
  <c r="I127" i="105"/>
  <c r="I123" i="105"/>
  <c r="J123" i="105" s="1"/>
  <c r="I119" i="105"/>
  <c r="I116" i="105"/>
  <c r="I113" i="105"/>
  <c r="J113" i="105" s="1"/>
  <c r="I106" i="105"/>
  <c r="I103" i="105"/>
  <c r="I100" i="105"/>
  <c r="I97" i="105"/>
  <c r="I93" i="105"/>
  <c r="I90" i="105"/>
  <c r="I87" i="105"/>
  <c r="I84" i="105"/>
  <c r="I79" i="105"/>
  <c r="I76" i="105"/>
  <c r="J76" i="105" s="1"/>
  <c r="I72" i="105"/>
  <c r="I68" i="105"/>
  <c r="J68" i="105" s="1"/>
  <c r="I63" i="105"/>
  <c r="I60" i="105"/>
  <c r="J60" i="105" s="1"/>
  <c r="I54" i="105"/>
  <c r="I51" i="105"/>
  <c r="J51" i="105" s="1"/>
  <c r="I48" i="105"/>
  <c r="J48" i="105" s="1"/>
  <c r="I44" i="105"/>
  <c r="J44" i="105" s="1"/>
  <c r="I41" i="105"/>
  <c r="J41" i="105" s="1"/>
  <c r="I37" i="105"/>
  <c r="I30" i="105"/>
  <c r="J30" i="105" s="1"/>
  <c r="I27" i="105"/>
  <c r="J27" i="105" s="1"/>
  <c r="I24" i="105"/>
  <c r="I21" i="105"/>
  <c r="J21" i="105" s="1"/>
  <c r="I18" i="105"/>
  <c r="J18" i="105" s="1"/>
  <c r="I10" i="105"/>
  <c r="J10" i="105" s="1"/>
  <c r="I7" i="105"/>
  <c r="I70" i="104"/>
  <c r="J70" i="104" s="1"/>
  <c r="I65" i="104"/>
  <c r="I61" i="104"/>
  <c r="I55" i="104"/>
  <c r="J55" i="104" s="1"/>
  <c r="I52" i="104"/>
  <c r="J52" i="104" s="1"/>
  <c r="I49" i="104"/>
  <c r="J49" i="104" s="1"/>
  <c r="I46" i="104"/>
  <c r="J46" i="104" s="1"/>
  <c r="I42" i="104"/>
  <c r="I33" i="104"/>
  <c r="I30" i="104"/>
  <c r="J30" i="104" s="1"/>
  <c r="I24" i="104"/>
  <c r="J24" i="104" s="1"/>
  <c r="I20" i="104"/>
  <c r="J20" i="104" s="1"/>
  <c r="I17" i="104"/>
  <c r="J17" i="104" s="1"/>
  <c r="I13" i="104"/>
  <c r="I10" i="104"/>
  <c r="J10" i="104" s="1"/>
  <c r="I7" i="104"/>
  <c r="M322" i="94"/>
  <c r="N322" i="94" s="1"/>
  <c r="M317" i="94"/>
  <c r="M312" i="94"/>
  <c r="M308" i="94"/>
  <c r="M304" i="94"/>
  <c r="M300" i="94"/>
  <c r="M296" i="94"/>
  <c r="N296" i="94" s="1"/>
  <c r="M291" i="94"/>
  <c r="N291" i="94" s="1"/>
  <c r="M288" i="94"/>
  <c r="M285" i="94"/>
  <c r="M282" i="94"/>
  <c r="N282" i="94" s="1"/>
  <c r="M257" i="94"/>
  <c r="N257" i="94" s="1"/>
  <c r="I178" i="72"/>
  <c r="J178" i="72" s="1"/>
  <c r="I174" i="72"/>
  <c r="J174" i="72" s="1"/>
  <c r="I161" i="72"/>
  <c r="J161" i="72" s="1"/>
  <c r="I108" i="72"/>
  <c r="J108" i="72" s="1"/>
  <c r="I76" i="72"/>
  <c r="J76" i="72" s="1"/>
  <c r="I73" i="72"/>
  <c r="J73" i="72" s="1"/>
  <c r="I69" i="72"/>
  <c r="J69" i="72" s="1"/>
  <c r="I61" i="72"/>
  <c r="J61" i="72" s="1"/>
  <c r="I58" i="72"/>
  <c r="J58" i="72" s="1"/>
  <c r="I52" i="72"/>
  <c r="J52" i="72" s="1"/>
  <c r="I40" i="72"/>
  <c r="J40" i="72" s="1"/>
  <c r="I16" i="72"/>
  <c r="J16" i="72" s="1"/>
  <c r="I13" i="72"/>
  <c r="J13" i="72" s="1"/>
  <c r="I9" i="72"/>
  <c r="J9" i="72" s="1"/>
  <c r="I75" i="104" l="1"/>
  <c r="J75" i="104" s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V22" i="4" l="1"/>
  <c r="EF22" i="4" s="1"/>
  <c r="BG43" i="4"/>
  <c r="BG30" i="4"/>
  <c r="BG25" i="4"/>
  <c r="BG24" i="4"/>
  <c r="BG23" i="4"/>
  <c r="J39" i="73"/>
  <c r="K39" i="73" s="1"/>
  <c r="J87" i="73"/>
  <c r="K87" i="73" s="1"/>
  <c r="J57" i="73"/>
  <c r="K57" i="73" s="1"/>
  <c r="J47" i="73"/>
  <c r="K47" i="73" s="1"/>
  <c r="J33" i="73"/>
  <c r="K33" i="73" s="1"/>
  <c r="J32" i="73"/>
  <c r="K32" i="73" s="1"/>
  <c r="P138" i="94"/>
  <c r="BI72" i="4"/>
  <c r="BH72" i="4"/>
  <c r="BG71" i="4"/>
  <c r="BG72" i="4" s="1"/>
  <c r="BG70" i="4"/>
  <c r="BI69" i="4"/>
  <c r="BG67" i="4"/>
  <c r="BG66" i="4"/>
  <c r="BG64" i="4"/>
  <c r="BG63" i="4"/>
  <c r="BG62" i="4"/>
  <c r="BG61" i="4"/>
  <c r="BG60" i="4"/>
  <c r="BG59" i="4"/>
  <c r="BG57" i="4"/>
  <c r="BG54" i="4"/>
  <c r="BG53" i="4"/>
  <c r="BG50" i="4"/>
  <c r="BG49" i="4"/>
  <c r="BG48" i="4"/>
  <c r="BG46" i="4"/>
  <c r="BG45" i="4"/>
  <c r="BG44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29" i="4"/>
  <c r="BG28" i="4"/>
  <c r="BG27" i="4"/>
  <c r="BG26" i="4"/>
  <c r="BI52" i="4"/>
  <c r="BG22" i="4"/>
  <c r="BG21" i="4"/>
  <c r="BG20" i="4"/>
  <c r="BG19" i="4"/>
  <c r="BG18" i="4"/>
  <c r="BG17" i="4"/>
  <c r="BI16" i="4"/>
  <c r="BH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I55" i="4"/>
  <c r="BI74" i="4" s="1"/>
  <c r="G93" i="111"/>
  <c r="BH52" i="4"/>
  <c r="BH55" i="4" s="1"/>
  <c r="BG16" i="4"/>
  <c r="BG52" i="4"/>
  <c r="E91" i="111"/>
  <c r="E92" i="111"/>
  <c r="J62" i="73"/>
  <c r="K62" i="73" s="1"/>
  <c r="M72" i="4"/>
  <c r="M69" i="4"/>
  <c r="M52" i="4"/>
  <c r="L16" i="4"/>
  <c r="M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G55" i="4"/>
  <c r="BG68" i="4"/>
  <c r="D93" i="111"/>
  <c r="M55" i="4"/>
  <c r="M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J50" i="73"/>
  <c r="K50" i="73" s="1"/>
  <c r="J22" i="73"/>
  <c r="K22" i="73" s="1"/>
  <c r="Q37" i="85"/>
  <c r="Q38" i="85"/>
  <c r="Q29" i="85"/>
  <c r="Q16" i="85"/>
  <c r="J45" i="73"/>
  <c r="K45" i="73" s="1"/>
  <c r="J114" i="73"/>
  <c r="K114" i="73" s="1"/>
  <c r="J113" i="73"/>
  <c r="K113" i="73" s="1"/>
  <c r="J112" i="73"/>
  <c r="K112" i="73" s="1"/>
  <c r="J111" i="73"/>
  <c r="K111" i="73" s="1"/>
  <c r="J110" i="73"/>
  <c r="K110" i="73" s="1"/>
  <c r="J104" i="73"/>
  <c r="K104" i="73" s="1"/>
  <c r="J103" i="73"/>
  <c r="K103" i="73" s="1"/>
  <c r="J102" i="73"/>
  <c r="K102" i="73" s="1"/>
  <c r="J101" i="73"/>
  <c r="K101" i="73" s="1"/>
  <c r="J100" i="73"/>
  <c r="K100" i="73" s="1"/>
  <c r="J94" i="73"/>
  <c r="K94" i="73" s="1"/>
  <c r="J81" i="73"/>
  <c r="K81" i="73" s="1"/>
  <c r="J78" i="73"/>
  <c r="K78" i="73" s="1"/>
  <c r="J77" i="73"/>
  <c r="K77" i="73" s="1"/>
  <c r="J76" i="73"/>
  <c r="K76" i="73" s="1"/>
  <c r="J75" i="73"/>
  <c r="K75" i="73" s="1"/>
  <c r="J74" i="73"/>
  <c r="K74" i="73" s="1"/>
  <c r="J73" i="73"/>
  <c r="K73" i="73" s="1"/>
  <c r="J72" i="73"/>
  <c r="K72" i="73" s="1"/>
  <c r="J71" i="73"/>
  <c r="K71" i="73" s="1"/>
  <c r="J70" i="73"/>
  <c r="K70" i="73" s="1"/>
  <c r="J69" i="73"/>
  <c r="K69" i="73" s="1"/>
  <c r="J68" i="73"/>
  <c r="K68" i="73" s="1"/>
  <c r="J66" i="73"/>
  <c r="K66" i="73" s="1"/>
  <c r="J65" i="73"/>
  <c r="K65" i="73" s="1"/>
  <c r="J64" i="73"/>
  <c r="K64" i="73" s="1"/>
  <c r="J61" i="73"/>
  <c r="K61" i="73" s="1"/>
  <c r="J60" i="73"/>
  <c r="K60" i="73" s="1"/>
  <c r="J59" i="73"/>
  <c r="K59" i="73" s="1"/>
  <c r="J58" i="73"/>
  <c r="K58" i="73" s="1"/>
  <c r="J55" i="73"/>
  <c r="K55" i="73" s="1"/>
  <c r="J54" i="73"/>
  <c r="K54" i="73" s="1"/>
  <c r="J53" i="73"/>
  <c r="K53" i="73" s="1"/>
  <c r="J52" i="73"/>
  <c r="K52" i="73" s="1"/>
  <c r="J48" i="73"/>
  <c r="K48" i="73" s="1"/>
  <c r="J46" i="73"/>
  <c r="K46" i="73" s="1"/>
  <c r="J41" i="73"/>
  <c r="K41" i="73" s="1"/>
  <c r="J40" i="73"/>
  <c r="K40" i="73" s="1"/>
  <c r="J38" i="73"/>
  <c r="K38" i="73" s="1"/>
  <c r="J37" i="73"/>
  <c r="K37" i="73" s="1"/>
  <c r="J36" i="73"/>
  <c r="K36" i="73" s="1"/>
  <c r="J31" i="73"/>
  <c r="K31" i="73" s="1"/>
  <c r="J24" i="73"/>
  <c r="K24" i="73" s="1"/>
  <c r="J25" i="73"/>
  <c r="K25" i="73" s="1"/>
  <c r="J26" i="73"/>
  <c r="K26" i="73" s="1"/>
  <c r="J23" i="73"/>
  <c r="K23" i="73" s="1"/>
  <c r="J21" i="73"/>
  <c r="K21" i="73" s="1"/>
  <c r="J19" i="73"/>
  <c r="K19" i="73" s="1"/>
  <c r="J18" i="73"/>
  <c r="K18" i="73" s="1"/>
  <c r="J17" i="73"/>
  <c r="K17" i="73" s="1"/>
  <c r="J15" i="73"/>
  <c r="K15" i="73" s="1"/>
  <c r="J215" i="73"/>
  <c r="J34" i="73"/>
  <c r="K34" i="73" s="1"/>
  <c r="L35" i="1"/>
  <c r="Q36" i="1"/>
  <c r="Q37" i="1" s="1"/>
  <c r="R36" i="1"/>
  <c r="R37" i="1" s="1"/>
  <c r="S36" i="1"/>
  <c r="S37" i="1" s="1"/>
  <c r="T36" i="1"/>
  <c r="T37" i="1" s="1"/>
  <c r="O37" i="1"/>
  <c r="P37" i="1"/>
  <c r="O42" i="1"/>
  <c r="P42" i="1"/>
  <c r="Q42" i="1"/>
  <c r="R42" i="1"/>
  <c r="S42" i="1"/>
  <c r="T42" i="1"/>
  <c r="U42" i="1"/>
  <c r="G40" i="131" s="1"/>
  <c r="V42" i="1"/>
  <c r="H40" i="131" s="1"/>
  <c r="W42" i="1"/>
  <c r="I40" i="131" s="1"/>
  <c r="X42" i="1"/>
  <c r="K51" i="1"/>
  <c r="K40" i="72"/>
  <c r="L40" i="72" s="1"/>
  <c r="K62" i="87"/>
  <c r="L62" i="87" s="1"/>
  <c r="K20" i="125"/>
  <c r="L20" i="125" s="1"/>
  <c r="K20" i="123"/>
  <c r="L20" i="123" s="1"/>
  <c r="K15" i="1"/>
  <c r="D49" i="131" l="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K42" i="1"/>
  <c r="E40" i="131"/>
  <c r="J51" i="73"/>
  <c r="K51" i="73" s="1"/>
  <c r="J44" i="73"/>
  <c r="K44" i="73" s="1"/>
  <c r="J35" i="73"/>
  <c r="K35" i="73" s="1"/>
  <c r="J109" i="73"/>
  <c r="K109" i="73" s="1"/>
  <c r="J16" i="73"/>
  <c r="K16" i="73" s="1"/>
  <c r="R14" i="85"/>
  <c r="D5" i="85"/>
  <c r="J14" i="73"/>
  <c r="K14" i="73" s="1"/>
  <c r="J12" i="73"/>
  <c r="K12" i="73" s="1"/>
  <c r="J9" i="73"/>
  <c r="K9" i="73" s="1"/>
  <c r="J8" i="73"/>
  <c r="K8" i="73" s="1"/>
  <c r="P35" i="94"/>
  <c r="AB72" i="4"/>
  <c r="AB16" i="4"/>
  <c r="E79" i="131" l="1"/>
  <c r="E197" i="131" s="1"/>
  <c r="K98" i="1"/>
  <c r="K106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J86" i="73"/>
  <c r="K86" i="73" s="1"/>
  <c r="R15" i="85"/>
  <c r="E33" i="131"/>
  <c r="J42" i="73"/>
  <c r="K42" i="73" s="1"/>
  <c r="E14" i="131"/>
  <c r="J7" i="73"/>
  <c r="K7" i="73" s="1"/>
  <c r="E210" i="131" l="1"/>
  <c r="D210" i="131"/>
  <c r="D7" i="131"/>
  <c r="D6" i="131" s="1"/>
  <c r="D208" i="131" s="1"/>
  <c r="D39" i="131"/>
  <c r="E39" i="131" s="1"/>
  <c r="F39" i="131" s="1"/>
  <c r="G39" i="131" s="1"/>
  <c r="H39" i="131" s="1"/>
  <c r="I39" i="131" s="1"/>
  <c r="I27" i="131" s="1"/>
  <c r="I209" i="131" s="1"/>
  <c r="D27" i="131"/>
  <c r="D209" i="131" s="1"/>
  <c r="H27" i="131"/>
  <c r="H209" i="131" s="1"/>
  <c r="F197" i="131"/>
  <c r="F210" i="131"/>
  <c r="H93" i="131"/>
  <c r="G79" i="131"/>
  <c r="F14" i="131"/>
  <c r="J223" i="73"/>
  <c r="J30" i="73"/>
  <c r="K30" i="73" s="1"/>
  <c r="J6" i="73"/>
  <c r="K6" i="73" s="1"/>
  <c r="E7" i="131" l="1"/>
  <c r="F7" i="131" s="1"/>
  <c r="G7" i="131" s="1"/>
  <c r="H7" i="131" s="1"/>
  <c r="I7" i="131" s="1"/>
  <c r="F27" i="131"/>
  <c r="F209" i="131" s="1"/>
  <c r="E27" i="131"/>
  <c r="E209" i="131" s="1"/>
  <c r="G27" i="131"/>
  <c r="G209" i="131" s="1"/>
  <c r="J199" i="73"/>
  <c r="J221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P109" i="94" l="1"/>
  <c r="K184" i="87" l="1"/>
  <c r="L184" i="87" s="1"/>
  <c r="K155" i="87"/>
  <c r="L155" i="87" s="1"/>
  <c r="K117" i="87"/>
  <c r="L117" i="87" s="1"/>
  <c r="K70" i="87"/>
  <c r="L70" i="87" s="1"/>
  <c r="K52" i="87"/>
  <c r="L52" i="87" s="1"/>
  <c r="K17" i="106"/>
  <c r="L17" i="106" s="1"/>
  <c r="K45" i="87"/>
  <c r="L45" i="87" s="1"/>
  <c r="K22" i="72"/>
  <c r="L22" i="72" s="1"/>
  <c r="K42" i="87"/>
  <c r="L42" i="87" s="1"/>
  <c r="K13" i="106"/>
  <c r="L13" i="106" s="1"/>
  <c r="K36" i="87"/>
  <c r="L36" i="87" s="1"/>
  <c r="K29" i="87"/>
  <c r="L29" i="87" s="1"/>
  <c r="K16" i="72"/>
  <c r="L16" i="72" s="1"/>
  <c r="K33" i="87"/>
  <c r="L33" i="87" s="1"/>
  <c r="K13" i="72"/>
  <c r="L13" i="72" s="1"/>
  <c r="K23" i="87"/>
  <c r="L23" i="87" s="1"/>
  <c r="K10" i="87"/>
  <c r="L10" i="87" s="1"/>
  <c r="K10" i="106"/>
  <c r="L10" i="106" s="1"/>
  <c r="K103" i="72"/>
  <c r="L103" i="72" s="1"/>
  <c r="K123" i="87"/>
  <c r="L123" i="87" s="1"/>
  <c r="K58" i="72"/>
  <c r="L58" i="72" s="1"/>
  <c r="K77" i="87"/>
  <c r="L77" i="87" s="1"/>
  <c r="K73" i="87"/>
  <c r="L73" i="87" s="1"/>
  <c r="K7" i="87"/>
  <c r="L7" i="87" s="1"/>
  <c r="K7" i="106"/>
  <c r="L7" i="106" s="1"/>
  <c r="K14" i="87"/>
  <c r="L14" i="87" s="1"/>
  <c r="K212" i="87"/>
  <c r="L212" i="87" s="1"/>
  <c r="K197" i="87"/>
  <c r="L197" i="87" s="1"/>
  <c r="K194" i="87"/>
  <c r="L194" i="87" s="1"/>
  <c r="K191" i="87"/>
  <c r="L191" i="87" s="1"/>
  <c r="K159" i="87"/>
  <c r="L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EE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J185" i="73" l="1"/>
  <c r="K185" i="73" s="1"/>
  <c r="BC72" i="4"/>
  <c r="BB72" i="4"/>
  <c r="BA71" i="4"/>
  <c r="BA72" i="4" s="1"/>
  <c r="BA70" i="4"/>
  <c r="BC69" i="4"/>
  <c r="BA68" i="4"/>
  <c r="BA67" i="4"/>
  <c r="BA66" i="4"/>
  <c r="BA64" i="4"/>
  <c r="BA63" i="4"/>
  <c r="BA62" i="4"/>
  <c r="BA61" i="4"/>
  <c r="BA60" i="4"/>
  <c r="BA59" i="4"/>
  <c r="BB69" i="4"/>
  <c r="BA57" i="4"/>
  <c r="BA54" i="4"/>
  <c r="BA53" i="4"/>
  <c r="BA49" i="4"/>
  <c r="BA48" i="4"/>
  <c r="BA46" i="4"/>
  <c r="BA45" i="4"/>
  <c r="BA44" i="4"/>
  <c r="BA43" i="4"/>
  <c r="BA42" i="4"/>
  <c r="BA41" i="4"/>
  <c r="BA40" i="4"/>
  <c r="BA39" i="4"/>
  <c r="BA38" i="4"/>
  <c r="BA37" i="4"/>
  <c r="BA36" i="4"/>
  <c r="BA33" i="4"/>
  <c r="BA32" i="4"/>
  <c r="BA31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C16" i="4"/>
  <c r="BB16" i="4"/>
  <c r="BA16" i="4"/>
  <c r="AZ72" i="4"/>
  <c r="AY72" i="4"/>
  <c r="AX71" i="4"/>
  <c r="AX72" i="4" s="1"/>
  <c r="AX70" i="4"/>
  <c r="AZ69" i="4"/>
  <c r="AX68" i="4"/>
  <c r="AX67" i="4"/>
  <c r="AX66" i="4"/>
  <c r="AX64" i="4"/>
  <c r="AX63" i="4"/>
  <c r="AX62" i="4"/>
  <c r="AX61" i="4"/>
  <c r="AX60" i="4"/>
  <c r="AX57" i="4"/>
  <c r="AX54" i="4"/>
  <c r="AX53" i="4"/>
  <c r="AX50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K69" i="72" s="1"/>
  <c r="L69" i="72" s="1"/>
  <c r="AX34" i="4"/>
  <c r="K91" i="87" s="1"/>
  <c r="L91" i="87" s="1"/>
  <c r="AX33" i="4"/>
  <c r="AX32" i="4"/>
  <c r="AX31" i="4"/>
  <c r="AX30" i="4"/>
  <c r="K26" i="106" s="1"/>
  <c r="L26" i="106" s="1"/>
  <c r="AX29" i="4"/>
  <c r="AX28" i="4"/>
  <c r="AX27" i="4"/>
  <c r="AX26" i="4"/>
  <c r="AY52" i="4"/>
  <c r="AX25" i="4"/>
  <c r="K35" i="125" s="1"/>
  <c r="L35" i="125" s="1"/>
  <c r="AX24" i="4"/>
  <c r="AX23" i="4"/>
  <c r="AX22" i="4"/>
  <c r="AX21" i="4"/>
  <c r="AX20" i="4"/>
  <c r="AX19" i="4"/>
  <c r="AX18" i="4"/>
  <c r="AX17" i="4"/>
  <c r="AZ16" i="4"/>
  <c r="AY16" i="4"/>
  <c r="AX16" i="4"/>
  <c r="AY55" i="4" l="1"/>
  <c r="AX52" i="4"/>
  <c r="AX55" i="4" s="1"/>
  <c r="BA58" i="4"/>
  <c r="BA69" i="4" s="1"/>
  <c r="AZ52" i="4"/>
  <c r="AZ55" i="4" s="1"/>
  <c r="AZ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K22" i="127" l="1"/>
  <c r="L22" i="127" s="1"/>
  <c r="R51" i="4" l="1"/>
  <c r="R47" i="4"/>
  <c r="R48" i="4"/>
  <c r="R14" i="4"/>
  <c r="R13" i="4"/>
  <c r="EB13" i="4" s="1"/>
  <c r="R12" i="4"/>
  <c r="R11" i="4"/>
  <c r="EB11" i="4" s="1"/>
  <c r="R10" i="4"/>
  <c r="R9" i="4"/>
  <c r="EB9" i="4" s="1"/>
  <c r="R8" i="4"/>
  <c r="EB8" i="4" s="1"/>
  <c r="I12" i="4" l="1"/>
  <c r="EB12" i="4"/>
  <c r="M5" i="130"/>
  <c r="EB14" i="4"/>
  <c r="I8" i="4"/>
  <c r="D120" i="131" l="1"/>
  <c r="E120" i="131" s="1"/>
  <c r="F120" i="131" s="1"/>
  <c r="G120" i="131" s="1"/>
  <c r="H120" i="131" s="1"/>
  <c r="I120" i="131" s="1"/>
  <c r="EE8" i="4"/>
  <c r="D124" i="131"/>
  <c r="E124" i="131" s="1"/>
  <c r="F124" i="131" s="1"/>
  <c r="G124" i="131" s="1"/>
  <c r="H124" i="131" s="1"/>
  <c r="I124" i="131" s="1"/>
  <c r="EE12" i="4"/>
  <c r="DX8" i="130"/>
  <c r="DX12" i="130"/>
  <c r="EC12" i="4"/>
  <c r="EC8" i="4"/>
  <c r="K19" i="127"/>
  <c r="L19" i="127" s="1"/>
  <c r="K16" i="127"/>
  <c r="L16" i="127" s="1"/>
  <c r="K13" i="127"/>
  <c r="L13" i="127" s="1"/>
  <c r="K10" i="127"/>
  <c r="L10" i="127" s="1"/>
  <c r="K55" i="125" l="1"/>
  <c r="L55" i="125" s="1"/>
  <c r="K26" i="125" l="1"/>
  <c r="L26" i="125" s="1"/>
  <c r="K29" i="125"/>
  <c r="L29" i="125" s="1"/>
  <c r="K11" i="125"/>
  <c r="L11" i="125" s="1"/>
  <c r="K11" i="123"/>
  <c r="L11" i="123" s="1"/>
  <c r="CG23" i="4" l="1"/>
  <c r="CG24" i="4"/>
  <c r="V71" i="4"/>
  <c r="EF71" i="4" s="1"/>
  <c r="V70" i="4"/>
  <c r="EF70" i="4" s="1"/>
  <c r="V67" i="4"/>
  <c r="EF67" i="4" s="1"/>
  <c r="V64" i="4"/>
  <c r="EF64" i="4" s="1"/>
  <c r="V63" i="4"/>
  <c r="EF63" i="4" s="1"/>
  <c r="V62" i="4"/>
  <c r="EF62" i="4" s="1"/>
  <c r="V61" i="4"/>
  <c r="EF61" i="4" s="1"/>
  <c r="V60" i="4"/>
  <c r="EF60" i="4" s="1"/>
  <c r="V59" i="4"/>
  <c r="EF59" i="4" s="1"/>
  <c r="V57" i="4"/>
  <c r="EF57" i="4" s="1"/>
  <c r="V56" i="4"/>
  <c r="V54" i="4"/>
  <c r="EF54" i="4" s="1"/>
  <c r="V53" i="4"/>
  <c r="EF53" i="4" s="1"/>
  <c r="V51" i="4"/>
  <c r="EF51" i="4" s="1"/>
  <c r="V50" i="4"/>
  <c r="EF50" i="4" s="1"/>
  <c r="V49" i="4"/>
  <c r="EF49" i="4" s="1"/>
  <c r="V48" i="4"/>
  <c r="EF48" i="4" s="1"/>
  <c r="V47" i="4"/>
  <c r="EF47" i="4" s="1"/>
  <c r="V46" i="4"/>
  <c r="EF46" i="4" s="1"/>
  <c r="V45" i="4"/>
  <c r="EF45" i="4" s="1"/>
  <c r="V43" i="4"/>
  <c r="EF43" i="4" s="1"/>
  <c r="V42" i="4"/>
  <c r="EF42" i="4" s="1"/>
  <c r="V41" i="4"/>
  <c r="EF41" i="4" s="1"/>
  <c r="V40" i="4"/>
  <c r="EF40" i="4" s="1"/>
  <c r="V39" i="4"/>
  <c r="EF39" i="4" s="1"/>
  <c r="V37" i="4"/>
  <c r="EF37" i="4" s="1"/>
  <c r="V36" i="4"/>
  <c r="EF36" i="4" s="1"/>
  <c r="V33" i="4"/>
  <c r="EF33" i="4" s="1"/>
  <c r="V32" i="4"/>
  <c r="EF32" i="4" s="1"/>
  <c r="V31" i="4"/>
  <c r="EF31" i="4" s="1"/>
  <c r="V30" i="4"/>
  <c r="EF30" i="4" s="1"/>
  <c r="V29" i="4"/>
  <c r="EF29" i="4" s="1"/>
  <c r="V28" i="4"/>
  <c r="EF28" i="4" s="1"/>
  <c r="V27" i="4"/>
  <c r="EF27" i="4" s="1"/>
  <c r="V26" i="4"/>
  <c r="EF26" i="4" s="1"/>
  <c r="V24" i="4"/>
  <c r="EF24" i="4" s="1"/>
  <c r="V23" i="4"/>
  <c r="EF23" i="4" s="1"/>
  <c r="V20" i="4"/>
  <c r="EF20" i="4" s="1"/>
  <c r="V19" i="4"/>
  <c r="EF19" i="4" s="1"/>
  <c r="DV25" i="4"/>
  <c r="K65" i="125" s="1"/>
  <c r="L65" i="125" s="1"/>
  <c r="DV34" i="4"/>
  <c r="K202" i="87" s="1"/>
  <c r="L202" i="87" s="1"/>
  <c r="DX52" i="4"/>
  <c r="DX72" i="4"/>
  <c r="DX69" i="4"/>
  <c r="DX16" i="4"/>
  <c r="DW72" i="4"/>
  <c r="DW69" i="4"/>
  <c r="DW52" i="4"/>
  <c r="DW16" i="4"/>
  <c r="EB56" i="4" l="1"/>
  <c r="EF56" i="4"/>
  <c r="DW55" i="4"/>
  <c r="DW74" i="4" s="1"/>
  <c r="DX55" i="4"/>
  <c r="DX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P158" i="94"/>
  <c r="DT72" i="4" l="1"/>
  <c r="T308" i="94"/>
  <c r="U308" i="94" s="1"/>
  <c r="DT16" i="4"/>
  <c r="DT52" i="4"/>
  <c r="DT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EA52" i="4" l="1"/>
  <c r="DZ52" i="4"/>
  <c r="DY52" i="4"/>
  <c r="DU52" i="4"/>
  <c r="DS52" i="4"/>
  <c r="DR52" i="4"/>
  <c r="DQ52" i="4"/>
  <c r="DP52" i="4"/>
  <c r="U52" i="4"/>
  <c r="K52" i="4"/>
  <c r="L72" i="4"/>
  <c r="L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J83" i="73" l="1"/>
  <c r="K83" i="73" s="1"/>
  <c r="J80" i="73" l="1"/>
  <c r="K80" i="73" s="1"/>
  <c r="J207" i="73" l="1"/>
  <c r="R16" i="85"/>
  <c r="S16" i="85" s="1"/>
  <c r="C6" i="114"/>
  <c r="O7" i="1" l="1"/>
  <c r="DH52" i="4" l="1"/>
  <c r="DI52" i="4"/>
  <c r="DE52" i="4"/>
  <c r="DF52" i="4"/>
  <c r="CZ52" i="4"/>
  <c r="CC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W52" i="4" l="1"/>
  <c r="AC52" i="4"/>
  <c r="S35" i="111" l="1"/>
  <c r="Q29" i="111" l="1"/>
  <c r="T7" i="1"/>
  <c r="T14" i="1" s="1"/>
  <c r="V7" i="1"/>
  <c r="V8" i="1"/>
  <c r="V12" i="1"/>
  <c r="V9" i="1"/>
  <c r="V13" i="1"/>
  <c r="O14" i="1"/>
  <c r="Q14" i="1"/>
  <c r="R14" i="1"/>
  <c r="S14" i="1"/>
  <c r="W14" i="1"/>
  <c r="V14" i="1" l="1"/>
  <c r="V15" i="1" s="1"/>
  <c r="Q34" i="111" l="1"/>
  <c r="Q33" i="111"/>
  <c r="Q32" i="111"/>
  <c r="Q31" i="111"/>
  <c r="Q30" i="111"/>
  <c r="H47" i="111" l="1"/>
  <c r="I47" i="111"/>
  <c r="K65" i="104" l="1"/>
  <c r="L65" i="104" s="1"/>
  <c r="I11" i="4" l="1"/>
  <c r="I10" i="4"/>
  <c r="EE10" i="4" s="1"/>
  <c r="DK19" i="4"/>
  <c r="DK22" i="4"/>
  <c r="D123" i="131" l="1"/>
  <c r="EE11" i="4"/>
  <c r="D122" i="131"/>
  <c r="E122" i="131" s="1"/>
  <c r="F122" i="131" s="1"/>
  <c r="G122" i="131" s="1"/>
  <c r="H122" i="131" s="1"/>
  <c r="I122" i="131" s="1"/>
  <c r="DX10" i="130"/>
  <c r="EC10" i="4"/>
  <c r="DX11" i="130"/>
  <c r="EC11" i="4"/>
  <c r="Y52" i="4"/>
  <c r="K16" i="117" l="1"/>
  <c r="AD52" i="4"/>
  <c r="AA52" i="4"/>
  <c r="Z52" i="4"/>
  <c r="DN52" i="4" l="1"/>
  <c r="CQ36" i="4"/>
  <c r="CQ37" i="4"/>
  <c r="CS16" i="4"/>
  <c r="CR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M52" i="4"/>
  <c r="CY52" i="4"/>
  <c r="DM52" i="4"/>
  <c r="AS52" i="4"/>
  <c r="AT52" i="4"/>
  <c r="E17" i="117" l="1"/>
  <c r="C17" i="117" s="1"/>
  <c r="C16" i="117"/>
  <c r="CJ52" i="4"/>
  <c r="CV52" i="4"/>
  <c r="CP52" i="4"/>
  <c r="O31" i="117" l="1"/>
  <c r="O47" i="117" s="1"/>
  <c r="O143" i="117" s="1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BX52" i="4"/>
  <c r="BW52" i="4"/>
  <c r="BU52" i="4"/>
  <c r="BO52" i="4"/>
  <c r="AQ52" i="4"/>
  <c r="L35" i="117" l="1"/>
  <c r="N31" i="117"/>
  <c r="N47" i="117" s="1"/>
  <c r="N143" i="117" s="1"/>
  <c r="AH52" i="4"/>
  <c r="AN52" i="4"/>
  <c r="S52" i="4"/>
  <c r="T52" i="4"/>
  <c r="BY52" i="4"/>
  <c r="J52" i="4"/>
  <c r="C35" i="117" l="1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U72" i="4"/>
  <c r="O88" i="111" l="1"/>
  <c r="O89" i="111"/>
  <c r="S71" i="111"/>
  <c r="S72" i="111" s="1"/>
  <c r="O73" i="111"/>
  <c r="O72" i="111"/>
  <c r="P72" i="111"/>
  <c r="O104" i="111" l="1"/>
  <c r="Q72" i="4"/>
  <c r="Q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R72" i="4"/>
  <c r="DR16" i="4"/>
  <c r="P47" i="111" l="1"/>
  <c r="T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P317" i="94"/>
  <c r="P68" i="94"/>
  <c r="P64" i="94"/>
  <c r="P45" i="94"/>
  <c r="P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K6" i="107"/>
  <c r="L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P308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EA16" i="4" l="1"/>
  <c r="DZ16" i="4"/>
  <c r="DY16" i="4"/>
  <c r="DV16" i="4"/>
  <c r="DU16" i="4"/>
  <c r="DS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V55" i="4" s="1"/>
  <c r="CV74" i="4" s="1"/>
  <c r="CU16" i="4"/>
  <c r="CT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F16" i="4"/>
  <c r="BE16" i="4"/>
  <c r="BD16" i="4"/>
  <c r="AW16" i="4"/>
  <c r="AV16" i="4"/>
  <c r="AU16" i="4"/>
  <c r="AT16" i="4"/>
  <c r="AS16" i="4"/>
  <c r="AR16" i="4"/>
  <c r="AQ16" i="4"/>
  <c r="AP16" i="4"/>
  <c r="AN16" i="4"/>
  <c r="AM16" i="4"/>
  <c r="AL16" i="4"/>
  <c r="AK16" i="4"/>
  <c r="AJ16" i="4"/>
  <c r="AH16" i="4"/>
  <c r="AG16" i="4"/>
  <c r="T16" i="4"/>
  <c r="L94" i="75" l="1"/>
  <c r="C94" i="75" s="1"/>
  <c r="C130" i="75" s="1"/>
  <c r="J125" i="73"/>
  <c r="P304" i="94" l="1"/>
  <c r="P300" i="94"/>
  <c r="L43" i="75" l="1"/>
  <c r="C43" i="75" s="1"/>
  <c r="L42" i="75" l="1"/>
  <c r="L46" i="75" l="1"/>
  <c r="C42" i="75"/>
  <c r="C46" i="75" s="1"/>
  <c r="C132" i="75" s="1"/>
  <c r="S54" i="85" l="1"/>
  <c r="DQ72" i="4" l="1"/>
  <c r="DP72" i="4"/>
  <c r="DQ69" i="4"/>
  <c r="T304" i="94" l="1"/>
  <c r="U304" i="94" s="1"/>
  <c r="DP69" i="4"/>
  <c r="T300" i="94" s="1"/>
  <c r="U300" i="94" s="1"/>
  <c r="DQ55" i="4"/>
  <c r="DQ74" i="4" s="1"/>
  <c r="DP55" i="4"/>
  <c r="DP74" i="4" l="1"/>
  <c r="P288" i="94" l="1"/>
  <c r="P254" i="94" l="1"/>
  <c r="DK33" i="4" l="1"/>
  <c r="P133" i="94" l="1"/>
  <c r="K162" i="105" l="1"/>
  <c r="L162" i="105" s="1"/>
  <c r="K154" i="105"/>
  <c r="L154" i="105" s="1"/>
  <c r="K148" i="105"/>
  <c r="L148" i="105" s="1"/>
  <c r="K134" i="105"/>
  <c r="L134" i="105" s="1"/>
  <c r="K131" i="105"/>
  <c r="L131" i="105" s="1"/>
  <c r="K127" i="105"/>
  <c r="L127" i="105" s="1"/>
  <c r="K106" i="105"/>
  <c r="L106" i="105" s="1"/>
  <c r="K100" i="105"/>
  <c r="L100" i="105" s="1"/>
  <c r="K72" i="105"/>
  <c r="L72" i="105" s="1"/>
  <c r="K63" i="105"/>
  <c r="L63" i="105" s="1"/>
  <c r="K37" i="105"/>
  <c r="L37" i="105" s="1"/>
  <c r="K24" i="105"/>
  <c r="L24" i="105" s="1"/>
  <c r="K7" i="105"/>
  <c r="L7" i="105" s="1"/>
  <c r="K42" i="104"/>
  <c r="L42" i="104" s="1"/>
  <c r="K33" i="104"/>
  <c r="L33" i="104" s="1"/>
  <c r="K7" i="104"/>
  <c r="L7" i="104" s="1"/>
  <c r="K60" i="105"/>
  <c r="L60" i="105" s="1"/>
  <c r="CW34" i="4" l="1"/>
  <c r="K142" i="87" s="1"/>
  <c r="L142" i="87" s="1"/>
  <c r="F82" i="84" l="1"/>
  <c r="G82" i="84" s="1"/>
  <c r="P11" i="91"/>
  <c r="P291" i="94" l="1"/>
  <c r="P96" i="94"/>
  <c r="AU23" i="4" l="1"/>
  <c r="I9" i="4" l="1"/>
  <c r="D121" i="131" l="1"/>
  <c r="E121" i="131" s="1"/>
  <c r="EE9" i="4"/>
  <c r="DX9" i="130"/>
  <c r="EC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K35" i="105"/>
  <c r="L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K41" i="105"/>
  <c r="L41" i="105" s="1"/>
  <c r="K46" i="104"/>
  <c r="L46" i="104" s="1"/>
  <c r="K30" i="105"/>
  <c r="L30" i="105" s="1"/>
  <c r="K21" i="105"/>
  <c r="L21" i="105" s="1"/>
  <c r="K20" i="104"/>
  <c r="L20" i="104" s="1"/>
  <c r="K10" i="105"/>
  <c r="L10" i="105" s="1"/>
  <c r="K10" i="104"/>
  <c r="L10" i="104" s="1"/>
  <c r="K30" i="104" l="1"/>
  <c r="L30" i="104" s="1"/>
  <c r="K27" i="105"/>
  <c r="L27" i="105" s="1"/>
  <c r="K70" i="104" l="1"/>
  <c r="L70" i="104" s="1"/>
  <c r="BD58" i="4" l="1"/>
  <c r="K10" i="107" l="1"/>
  <c r="L10" i="107" s="1"/>
  <c r="R66" i="4" l="1"/>
  <c r="AF59" i="4"/>
  <c r="AF60" i="4"/>
  <c r="R21" i="4"/>
  <c r="R22" i="4"/>
  <c r="R23" i="4"/>
  <c r="R24" i="4"/>
  <c r="AF34" i="4"/>
  <c r="K55" i="87" s="1"/>
  <c r="L55" i="87" s="1"/>
  <c r="AL34" i="4"/>
  <c r="K65" i="87" s="1"/>
  <c r="L65" i="87" s="1"/>
  <c r="BJ34" i="4"/>
  <c r="K208" i="87" s="1"/>
  <c r="L208" i="87" s="1"/>
  <c r="BM34" i="4"/>
  <c r="K104" i="87" s="1"/>
  <c r="L104" i="87" s="1"/>
  <c r="BS34" i="4"/>
  <c r="K107" i="87" s="1"/>
  <c r="L107" i="87" s="1"/>
  <c r="BZ34" i="4"/>
  <c r="K114" i="87" s="1"/>
  <c r="L114" i="87" s="1"/>
  <c r="AF36" i="4"/>
  <c r="AL36" i="4"/>
  <c r="AR36" i="4"/>
  <c r="AU36" i="4"/>
  <c r="BD36" i="4"/>
  <c r="BJ36" i="4"/>
  <c r="BM36" i="4"/>
  <c r="BP36" i="4"/>
  <c r="BS36" i="4"/>
  <c r="BV36" i="4"/>
  <c r="BZ36" i="4"/>
  <c r="CD36" i="4"/>
  <c r="AF37" i="4"/>
  <c r="AI37" i="4"/>
  <c r="AL37" i="4"/>
  <c r="AR37" i="4"/>
  <c r="AU37" i="4"/>
  <c r="BD37" i="4"/>
  <c r="BJ37" i="4"/>
  <c r="BM37" i="4"/>
  <c r="BP37" i="4"/>
  <c r="BS37" i="4"/>
  <c r="BV37" i="4"/>
  <c r="BZ37" i="4"/>
  <c r="CD37" i="4"/>
  <c r="DA32" i="4"/>
  <c r="DA33" i="4"/>
  <c r="DA35" i="4"/>
  <c r="DA36" i="4"/>
  <c r="CW30" i="4"/>
  <c r="CW31" i="4"/>
  <c r="CW32" i="4"/>
  <c r="CW33" i="4"/>
  <c r="CW36" i="4"/>
  <c r="CK27" i="4"/>
  <c r="CK28" i="4"/>
  <c r="CK29" i="4"/>
  <c r="CK30" i="4"/>
  <c r="CK31" i="4"/>
  <c r="CK32" i="4"/>
  <c r="CK33" i="4"/>
  <c r="CK36" i="4"/>
  <c r="CG20" i="4"/>
  <c r="CG26" i="4"/>
  <c r="CG27" i="4"/>
  <c r="CG28" i="4"/>
  <c r="CG29" i="4"/>
  <c r="CG31" i="4"/>
  <c r="CG32" i="4"/>
  <c r="CG33" i="4"/>
  <c r="CG36" i="4"/>
  <c r="CG37" i="4"/>
  <c r="CK59" i="4"/>
  <c r="DK71" i="4"/>
  <c r="DG71" i="4"/>
  <c r="DD71" i="4"/>
  <c r="DA71" i="4"/>
  <c r="DK70" i="4"/>
  <c r="DG70" i="4"/>
  <c r="DD70" i="4"/>
  <c r="DA70" i="4"/>
  <c r="DK68" i="4"/>
  <c r="DG68" i="4"/>
  <c r="DD68" i="4"/>
  <c r="DA68" i="4"/>
  <c r="DK67" i="4"/>
  <c r="DG67" i="4"/>
  <c r="DD67" i="4"/>
  <c r="DA67" i="4"/>
  <c r="DK66" i="4"/>
  <c r="DG66" i="4"/>
  <c r="DD66" i="4"/>
  <c r="DA66" i="4"/>
  <c r="DK64" i="4"/>
  <c r="DG64" i="4"/>
  <c r="DD64" i="4"/>
  <c r="DA64" i="4"/>
  <c r="DK63" i="4"/>
  <c r="DG63" i="4"/>
  <c r="DD63" i="4"/>
  <c r="DA63" i="4"/>
  <c r="DK62" i="4"/>
  <c r="DG62" i="4"/>
  <c r="DD62" i="4"/>
  <c r="DA62" i="4"/>
  <c r="DK61" i="4"/>
  <c r="DG61" i="4"/>
  <c r="DD61" i="4"/>
  <c r="DK60" i="4"/>
  <c r="DG60" i="4"/>
  <c r="DD60" i="4"/>
  <c r="DA60" i="4"/>
  <c r="DK59" i="4"/>
  <c r="DG59" i="4"/>
  <c r="DA59" i="4"/>
  <c r="DK58" i="4"/>
  <c r="DG58" i="4"/>
  <c r="DD58" i="4"/>
  <c r="DA58" i="4"/>
  <c r="DK57" i="4"/>
  <c r="DG57" i="4"/>
  <c r="DD57" i="4"/>
  <c r="DA57" i="4"/>
  <c r="DK54" i="4"/>
  <c r="DG54" i="4"/>
  <c r="DD54" i="4"/>
  <c r="DA54" i="4"/>
  <c r="DK53" i="4"/>
  <c r="DG53" i="4"/>
  <c r="DD53" i="4"/>
  <c r="DA53" i="4"/>
  <c r="DK50" i="4"/>
  <c r="DG50" i="4"/>
  <c r="DD50" i="4"/>
  <c r="DA50" i="4"/>
  <c r="DK49" i="4"/>
  <c r="DG49" i="4"/>
  <c r="DD49" i="4"/>
  <c r="DA49" i="4"/>
  <c r="DK48" i="4"/>
  <c r="DG48" i="4"/>
  <c r="DD48" i="4"/>
  <c r="DA48" i="4"/>
  <c r="DK46" i="4"/>
  <c r="DG46" i="4"/>
  <c r="DD46" i="4"/>
  <c r="DA46" i="4"/>
  <c r="DK45" i="4"/>
  <c r="DG45" i="4"/>
  <c r="DD45" i="4"/>
  <c r="DA45" i="4"/>
  <c r="DK44" i="4"/>
  <c r="DG44" i="4"/>
  <c r="DD44" i="4"/>
  <c r="DA44" i="4"/>
  <c r="DK43" i="4"/>
  <c r="DG43" i="4"/>
  <c r="DD43" i="4"/>
  <c r="DA43" i="4"/>
  <c r="DK42" i="4"/>
  <c r="DG42" i="4"/>
  <c r="DD42" i="4"/>
  <c r="DA42" i="4"/>
  <c r="DK41" i="4"/>
  <c r="DG41" i="4"/>
  <c r="DD41" i="4"/>
  <c r="DA41" i="4"/>
  <c r="DK40" i="4"/>
  <c r="DG40" i="4"/>
  <c r="DD40" i="4"/>
  <c r="DA40" i="4"/>
  <c r="DK39" i="4"/>
  <c r="DG39" i="4"/>
  <c r="DD39" i="4"/>
  <c r="DA39" i="4"/>
  <c r="DK38" i="4"/>
  <c r="DG38" i="4"/>
  <c r="DD38" i="4"/>
  <c r="DA38" i="4"/>
  <c r="DK37" i="4"/>
  <c r="DG37" i="4"/>
  <c r="DD37" i="4"/>
  <c r="DA37" i="4"/>
  <c r="DK36" i="4"/>
  <c r="DG36" i="4"/>
  <c r="DD36" i="4"/>
  <c r="DK35" i="4"/>
  <c r="DG35" i="4"/>
  <c r="DD35" i="4"/>
  <c r="DG34" i="4"/>
  <c r="K180" i="87" s="1"/>
  <c r="L180" i="87" s="1"/>
  <c r="DD34" i="4"/>
  <c r="K177" i="87" s="1"/>
  <c r="L177" i="87" s="1"/>
  <c r="DG33" i="4"/>
  <c r="DD33" i="4"/>
  <c r="DK32" i="4"/>
  <c r="DG32" i="4"/>
  <c r="DD32" i="4"/>
  <c r="DK31" i="4"/>
  <c r="DG31" i="4"/>
  <c r="DD31" i="4"/>
  <c r="DA31" i="4"/>
  <c r="DK30" i="4"/>
  <c r="DG30" i="4"/>
  <c r="DD30" i="4"/>
  <c r="DA30" i="4"/>
  <c r="DK29" i="4"/>
  <c r="DG29" i="4"/>
  <c r="DD29" i="4"/>
  <c r="DA29" i="4"/>
  <c r="DK28" i="4"/>
  <c r="DG28" i="4"/>
  <c r="DD28" i="4"/>
  <c r="DA28" i="4"/>
  <c r="DK27" i="4"/>
  <c r="DG27" i="4"/>
  <c r="DD27" i="4"/>
  <c r="DA27" i="4"/>
  <c r="DK26" i="4"/>
  <c r="DG26" i="4"/>
  <c r="DD26" i="4"/>
  <c r="DK25" i="4"/>
  <c r="DG25" i="4"/>
  <c r="DD25" i="4"/>
  <c r="DA25" i="4"/>
  <c r="DK24" i="4"/>
  <c r="DG24" i="4"/>
  <c r="DD24" i="4"/>
  <c r="DA24" i="4"/>
  <c r="DK23" i="4"/>
  <c r="DG23" i="4"/>
  <c r="DD23" i="4"/>
  <c r="DA23" i="4"/>
  <c r="K123" i="105"/>
  <c r="L123" i="105" s="1"/>
  <c r="DG22" i="4"/>
  <c r="K144" i="105" s="1"/>
  <c r="L144" i="105" s="1"/>
  <c r="DD22" i="4"/>
  <c r="K141" i="105" s="1"/>
  <c r="L141" i="105" s="1"/>
  <c r="DA22" i="4"/>
  <c r="K137" i="105" s="1"/>
  <c r="L137" i="105" s="1"/>
  <c r="DK21" i="4"/>
  <c r="DG21" i="4"/>
  <c r="DD21" i="4"/>
  <c r="DA21" i="4"/>
  <c r="DK20" i="4"/>
  <c r="DG20" i="4"/>
  <c r="DD20" i="4"/>
  <c r="DA20" i="4"/>
  <c r="DG19" i="4"/>
  <c r="DD19" i="4"/>
  <c r="DA19" i="4"/>
  <c r="DK18" i="4"/>
  <c r="DG18" i="4"/>
  <c r="DD18" i="4"/>
  <c r="DK17" i="4"/>
  <c r="DG17" i="4"/>
  <c r="DD17" i="4"/>
  <c r="DA17" i="4"/>
  <c r="CW71" i="4"/>
  <c r="CK71" i="4"/>
  <c r="CG71" i="4"/>
  <c r="CW70" i="4"/>
  <c r="CK70" i="4"/>
  <c r="CG70" i="4"/>
  <c r="CW68" i="4"/>
  <c r="CK68" i="4"/>
  <c r="CG68" i="4"/>
  <c r="CW67" i="4"/>
  <c r="CK67" i="4"/>
  <c r="CG67" i="4"/>
  <c r="CW66" i="4"/>
  <c r="CK66" i="4"/>
  <c r="CG66" i="4"/>
  <c r="CW64" i="4"/>
  <c r="CK64" i="4"/>
  <c r="CG64" i="4"/>
  <c r="I64" i="4" s="1"/>
  <c r="CW63" i="4"/>
  <c r="CK63" i="4"/>
  <c r="CG63" i="4"/>
  <c r="CW62" i="4"/>
  <c r="CK62" i="4"/>
  <c r="CG62" i="4"/>
  <c r="CW61" i="4"/>
  <c r="CK61" i="4"/>
  <c r="CG61" i="4"/>
  <c r="CW60" i="4"/>
  <c r="CK60" i="4"/>
  <c r="CW59" i="4"/>
  <c r="CW58" i="4"/>
  <c r="CW57" i="4"/>
  <c r="CK57" i="4"/>
  <c r="CG57" i="4"/>
  <c r="CW54" i="4"/>
  <c r="CK54" i="4"/>
  <c r="CG54" i="4"/>
  <c r="CW53" i="4"/>
  <c r="CK53" i="4"/>
  <c r="CG53" i="4"/>
  <c r="CW50" i="4"/>
  <c r="CK50" i="4"/>
  <c r="CG50" i="4"/>
  <c r="CW49" i="4"/>
  <c r="CG49" i="4"/>
  <c r="CW48" i="4"/>
  <c r="CG48" i="4"/>
  <c r="CW46" i="4"/>
  <c r="CG46" i="4"/>
  <c r="CW45" i="4"/>
  <c r="CG45" i="4"/>
  <c r="CW44" i="4"/>
  <c r="CG44" i="4"/>
  <c r="CW43" i="4"/>
  <c r="CG43" i="4"/>
  <c r="CW42" i="4"/>
  <c r="CG42" i="4"/>
  <c r="CW41" i="4"/>
  <c r="CG41" i="4"/>
  <c r="CW40" i="4"/>
  <c r="CG40" i="4"/>
  <c r="CW39" i="4"/>
  <c r="CG39" i="4"/>
  <c r="CW38" i="4"/>
  <c r="CG38" i="4"/>
  <c r="CW37" i="4"/>
  <c r="CW29" i="4"/>
  <c r="CW28" i="4"/>
  <c r="CW27" i="4"/>
  <c r="CW26" i="4"/>
  <c r="CK26" i="4"/>
  <c r="CW25" i="4"/>
  <c r="K122" i="105" s="1"/>
  <c r="CK25" i="4"/>
  <c r="K58" i="125" s="1"/>
  <c r="L58" i="125" s="1"/>
  <c r="CW24" i="4"/>
  <c r="CK24" i="4"/>
  <c r="CW23" i="4"/>
  <c r="K120" i="105" s="1"/>
  <c r="CK23" i="4"/>
  <c r="CW22" i="4"/>
  <c r="K119" i="105" s="1"/>
  <c r="L119" i="105" s="1"/>
  <c r="CK22" i="4"/>
  <c r="K116" i="105" s="1"/>
  <c r="L116" i="105" s="1"/>
  <c r="CW21" i="4"/>
  <c r="CK21" i="4"/>
  <c r="CW20" i="4"/>
  <c r="CK20" i="4"/>
  <c r="CW19" i="4"/>
  <c r="CK19" i="4"/>
  <c r="CG19" i="4"/>
  <c r="CW18" i="4"/>
  <c r="CK18" i="4"/>
  <c r="CG18" i="4"/>
  <c r="CW17" i="4"/>
  <c r="CK17" i="4"/>
  <c r="CG17" i="4"/>
  <c r="CD71" i="4"/>
  <c r="BZ71" i="4"/>
  <c r="BV71" i="4"/>
  <c r="CD70" i="4"/>
  <c r="BZ70" i="4"/>
  <c r="BV70" i="4"/>
  <c r="CD68" i="4"/>
  <c r="BZ68" i="4"/>
  <c r="BV68" i="4"/>
  <c r="CD67" i="4"/>
  <c r="BZ67" i="4"/>
  <c r="BV67" i="4"/>
  <c r="CD66" i="4"/>
  <c r="BZ66" i="4"/>
  <c r="BV66" i="4"/>
  <c r="CD64" i="4"/>
  <c r="BZ64" i="4"/>
  <c r="BV64" i="4"/>
  <c r="CD63" i="4"/>
  <c r="BZ63" i="4"/>
  <c r="BV63" i="4"/>
  <c r="CD62" i="4"/>
  <c r="BZ62" i="4"/>
  <c r="BV62" i="4"/>
  <c r="CD61" i="4"/>
  <c r="BZ61" i="4"/>
  <c r="BV61" i="4"/>
  <c r="CD60" i="4"/>
  <c r="BZ60" i="4"/>
  <c r="BV60" i="4"/>
  <c r="CD59" i="4"/>
  <c r="BV59" i="4"/>
  <c r="CD57" i="4"/>
  <c r="BZ57" i="4"/>
  <c r="BV57" i="4"/>
  <c r="CD54" i="4"/>
  <c r="BZ54" i="4"/>
  <c r="BV54" i="4"/>
  <c r="CD53" i="4"/>
  <c r="BZ53" i="4"/>
  <c r="BV53" i="4"/>
  <c r="CD50" i="4"/>
  <c r="BZ50" i="4"/>
  <c r="BV50" i="4"/>
  <c r="CD49" i="4"/>
  <c r="BZ49" i="4"/>
  <c r="BV49" i="4"/>
  <c r="CD48" i="4"/>
  <c r="BZ48" i="4"/>
  <c r="BV48" i="4"/>
  <c r="CD46" i="4"/>
  <c r="BZ46" i="4"/>
  <c r="BV46" i="4"/>
  <c r="CD45" i="4"/>
  <c r="BZ45" i="4"/>
  <c r="BV45" i="4"/>
  <c r="CD44" i="4"/>
  <c r="BZ44" i="4"/>
  <c r="BV44" i="4"/>
  <c r="CD43" i="4"/>
  <c r="BZ43" i="4"/>
  <c r="BV43" i="4"/>
  <c r="CD42" i="4"/>
  <c r="BZ42" i="4"/>
  <c r="BV42" i="4"/>
  <c r="CD41" i="4"/>
  <c r="BZ41" i="4"/>
  <c r="BV41" i="4"/>
  <c r="CD40" i="4"/>
  <c r="BZ40" i="4"/>
  <c r="BV40" i="4"/>
  <c r="CD39" i="4"/>
  <c r="BZ39" i="4"/>
  <c r="BV39" i="4"/>
  <c r="CD38" i="4"/>
  <c r="BZ38" i="4"/>
  <c r="BV38" i="4"/>
  <c r="CD33" i="4"/>
  <c r="BZ33" i="4"/>
  <c r="BV33" i="4"/>
  <c r="CD32" i="4"/>
  <c r="BZ32" i="4"/>
  <c r="BV32" i="4"/>
  <c r="CD31" i="4"/>
  <c r="BZ31" i="4"/>
  <c r="BV31" i="4"/>
  <c r="CD30" i="4"/>
  <c r="BZ30" i="4"/>
  <c r="BV30" i="4"/>
  <c r="CD29" i="4"/>
  <c r="BZ29" i="4"/>
  <c r="BV29" i="4"/>
  <c r="CD28" i="4"/>
  <c r="BZ28" i="4"/>
  <c r="BV28" i="4"/>
  <c r="CD27" i="4"/>
  <c r="BZ27" i="4"/>
  <c r="BV27" i="4"/>
  <c r="CD26" i="4"/>
  <c r="BZ26" i="4"/>
  <c r="BV26" i="4"/>
  <c r="BV25" i="4"/>
  <c r="CD24" i="4"/>
  <c r="BV24" i="4"/>
  <c r="CD23" i="4"/>
  <c r="BV23" i="4"/>
  <c r="BZ22" i="4"/>
  <c r="K97" i="105" s="1"/>
  <c r="L97" i="105" s="1"/>
  <c r="BV22" i="4"/>
  <c r="K103" i="105" s="1"/>
  <c r="L103" i="105" s="1"/>
  <c r="CD21" i="4"/>
  <c r="BZ21" i="4"/>
  <c r="BV21" i="4"/>
  <c r="CD20" i="4"/>
  <c r="BZ20" i="4"/>
  <c r="BV20" i="4"/>
  <c r="CD19" i="4"/>
  <c r="BZ19" i="4"/>
  <c r="BV19" i="4"/>
  <c r="CD18" i="4"/>
  <c r="BZ18" i="4"/>
  <c r="BV18" i="4"/>
  <c r="CD17" i="4"/>
  <c r="BZ17" i="4"/>
  <c r="BV17" i="4"/>
  <c r="BS71" i="4"/>
  <c r="BP71" i="4"/>
  <c r="BM71" i="4"/>
  <c r="BJ71" i="4"/>
  <c r="BS70" i="4"/>
  <c r="BP70" i="4"/>
  <c r="BM70" i="4"/>
  <c r="BJ70" i="4"/>
  <c r="BS68" i="4"/>
  <c r="BP68" i="4"/>
  <c r="BM68" i="4"/>
  <c r="BJ68" i="4"/>
  <c r="BS67" i="4"/>
  <c r="BP67" i="4"/>
  <c r="BM67" i="4"/>
  <c r="BJ67" i="4"/>
  <c r="BS66" i="4"/>
  <c r="BP66" i="4"/>
  <c r="BM66" i="4"/>
  <c r="BJ66" i="4"/>
  <c r="BS64" i="4"/>
  <c r="BP64" i="4"/>
  <c r="BM64" i="4"/>
  <c r="BJ64" i="4"/>
  <c r="BS63" i="4"/>
  <c r="BP63" i="4"/>
  <c r="BM63" i="4"/>
  <c r="BJ63" i="4"/>
  <c r="BS62" i="4"/>
  <c r="BP62" i="4"/>
  <c r="BM62" i="4"/>
  <c r="BJ62" i="4"/>
  <c r="BS61" i="4"/>
  <c r="BP61" i="4"/>
  <c r="BM61" i="4"/>
  <c r="BJ61" i="4"/>
  <c r="BS60" i="4"/>
  <c r="BP60" i="4"/>
  <c r="BM60" i="4"/>
  <c r="BS59" i="4"/>
  <c r="BP59" i="4"/>
  <c r="BM59" i="4"/>
  <c r="BS58" i="4"/>
  <c r="BP58" i="4"/>
  <c r="BM58" i="4"/>
  <c r="BJ58" i="4"/>
  <c r="BS57" i="4"/>
  <c r="BP57" i="4"/>
  <c r="BM57" i="4"/>
  <c r="BJ57" i="4"/>
  <c r="BS54" i="4"/>
  <c r="BP54" i="4"/>
  <c r="BM54" i="4"/>
  <c r="BJ54" i="4"/>
  <c r="BS53" i="4"/>
  <c r="BP53" i="4"/>
  <c r="BM53" i="4"/>
  <c r="BJ53" i="4"/>
  <c r="BS50" i="4"/>
  <c r="BP50" i="4"/>
  <c r="BM50" i="4"/>
  <c r="BJ50" i="4"/>
  <c r="BS49" i="4"/>
  <c r="BP49" i="4"/>
  <c r="BM49" i="4"/>
  <c r="BJ49" i="4"/>
  <c r="BS48" i="4"/>
  <c r="BP48" i="4"/>
  <c r="BM48" i="4"/>
  <c r="BJ48" i="4"/>
  <c r="BS46" i="4"/>
  <c r="BP46" i="4"/>
  <c r="BM46" i="4"/>
  <c r="BJ46" i="4"/>
  <c r="BS45" i="4"/>
  <c r="BP45" i="4"/>
  <c r="BM45" i="4"/>
  <c r="BJ45" i="4"/>
  <c r="BP44" i="4"/>
  <c r="BJ44" i="4"/>
  <c r="BS43" i="4"/>
  <c r="BP43" i="4"/>
  <c r="BM43" i="4"/>
  <c r="BJ43" i="4"/>
  <c r="BS42" i="4"/>
  <c r="BP42" i="4"/>
  <c r="BM42" i="4"/>
  <c r="BJ42" i="4"/>
  <c r="BS41" i="4"/>
  <c r="BP41" i="4"/>
  <c r="BM41" i="4"/>
  <c r="BJ41" i="4"/>
  <c r="BS40" i="4"/>
  <c r="BP40" i="4"/>
  <c r="BM40" i="4"/>
  <c r="BJ40" i="4"/>
  <c r="BS39" i="4"/>
  <c r="BP39" i="4"/>
  <c r="BM39" i="4"/>
  <c r="BJ39" i="4"/>
  <c r="BS38" i="4"/>
  <c r="BP38" i="4"/>
  <c r="BM38" i="4"/>
  <c r="BS33" i="4"/>
  <c r="BP33" i="4"/>
  <c r="BM33" i="4"/>
  <c r="BJ33" i="4"/>
  <c r="BS32" i="4"/>
  <c r="BP32" i="4"/>
  <c r="BM32" i="4"/>
  <c r="BJ32" i="4"/>
  <c r="BS31" i="4"/>
  <c r="BP31" i="4"/>
  <c r="BM31" i="4"/>
  <c r="BJ31" i="4"/>
  <c r="BS30" i="4"/>
  <c r="BM30" i="4"/>
  <c r="BJ30" i="4"/>
  <c r="BS29" i="4"/>
  <c r="BP29" i="4"/>
  <c r="BM29" i="4"/>
  <c r="BJ29" i="4"/>
  <c r="BS28" i="4"/>
  <c r="BP28" i="4"/>
  <c r="BM28" i="4"/>
  <c r="BJ28" i="4"/>
  <c r="BS27" i="4"/>
  <c r="BP27" i="4"/>
  <c r="BM27" i="4"/>
  <c r="BJ27" i="4"/>
  <c r="BS26" i="4"/>
  <c r="BP26" i="4"/>
  <c r="BM26" i="4"/>
  <c r="BJ26" i="4"/>
  <c r="BS25" i="4"/>
  <c r="BP25" i="4"/>
  <c r="BM25" i="4"/>
  <c r="BJ25" i="4"/>
  <c r="K44" i="125" s="1"/>
  <c r="BS24" i="4"/>
  <c r="BP24" i="4"/>
  <c r="BM24" i="4"/>
  <c r="BJ24" i="4"/>
  <c r="BS23" i="4"/>
  <c r="BP23" i="4"/>
  <c r="BM23" i="4"/>
  <c r="BJ23" i="4"/>
  <c r="BS22" i="4"/>
  <c r="K90" i="105" s="1"/>
  <c r="L90" i="105" s="1"/>
  <c r="BP22" i="4"/>
  <c r="K93" i="105" s="1"/>
  <c r="L93" i="105" s="1"/>
  <c r="BM22" i="4"/>
  <c r="K87" i="105" s="1"/>
  <c r="L87" i="105" s="1"/>
  <c r="BJ22" i="4"/>
  <c r="K158" i="105" s="1"/>
  <c r="L158" i="105" s="1"/>
  <c r="BS21" i="4"/>
  <c r="BP21" i="4"/>
  <c r="BM21" i="4"/>
  <c r="BJ21" i="4"/>
  <c r="BS20" i="4"/>
  <c r="BP20" i="4"/>
  <c r="BM20" i="4"/>
  <c r="BJ20" i="4"/>
  <c r="BS19" i="4"/>
  <c r="BP19" i="4"/>
  <c r="BM19" i="4"/>
  <c r="BJ19" i="4"/>
  <c r="BS18" i="4"/>
  <c r="BP18" i="4"/>
  <c r="BM18" i="4"/>
  <c r="BJ18" i="4"/>
  <c r="BS17" i="4"/>
  <c r="BP17" i="4"/>
  <c r="BM17" i="4"/>
  <c r="BJ17" i="4"/>
  <c r="BD71" i="4"/>
  <c r="AU71" i="4"/>
  <c r="BD70" i="4"/>
  <c r="AU70" i="4"/>
  <c r="BD68" i="4"/>
  <c r="AU68" i="4"/>
  <c r="BD67" i="4"/>
  <c r="AU67" i="4"/>
  <c r="BD66" i="4"/>
  <c r="I66" i="4" s="1"/>
  <c r="AU66" i="4"/>
  <c r="BD64" i="4"/>
  <c r="AU64" i="4"/>
  <c r="BD63" i="4"/>
  <c r="AU63" i="4"/>
  <c r="BD62" i="4"/>
  <c r="AU62" i="4"/>
  <c r="BD61" i="4"/>
  <c r="AU61" i="4"/>
  <c r="BD60" i="4"/>
  <c r="AU60" i="4"/>
  <c r="BD57" i="4"/>
  <c r="AU57" i="4"/>
  <c r="BD54" i="4"/>
  <c r="AU54" i="4"/>
  <c r="BD53" i="4"/>
  <c r="AU53" i="4"/>
  <c r="BD50" i="4"/>
  <c r="AU50" i="4"/>
  <c r="BD49" i="4"/>
  <c r="AU49" i="4"/>
  <c r="BD48" i="4"/>
  <c r="AU48" i="4"/>
  <c r="BD46" i="4"/>
  <c r="AU46" i="4"/>
  <c r="BD45" i="4"/>
  <c r="AU45" i="4"/>
  <c r="AU44" i="4"/>
  <c r="BD43" i="4"/>
  <c r="AU43" i="4"/>
  <c r="BD42" i="4"/>
  <c r="AU42" i="4"/>
  <c r="BD41" i="4"/>
  <c r="AU41" i="4"/>
  <c r="BD40" i="4"/>
  <c r="AU40" i="4"/>
  <c r="BD39" i="4"/>
  <c r="AU39" i="4"/>
  <c r="BD38" i="4"/>
  <c r="AU38" i="4"/>
  <c r="BD33" i="4"/>
  <c r="K35" i="106" s="1"/>
  <c r="L35" i="106" s="1"/>
  <c r="AU33" i="4"/>
  <c r="BD32" i="4"/>
  <c r="AU32" i="4"/>
  <c r="BD31" i="4"/>
  <c r="AU31" i="4"/>
  <c r="BD30" i="4"/>
  <c r="BD29" i="4"/>
  <c r="AU29" i="4"/>
  <c r="BD28" i="4"/>
  <c r="AU28" i="4"/>
  <c r="BD27" i="4"/>
  <c r="K32" i="123" s="1"/>
  <c r="L32" i="123" s="1"/>
  <c r="AU27" i="4"/>
  <c r="BD26" i="4"/>
  <c r="AU26" i="4"/>
  <c r="AU24" i="4"/>
  <c r="BD22" i="4"/>
  <c r="K84" i="105" s="1"/>
  <c r="L84" i="105" s="1"/>
  <c r="AU22" i="4"/>
  <c r="K79" i="105" s="1"/>
  <c r="L79" i="105" s="1"/>
  <c r="BD21" i="4"/>
  <c r="AU21" i="4"/>
  <c r="K58" i="104" s="1"/>
  <c r="L58" i="104" s="1"/>
  <c r="BD20" i="4"/>
  <c r="AU20" i="4"/>
  <c r="BD19" i="4"/>
  <c r="AU19" i="4"/>
  <c r="BD18" i="4"/>
  <c r="AU18" i="4"/>
  <c r="BD17" i="4"/>
  <c r="AU17" i="4"/>
  <c r="AR71" i="4"/>
  <c r="AR70" i="4"/>
  <c r="AR68" i="4"/>
  <c r="AR67" i="4"/>
  <c r="AR66" i="4"/>
  <c r="AR64" i="4"/>
  <c r="AR63" i="4"/>
  <c r="AR62" i="4"/>
  <c r="AR61" i="4"/>
  <c r="AR60" i="4"/>
  <c r="AR59" i="4"/>
  <c r="AR57" i="4"/>
  <c r="AR54" i="4"/>
  <c r="AR53" i="4"/>
  <c r="AR50" i="4"/>
  <c r="AR49" i="4"/>
  <c r="AR48" i="4"/>
  <c r="AR46" i="4"/>
  <c r="AR45" i="4"/>
  <c r="AR44" i="4"/>
  <c r="AR43" i="4"/>
  <c r="AR42" i="4"/>
  <c r="AR41" i="4"/>
  <c r="AR40" i="4"/>
  <c r="AR39" i="4"/>
  <c r="AR38" i="4"/>
  <c r="AR33" i="4"/>
  <c r="AR32" i="4"/>
  <c r="AR31" i="4"/>
  <c r="AR30" i="4"/>
  <c r="AR29" i="4"/>
  <c r="AR28" i="4"/>
  <c r="AR27" i="4"/>
  <c r="AR26" i="4"/>
  <c r="AR25" i="4"/>
  <c r="AR24" i="4"/>
  <c r="AR21" i="4"/>
  <c r="AR20" i="4"/>
  <c r="AR19" i="4"/>
  <c r="AR18" i="4"/>
  <c r="AR17" i="4"/>
  <c r="AL71" i="4"/>
  <c r="AL70" i="4"/>
  <c r="AL68" i="4"/>
  <c r="AL67" i="4"/>
  <c r="AL64" i="4"/>
  <c r="AL63" i="4"/>
  <c r="AL62" i="4"/>
  <c r="AL61" i="4"/>
  <c r="AL60" i="4"/>
  <c r="AL57" i="4"/>
  <c r="AL54" i="4"/>
  <c r="AL53" i="4"/>
  <c r="AL50" i="4"/>
  <c r="AL49" i="4"/>
  <c r="AL48" i="4"/>
  <c r="AL46" i="4"/>
  <c r="AL45" i="4"/>
  <c r="AL44" i="4"/>
  <c r="AL43" i="4"/>
  <c r="AL42" i="4"/>
  <c r="AL41" i="4"/>
  <c r="AL40" i="4"/>
  <c r="AL39" i="4"/>
  <c r="AL38" i="4"/>
  <c r="AL33" i="4"/>
  <c r="AL32" i="4"/>
  <c r="AL31" i="4"/>
  <c r="AL30" i="4"/>
  <c r="AL29" i="4"/>
  <c r="AL28" i="4"/>
  <c r="AL27" i="4"/>
  <c r="AL26" i="4"/>
  <c r="AL25" i="4"/>
  <c r="K23" i="125" s="1"/>
  <c r="L23" i="125" s="1"/>
  <c r="AL24" i="4"/>
  <c r="K23" i="123" s="1"/>
  <c r="L23" i="123" s="1"/>
  <c r="AL23" i="4"/>
  <c r="AL22" i="4"/>
  <c r="K54" i="105" s="1"/>
  <c r="L54" i="105" s="1"/>
  <c r="AL21" i="4"/>
  <c r="K61" i="104" s="1"/>
  <c r="L61" i="104" s="1"/>
  <c r="AL20" i="4"/>
  <c r="AL19" i="4"/>
  <c r="AL18" i="4"/>
  <c r="AL17" i="4"/>
  <c r="AI71" i="4"/>
  <c r="AI70" i="4"/>
  <c r="AI68" i="4"/>
  <c r="AI67" i="4"/>
  <c r="AI66" i="4"/>
  <c r="AI64" i="4"/>
  <c r="AI63" i="4"/>
  <c r="AI62" i="4"/>
  <c r="AI61" i="4"/>
  <c r="AI60" i="4"/>
  <c r="AI59" i="4"/>
  <c r="AI57" i="4"/>
  <c r="AI54" i="4"/>
  <c r="AI53" i="4"/>
  <c r="AI50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7" i="4"/>
  <c r="AI26" i="4"/>
  <c r="AI25" i="4"/>
  <c r="AI23" i="4"/>
  <c r="AI20" i="4"/>
  <c r="AI19" i="4"/>
  <c r="AI18" i="4"/>
  <c r="AI17" i="4"/>
  <c r="AF73" i="4"/>
  <c r="EB73" i="4" s="1"/>
  <c r="AF71" i="4"/>
  <c r="AF70" i="4"/>
  <c r="AF68" i="4"/>
  <c r="AF67" i="4"/>
  <c r="AF66" i="4"/>
  <c r="AF64" i="4"/>
  <c r="AF63" i="4"/>
  <c r="AF62" i="4"/>
  <c r="AF61" i="4"/>
  <c r="AF57" i="4"/>
  <c r="AF54" i="4"/>
  <c r="AF53" i="4"/>
  <c r="AF50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8" i="4"/>
  <c r="AF27" i="4"/>
  <c r="AF26" i="4"/>
  <c r="AF25" i="4"/>
  <c r="K14" i="125" s="1"/>
  <c r="L14" i="125" s="1"/>
  <c r="AF24" i="4"/>
  <c r="K14" i="123" s="1"/>
  <c r="L14" i="123" s="1"/>
  <c r="AF23" i="4"/>
  <c r="AF22" i="4"/>
  <c r="K44" i="105" s="1"/>
  <c r="L44" i="105" s="1"/>
  <c r="AF21" i="4"/>
  <c r="AF20" i="4"/>
  <c r="AF19" i="4"/>
  <c r="AF18" i="4"/>
  <c r="AF17" i="4"/>
  <c r="R71" i="4"/>
  <c r="R70" i="4"/>
  <c r="R68" i="4"/>
  <c r="R67" i="4"/>
  <c r="R64" i="4"/>
  <c r="R63" i="4"/>
  <c r="R62" i="4"/>
  <c r="I62" i="4" s="1"/>
  <c r="R61" i="4"/>
  <c r="I61" i="4" s="1"/>
  <c r="R60" i="4"/>
  <c r="R59" i="4"/>
  <c r="R58" i="4"/>
  <c r="R57" i="4"/>
  <c r="I57" i="4" s="1"/>
  <c r="R54" i="4"/>
  <c r="R53" i="4"/>
  <c r="R50" i="4"/>
  <c r="R49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0" i="4"/>
  <c r="R19" i="4"/>
  <c r="R18" i="4"/>
  <c r="R17" i="4"/>
  <c r="T158" i="94" l="1"/>
  <c r="U158" i="94" s="1"/>
  <c r="EB39" i="4"/>
  <c r="EB40" i="4"/>
  <c r="EB41" i="4"/>
  <c r="EB27" i="4"/>
  <c r="EB43" i="4"/>
  <c r="EB68" i="4"/>
  <c r="EB37" i="4"/>
  <c r="F130" i="131"/>
  <c r="EE17" i="4"/>
  <c r="F131" i="131"/>
  <c r="EB57" i="4"/>
  <c r="EB70" i="4"/>
  <c r="EB29" i="4"/>
  <c r="EB45" i="4"/>
  <c r="EB19" i="4"/>
  <c r="EB31" i="4"/>
  <c r="EB49" i="4"/>
  <c r="EB20" i="4"/>
  <c r="EB33" i="4"/>
  <c r="EB63" i="4"/>
  <c r="EB48" i="4"/>
  <c r="EB32" i="4"/>
  <c r="EB54" i="4"/>
  <c r="EB46" i="4"/>
  <c r="K38" i="106"/>
  <c r="L38" i="106" s="1"/>
  <c r="K35" i="123"/>
  <c r="L35" i="123" s="1"/>
  <c r="L44" i="125"/>
  <c r="K20" i="87"/>
  <c r="L20" i="87" s="1"/>
  <c r="K9" i="72"/>
  <c r="L9" i="72" s="1"/>
  <c r="K20" i="106"/>
  <c r="L20" i="106" s="1"/>
  <c r="I41" i="4"/>
  <c r="I29" i="4"/>
  <c r="I16" i="137" s="1"/>
  <c r="I17" i="137" s="1"/>
  <c r="I27" i="4"/>
  <c r="I19" i="4"/>
  <c r="I43" i="4"/>
  <c r="I10" i="140" s="1"/>
  <c r="I11" i="140" s="1"/>
  <c r="I33" i="4"/>
  <c r="I45" i="4"/>
  <c r="I31" i="4"/>
  <c r="I39" i="4"/>
  <c r="I32" i="4"/>
  <c r="I20" i="4"/>
  <c r="I40" i="4"/>
  <c r="I49" i="4"/>
  <c r="K17" i="125"/>
  <c r="L17" i="125" s="1"/>
  <c r="I37" i="4"/>
  <c r="K32" i="106"/>
  <c r="L32" i="106" s="1"/>
  <c r="K8" i="123"/>
  <c r="L8" i="123" s="1"/>
  <c r="K8" i="125"/>
  <c r="L8" i="125" s="1"/>
  <c r="K7" i="127"/>
  <c r="L7" i="127" s="1"/>
  <c r="K18" i="105"/>
  <c r="L18" i="105" s="1"/>
  <c r="K17" i="104"/>
  <c r="L17" i="104" s="1"/>
  <c r="DD52" i="4"/>
  <c r="DG52" i="4"/>
  <c r="K74" i="104"/>
  <c r="L74" i="104" s="1"/>
  <c r="K49" i="104"/>
  <c r="L49" i="104" s="1"/>
  <c r="R52" i="4"/>
  <c r="EB17" i="4"/>
  <c r="K9" i="107"/>
  <c r="K11" i="107"/>
  <c r="EC41" i="4" l="1"/>
  <c r="EC40" i="4"/>
  <c r="EC39" i="4"/>
  <c r="EC37" i="4"/>
  <c r="D178" i="131"/>
  <c r="EE68" i="4"/>
  <c r="D174" i="131"/>
  <c r="EE63" i="4"/>
  <c r="D166" i="131"/>
  <c r="EE54" i="4"/>
  <c r="D153" i="131"/>
  <c r="EE40" i="4"/>
  <c r="D168" i="131"/>
  <c r="EE57" i="4"/>
  <c r="D154" i="131"/>
  <c r="E154" i="131" s="1"/>
  <c r="F154" i="131" s="1"/>
  <c r="G154" i="131" s="1"/>
  <c r="H154" i="131" s="1"/>
  <c r="I154" i="131" s="1"/>
  <c r="EE41" i="4"/>
  <c r="D133" i="131"/>
  <c r="E133" i="131" s="1"/>
  <c r="F133" i="131" s="1"/>
  <c r="G133" i="131" s="1"/>
  <c r="H133" i="131" s="1"/>
  <c r="I133" i="131" s="1"/>
  <c r="EE20" i="4"/>
  <c r="D156" i="131"/>
  <c r="E156" i="131" s="1"/>
  <c r="F156" i="131" s="1"/>
  <c r="G156" i="131" s="1"/>
  <c r="H156" i="131" s="1"/>
  <c r="I156" i="131" s="1"/>
  <c r="EE43" i="4"/>
  <c r="D162" i="131"/>
  <c r="E162" i="131" s="1"/>
  <c r="F162" i="131" s="1"/>
  <c r="G162" i="131" s="1"/>
  <c r="H162" i="131" s="1"/>
  <c r="I162" i="131" s="1"/>
  <c r="EE49" i="4"/>
  <c r="D152" i="131"/>
  <c r="E152" i="131" s="1"/>
  <c r="F152" i="131" s="1"/>
  <c r="G152" i="131" s="1"/>
  <c r="H152" i="131" s="1"/>
  <c r="I152" i="131" s="1"/>
  <c r="EE39" i="4"/>
  <c r="D132" i="131"/>
  <c r="E132" i="131" s="1"/>
  <c r="EE19" i="4"/>
  <c r="D145" i="131"/>
  <c r="E145" i="131" s="1"/>
  <c r="F145" i="131" s="1"/>
  <c r="G145" i="131" s="1"/>
  <c r="H145" i="131" s="1"/>
  <c r="I145" i="131" s="1"/>
  <c r="EE32" i="4"/>
  <c r="D140" i="131"/>
  <c r="E140" i="131" s="1"/>
  <c r="F140" i="131" s="1"/>
  <c r="G140" i="131" s="1"/>
  <c r="H140" i="131" s="1"/>
  <c r="I140" i="131" s="1"/>
  <c r="EE27" i="4"/>
  <c r="D158" i="131"/>
  <c r="E158" i="131" s="1"/>
  <c r="F158" i="131" s="1"/>
  <c r="G158" i="131" s="1"/>
  <c r="H158" i="131" s="1"/>
  <c r="I158" i="131" s="1"/>
  <c r="EE45" i="4"/>
  <c r="D142" i="131"/>
  <c r="E142" i="131" s="1"/>
  <c r="F142" i="131" s="1"/>
  <c r="G142" i="131" s="1"/>
  <c r="H142" i="131" s="1"/>
  <c r="I142" i="131" s="1"/>
  <c r="EE29" i="4"/>
  <c r="D146" i="131"/>
  <c r="E146" i="131" s="1"/>
  <c r="F146" i="131" s="1"/>
  <c r="G146" i="131" s="1"/>
  <c r="H146" i="131" s="1"/>
  <c r="I146" i="131" s="1"/>
  <c r="EE33" i="4"/>
  <c r="D144" i="131"/>
  <c r="E144" i="131" s="1"/>
  <c r="F144" i="131" s="1"/>
  <c r="G144" i="131" s="1"/>
  <c r="H144" i="131" s="1"/>
  <c r="I144" i="131" s="1"/>
  <c r="EE31" i="4"/>
  <c r="D150" i="131"/>
  <c r="E150" i="131" s="1"/>
  <c r="F150" i="131" s="1"/>
  <c r="G150" i="131" s="1"/>
  <c r="H150" i="131" s="1"/>
  <c r="I150" i="131" s="1"/>
  <c r="EE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EC57" i="4"/>
  <c r="DX68" i="130"/>
  <c r="J183" i="73"/>
  <c r="K183" i="73" s="1"/>
  <c r="DX63" i="130"/>
  <c r="L11" i="107"/>
  <c r="L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O69" i="4"/>
  <c r="T296" i="94" s="1"/>
  <c r="U296" i="94" s="1"/>
  <c r="AT69" i="4"/>
  <c r="DM55" i="4"/>
  <c r="BU55" i="4"/>
  <c r="BO55" i="4"/>
  <c r="O62" i="75"/>
  <c r="N62" i="75"/>
  <c r="K62" i="75"/>
  <c r="H62" i="75"/>
  <c r="G62" i="75"/>
  <c r="F62" i="75"/>
  <c r="P15" i="94"/>
  <c r="P29" i="94"/>
  <c r="P39" i="94"/>
  <c r="P71" i="94"/>
  <c r="P296" i="94"/>
  <c r="I14" i="4"/>
  <c r="EE14" i="4" s="1"/>
  <c r="I13" i="4"/>
  <c r="DU69" i="4"/>
  <c r="DI55" i="4"/>
  <c r="T55" i="4"/>
  <c r="J140" i="73"/>
  <c r="K140" i="73" s="1"/>
  <c r="J139" i="73"/>
  <c r="K139" i="73" s="1"/>
  <c r="C11" i="92"/>
  <c r="P11" i="92" s="1"/>
  <c r="EC70" i="4"/>
  <c r="DU72" i="4"/>
  <c r="I17" i="4"/>
  <c r="P76" i="94"/>
  <c r="P92" i="94"/>
  <c r="P279" i="94"/>
  <c r="P322" i="94"/>
  <c r="P285" i="94"/>
  <c r="P275" i="94"/>
  <c r="P185" i="94"/>
  <c r="P180" i="94"/>
  <c r="P165" i="94"/>
  <c r="P154" i="94"/>
  <c r="P142" i="94"/>
  <c r="P104" i="94"/>
  <c r="P80" i="94"/>
  <c r="P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I72" i="4"/>
  <c r="CI69" i="4"/>
  <c r="DF72" i="4"/>
  <c r="DE72" i="4"/>
  <c r="DF69" i="4"/>
  <c r="DC72" i="4"/>
  <c r="DB72" i="4"/>
  <c r="DC69" i="4"/>
  <c r="CY72" i="4"/>
  <c r="CX72" i="4"/>
  <c r="CY69" i="4"/>
  <c r="CX69" i="4"/>
  <c r="CM72" i="4"/>
  <c r="CL72" i="4"/>
  <c r="CM69" i="4"/>
  <c r="CH72" i="4"/>
  <c r="CF72" i="4"/>
  <c r="CE72" i="4"/>
  <c r="CB72" i="4"/>
  <c r="CA72" i="4"/>
  <c r="CB69" i="4"/>
  <c r="BZ72" i="4"/>
  <c r="BX72" i="4"/>
  <c r="BW72" i="4"/>
  <c r="BX69" i="4"/>
  <c r="BU72" i="4"/>
  <c r="BT72" i="4"/>
  <c r="BU69" i="4"/>
  <c r="BT69" i="4"/>
  <c r="BR72" i="4"/>
  <c r="BQ72" i="4"/>
  <c r="BR69" i="4"/>
  <c r="BQ69" i="4"/>
  <c r="BO72" i="4"/>
  <c r="BN72" i="4"/>
  <c r="BO69" i="4"/>
  <c r="BN69" i="4"/>
  <c r="BL72" i="4"/>
  <c r="BK72" i="4"/>
  <c r="BL69" i="4"/>
  <c r="BF72" i="4"/>
  <c r="BE72" i="4"/>
  <c r="BF69" i="4"/>
  <c r="AW72" i="4"/>
  <c r="AV72" i="4"/>
  <c r="AW69" i="4"/>
  <c r="AT72" i="4"/>
  <c r="AS72" i="4"/>
  <c r="AN72" i="4"/>
  <c r="AM72" i="4"/>
  <c r="AN69" i="4"/>
  <c r="AK72" i="4"/>
  <c r="AJ72" i="4"/>
  <c r="AK69" i="4"/>
  <c r="AH72" i="4"/>
  <c r="AG72" i="4"/>
  <c r="AH69" i="4"/>
  <c r="T72" i="4"/>
  <c r="S72" i="4"/>
  <c r="T69" i="4"/>
  <c r="S69" i="4"/>
  <c r="Y69" i="4"/>
  <c r="DN72" i="4"/>
  <c r="DM72" i="4"/>
  <c r="DL72" i="4"/>
  <c r="DN69" i="4"/>
  <c r="DM69" i="4"/>
  <c r="DL69" i="4"/>
  <c r="DI72" i="4"/>
  <c r="DH72" i="4"/>
  <c r="DI69" i="4"/>
  <c r="DH69" i="4"/>
  <c r="EE73" i="4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N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O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S72" i="4"/>
  <c r="CT69" i="4"/>
  <c r="J16" i="4"/>
  <c r="K16" i="4"/>
  <c r="Y16" i="4"/>
  <c r="AE16" i="4"/>
  <c r="AF16" i="4"/>
  <c r="J69" i="4"/>
  <c r="K69" i="4"/>
  <c r="P69" i="4"/>
  <c r="AA69" i="4"/>
  <c r="AD69" i="4"/>
  <c r="AE69" i="4"/>
  <c r="AP69" i="4"/>
  <c r="AQ69" i="4"/>
  <c r="BM69" i="4"/>
  <c r="BY69" i="4"/>
  <c r="CJ69" i="4"/>
  <c r="CZ69" i="4"/>
  <c r="DG69" i="4"/>
  <c r="EA69" i="4"/>
  <c r="N72" i="4"/>
  <c r="P72" i="4"/>
  <c r="R72" i="4"/>
  <c r="V72" i="4"/>
  <c r="EF72" i="4" s="1"/>
  <c r="W72" i="4"/>
  <c r="Y72" i="4"/>
  <c r="Z72" i="4"/>
  <c r="AA72" i="4"/>
  <c r="AC72" i="4"/>
  <c r="AD72" i="4"/>
  <c r="AE72" i="4"/>
  <c r="AF72" i="4"/>
  <c r="AI72" i="4"/>
  <c r="AL72" i="4"/>
  <c r="AO72" i="4"/>
  <c r="AP72" i="4"/>
  <c r="AQ72" i="4"/>
  <c r="AR72" i="4"/>
  <c r="AU72" i="4"/>
  <c r="BD72" i="4"/>
  <c r="BJ72" i="4"/>
  <c r="BM72" i="4"/>
  <c r="BP72" i="4"/>
  <c r="BS72" i="4"/>
  <c r="BV72" i="4"/>
  <c r="BY72" i="4"/>
  <c r="CC72" i="4"/>
  <c r="CD72" i="4"/>
  <c r="CG72" i="4"/>
  <c r="CJ72" i="4"/>
  <c r="CK72" i="4"/>
  <c r="CN72" i="4"/>
  <c r="CQ72" i="4"/>
  <c r="CT72" i="4"/>
  <c r="CW72" i="4"/>
  <c r="CZ72" i="4"/>
  <c r="DA72" i="4"/>
  <c r="DD72" i="4"/>
  <c r="DG72" i="4"/>
  <c r="DJ72" i="4"/>
  <c r="DK72" i="4"/>
  <c r="DV72" i="4"/>
  <c r="DY72" i="4"/>
  <c r="DZ72" i="4"/>
  <c r="EA72" i="4"/>
  <c r="D16" i="76"/>
  <c r="C19" i="75"/>
  <c r="F150" i="83"/>
  <c r="J132" i="83"/>
  <c r="I132" i="83"/>
  <c r="D4" i="76"/>
  <c r="C26" i="75"/>
  <c r="D125" i="131" l="1"/>
  <c r="E125" i="131" s="1"/>
  <c r="EE13" i="4"/>
  <c r="D126" i="131"/>
  <c r="E126" i="131" s="1"/>
  <c r="F126" i="131" s="1"/>
  <c r="G126" i="131" s="1"/>
  <c r="H126" i="131" s="1"/>
  <c r="I126" i="131" s="1"/>
  <c r="G132" i="131"/>
  <c r="DX13" i="130"/>
  <c r="EC13" i="4"/>
  <c r="DX14" i="130"/>
  <c r="EC14" i="4"/>
  <c r="D114" i="84"/>
  <c r="C114" i="84"/>
  <c r="J214" i="73"/>
  <c r="J213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P323" i="94"/>
  <c r="C5" i="92"/>
  <c r="P5" i="92" s="1"/>
  <c r="C8" i="92"/>
  <c r="P8" i="92" s="1"/>
  <c r="C21" i="92"/>
  <c r="P21" i="92" s="1"/>
  <c r="J139" i="83"/>
  <c r="EA55" i="4"/>
  <c r="EA74" i="4" s="1"/>
  <c r="EC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Z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O74" i="4"/>
  <c r="EC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C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T74" i="4"/>
  <c r="BU74" i="4"/>
  <c r="C10" i="75"/>
  <c r="C8" i="75"/>
  <c r="DF55" i="4"/>
  <c r="DF74" i="4" s="1"/>
  <c r="AN55" i="4"/>
  <c r="AN74" i="4" s="1"/>
  <c r="DZ69" i="4"/>
  <c r="F7" i="75"/>
  <c r="F5" i="75" s="1"/>
  <c r="BS69" i="4"/>
  <c r="T154" i="94" s="1"/>
  <c r="CM55" i="4"/>
  <c r="CM74" i="4" s="1"/>
  <c r="J177" i="73"/>
  <c r="K177" i="73" s="1"/>
  <c r="V16" i="4"/>
  <c r="EF16" i="4" s="1"/>
  <c r="H7" i="75"/>
  <c r="H5" i="75" s="1"/>
  <c r="J161" i="73"/>
  <c r="K161" i="73" s="1"/>
  <c r="DS55" i="4"/>
  <c r="CC69" i="4"/>
  <c r="AH55" i="4"/>
  <c r="AH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Y55" i="4"/>
  <c r="H27" i="84"/>
  <c r="I27" i="84"/>
  <c r="I33" i="84"/>
  <c r="I50" i="84"/>
  <c r="D97" i="84" s="1"/>
  <c r="I134" i="83"/>
  <c r="I138" i="83" s="1"/>
  <c r="DI74" i="4"/>
  <c r="C13" i="92"/>
  <c r="P13" i="92" s="1"/>
  <c r="C17" i="92"/>
  <c r="P17" i="92" s="1"/>
  <c r="C19" i="92"/>
  <c r="P19" i="92" s="1"/>
  <c r="DS69" i="4"/>
  <c r="DM74" i="4"/>
  <c r="BP69" i="4"/>
  <c r="CW69" i="4"/>
  <c r="W69" i="4"/>
  <c r="T71" i="94" s="1"/>
  <c r="U71" i="94" s="1"/>
  <c r="K7" i="75"/>
  <c r="K5" i="75" s="1"/>
  <c r="D7" i="75"/>
  <c r="DE55" i="4"/>
  <c r="DH55" i="4"/>
  <c r="DH74" i="4" s="1"/>
  <c r="DK69" i="4"/>
  <c r="R69" i="4"/>
  <c r="DN55" i="4"/>
  <c r="DN74" i="4" s="1"/>
  <c r="J162" i="73"/>
  <c r="K162" i="73" s="1"/>
  <c r="P16" i="4"/>
  <c r="D5" i="75" l="1"/>
  <c r="D34" i="75" s="1"/>
  <c r="H132" i="131"/>
  <c r="F125" i="131"/>
  <c r="R41" i="85"/>
  <c r="S41" i="85" s="1"/>
  <c r="R50" i="85"/>
  <c r="T257" i="94"/>
  <c r="U257" i="94" s="1"/>
  <c r="R47" i="85"/>
  <c r="T29" i="94"/>
  <c r="U29" i="94" s="1"/>
  <c r="R34" i="85"/>
  <c r="P312" i="94"/>
  <c r="S15" i="85"/>
  <c r="G93" i="84"/>
  <c r="D47" i="76"/>
  <c r="C8" i="114"/>
  <c r="C4" i="114"/>
  <c r="D132" i="75"/>
  <c r="D134" i="75" s="1"/>
  <c r="R12" i="85"/>
  <c r="S12" i="85" s="1"/>
  <c r="T288" i="94"/>
  <c r="U288" i="94" s="1"/>
  <c r="T100" i="94"/>
  <c r="U100" i="94" s="1"/>
  <c r="T282" i="94"/>
  <c r="U282" i="94" s="1"/>
  <c r="E47" i="76"/>
  <c r="H132" i="75"/>
  <c r="H134" i="75" s="1"/>
  <c r="H29" i="84"/>
  <c r="H36" i="84" s="1"/>
  <c r="C96" i="84" s="1"/>
  <c r="T322" i="94"/>
  <c r="U322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Q55" i="4"/>
  <c r="AQ74" i="4" s="1"/>
  <c r="J131" i="73"/>
  <c r="K131" i="73" s="1"/>
  <c r="J129" i="73"/>
  <c r="K129" i="73" s="1"/>
  <c r="DZ74" i="4"/>
  <c r="DG55" i="4"/>
  <c r="BY55" i="4"/>
  <c r="BY74" i="4" s="1"/>
  <c r="J135" i="73"/>
  <c r="K135" i="73" s="1"/>
  <c r="J159" i="73"/>
  <c r="K159" i="73" s="1"/>
  <c r="CZ55" i="4"/>
  <c r="CZ74" i="4" s="1"/>
  <c r="EC68" i="4"/>
  <c r="C99" i="84"/>
  <c r="D99" i="84"/>
  <c r="H75" i="84"/>
  <c r="EC27" i="4"/>
  <c r="DS74" i="4"/>
  <c r="DU55" i="4"/>
  <c r="DU74" i="4" s="1"/>
  <c r="I36" i="84"/>
  <c r="G151" i="83"/>
  <c r="J134" i="73"/>
  <c r="K134" i="73" s="1"/>
  <c r="J133" i="73"/>
  <c r="K133" i="73" s="1"/>
  <c r="J142" i="73"/>
  <c r="K142" i="73" s="1"/>
  <c r="J141" i="73"/>
  <c r="K141" i="73" s="1"/>
  <c r="J187" i="73"/>
  <c r="K187" i="73" s="1"/>
  <c r="Y55" i="4"/>
  <c r="Y74" i="4" s="1"/>
  <c r="EC45" i="4"/>
  <c r="J154" i="73"/>
  <c r="K154" i="73" s="1"/>
  <c r="EC20" i="4"/>
  <c r="J149" i="73"/>
  <c r="K149" i="73" s="1"/>
  <c r="J132" i="73"/>
  <c r="K132" i="73" s="1"/>
  <c r="EC19" i="4"/>
  <c r="J167" i="73"/>
  <c r="K167" i="73" s="1"/>
  <c r="DD55" i="4"/>
  <c r="EC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G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K55" i="4" l="1"/>
  <c r="BZ58" i="4" l="1"/>
  <c r="S47" i="85" l="1"/>
  <c r="AT55" i="4" l="1"/>
  <c r="AT74" i="4" s="1"/>
  <c r="G34" i="75" l="1"/>
  <c r="G135" i="75" s="1"/>
  <c r="AI36" i="4" l="1"/>
  <c r="EB36" i="4" s="1"/>
  <c r="I36" i="4" l="1"/>
  <c r="EC36" i="4" s="1"/>
  <c r="D149" i="131" l="1"/>
  <c r="E149" i="131" s="1"/>
  <c r="F149" i="131" s="1"/>
  <c r="G149" i="131" s="1"/>
  <c r="H149" i="131" s="1"/>
  <c r="I149" i="131" s="1"/>
  <c r="EE36" i="4"/>
  <c r="J158" i="73"/>
  <c r="K158" i="73" s="1"/>
  <c r="DX36" i="130"/>
  <c r="I24" i="127"/>
  <c r="I25" i="127" s="1"/>
  <c r="AR34" i="4"/>
  <c r="K81" i="87" s="1"/>
  <c r="L81" i="87" s="1"/>
  <c r="AI28" i="4" l="1"/>
  <c r="EB28" i="4" s="1"/>
  <c r="I28" i="4" l="1"/>
  <c r="AI22" i="4"/>
  <c r="D141" i="131" l="1"/>
  <c r="E141" i="131" s="1"/>
  <c r="F141" i="131" s="1"/>
  <c r="G141" i="131" s="1"/>
  <c r="H141" i="131" s="1"/>
  <c r="I141" i="131" s="1"/>
  <c r="EE28" i="4"/>
  <c r="DX28" i="130"/>
  <c r="K48" i="105"/>
  <c r="L48" i="105" s="1"/>
  <c r="J150" i="73"/>
  <c r="K150" i="73" s="1"/>
  <c r="EC28" i="4"/>
  <c r="AR23" i="4"/>
  <c r="AR22" i="4" l="1"/>
  <c r="AR58" i="4"/>
  <c r="AS69" i="4"/>
  <c r="AR35" i="4"/>
  <c r="K61" i="72" s="1"/>
  <c r="L61" i="72" s="1"/>
  <c r="K76" i="105" l="1"/>
  <c r="L76" i="105" s="1"/>
  <c r="AR52" i="4"/>
  <c r="AR69" i="4"/>
  <c r="AS55" i="4"/>
  <c r="AS74" i="4" s="1"/>
  <c r="AI34" i="4"/>
  <c r="K58" i="87" l="1"/>
  <c r="L58" i="87" s="1"/>
  <c r="T80" i="94"/>
  <c r="U80" i="94" s="1"/>
  <c r="S50" i="85"/>
  <c r="AR55" i="4"/>
  <c r="AR74" i="4" s="1"/>
  <c r="BZ25" i="4" l="1"/>
  <c r="BZ24" i="4"/>
  <c r="BZ23" i="4" l="1"/>
  <c r="J72" i="4" l="1"/>
  <c r="CY55" i="4" l="1"/>
  <c r="CY74" i="4" s="1"/>
  <c r="BV35" i="4" l="1"/>
  <c r="K100" i="72" s="1"/>
  <c r="L100" i="72" s="1"/>
  <c r="BV34" i="4"/>
  <c r="K120" i="87" s="1"/>
  <c r="L120" i="87" s="1"/>
  <c r="BW55" i="4"/>
  <c r="BX55" i="4"/>
  <c r="BX74" i="4" s="1"/>
  <c r="BV52" i="4" l="1"/>
  <c r="BV55" i="4" s="1"/>
  <c r="CJ55" i="4" l="1"/>
  <c r="J163" i="73"/>
  <c r="K163" i="73" s="1"/>
  <c r="CJ74" i="4" l="1"/>
  <c r="AU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J59" i="4" l="1"/>
  <c r="J175" i="73" l="1"/>
  <c r="K175" i="73" s="1"/>
  <c r="U69" i="4" l="1"/>
  <c r="Q16" i="4" l="1"/>
  <c r="J130" i="73"/>
  <c r="K130" i="73" s="1"/>
  <c r="K13" i="104" l="1"/>
  <c r="L13" i="104" s="1"/>
  <c r="J171" i="73" l="1"/>
  <c r="K171" i="73" s="1"/>
  <c r="N16" i="4"/>
  <c r="EC29" i="4"/>
  <c r="J151" i="73"/>
  <c r="K151" i="73" s="1"/>
  <c r="EC49" i="4" l="1"/>
  <c r="DY69" i="4" l="1"/>
  <c r="T285" i="94" l="1"/>
  <c r="U285" i="94" s="1"/>
  <c r="DY74" i="4"/>
  <c r="BP30" i="4" l="1"/>
  <c r="DR55" i="4" l="1"/>
  <c r="DR69" i="4"/>
  <c r="T312" i="94" l="1"/>
  <c r="U312" i="94" s="1"/>
  <c r="DR74" i="4"/>
  <c r="K151" i="105" l="1"/>
  <c r="L151" i="105" s="1"/>
  <c r="DD59" i="4" l="1"/>
  <c r="DE69" i="4"/>
  <c r="DE74" i="4" s="1"/>
  <c r="DD69" i="4" l="1"/>
  <c r="T96" i="94" s="1"/>
  <c r="U96" i="94" s="1"/>
  <c r="DD74" i="4" l="1"/>
  <c r="DA26" i="4" l="1"/>
  <c r="EB26" i="4" s="1"/>
  <c r="I26" i="4" l="1"/>
  <c r="DJ69" i="4"/>
  <c r="T291" i="94" s="1"/>
  <c r="U291" i="94" s="1"/>
  <c r="D139" i="131" l="1"/>
  <c r="E139" i="131" s="1"/>
  <c r="F139" i="131" s="1"/>
  <c r="G139" i="131" s="1"/>
  <c r="H139" i="131" s="1"/>
  <c r="I139" i="131" s="1"/>
  <c r="EE26" i="4"/>
  <c r="DX26" i="130"/>
  <c r="EC26" i="4"/>
  <c r="DA61" i="4"/>
  <c r="DB69" i="4"/>
  <c r="DA18" i="4"/>
  <c r="EE18" i="4" s="1"/>
  <c r="J148" i="73"/>
  <c r="K148" i="73" s="1"/>
  <c r="EB18" i="4" l="1"/>
  <c r="J155" i="73"/>
  <c r="K155" i="73" s="1"/>
  <c r="EC33" i="4"/>
  <c r="DA69" i="4"/>
  <c r="I18" i="4"/>
  <c r="EC18" i="4" l="1"/>
  <c r="CC55" i="4"/>
  <c r="CC74" i="4" s="1"/>
  <c r="J153" i="73" l="1"/>
  <c r="K153" i="73" s="1"/>
  <c r="EC31" i="4"/>
  <c r="EC43" i="4" l="1"/>
  <c r="J165" i="73"/>
  <c r="K165" i="73" s="1"/>
  <c r="AK52" i="4" l="1"/>
  <c r="AK55" i="4" l="1"/>
  <c r="AK74" i="4" s="1"/>
  <c r="CB52" i="4" l="1"/>
  <c r="CB55" i="4" s="1"/>
  <c r="CB74" i="4" s="1"/>
  <c r="K21" i="117"/>
  <c r="E21" i="117" l="1"/>
  <c r="C21" i="117" l="1"/>
  <c r="AI21" i="4" l="1"/>
  <c r="K52" i="104" l="1"/>
  <c r="L52" i="104" s="1"/>
  <c r="DJ52" i="4" l="1"/>
  <c r="DJ55" i="4" l="1"/>
  <c r="DJ74" i="4" l="1"/>
  <c r="Q19" i="85" l="1"/>
  <c r="C5" i="114" l="1"/>
  <c r="R13" i="85"/>
  <c r="R17" i="85" s="1"/>
  <c r="J222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V69" i="4" l="1"/>
  <c r="T317" i="94" l="1"/>
  <c r="U317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V52" i="4" l="1"/>
  <c r="DV55" i="4" s="1"/>
  <c r="DV74" i="4" s="1"/>
  <c r="DT69" i="4" l="1"/>
  <c r="DT74" i="4" s="1"/>
  <c r="CG59" i="4" l="1"/>
  <c r="S34" i="85" l="1"/>
  <c r="V25" i="4" l="1"/>
  <c r="EF25" i="4" s="1"/>
  <c r="V58" i="4" l="1"/>
  <c r="EF58" i="4" s="1"/>
  <c r="CF69" i="4"/>
  <c r="P27" i="85" l="1"/>
  <c r="AI58" i="4"/>
  <c r="AJ69" i="4"/>
  <c r="P31" i="85" l="1"/>
  <c r="P52" i="85" s="1"/>
  <c r="P57" i="85" s="1"/>
  <c r="AI69" i="4"/>
  <c r="P59" i="85" l="1"/>
  <c r="R38" i="85"/>
  <c r="S38" i="85" s="1"/>
  <c r="T68" i="94"/>
  <c r="U68" i="94" s="1"/>
  <c r="Z16" i="4" l="1"/>
  <c r="Z55" i="4" s="1"/>
  <c r="AO16" i="4" l="1"/>
  <c r="AI16" i="4"/>
  <c r="BJ16" i="4"/>
  <c r="U16" i="4"/>
  <c r="U55" i="4" s="1"/>
  <c r="U74" i="4" s="1"/>
  <c r="W16" i="4"/>
  <c r="W55" i="4" s="1"/>
  <c r="W74" i="4" s="1"/>
  <c r="AD16" i="4"/>
  <c r="AD55" i="4" s="1"/>
  <c r="AD74" i="4" s="1"/>
  <c r="AC16" i="4"/>
  <c r="AC55" i="4" s="1"/>
  <c r="AA16" i="4"/>
  <c r="AA55" i="4" s="1"/>
  <c r="AA74" i="4" s="1"/>
  <c r="R15" i="4" l="1"/>
  <c r="EB15" i="4" s="1"/>
  <c r="S16" i="4"/>
  <c r="S55" i="4" s="1"/>
  <c r="S74" i="4" s="1"/>
  <c r="R16" i="4" l="1"/>
  <c r="R55" i="4" s="1"/>
  <c r="R74" i="4" s="1"/>
  <c r="I15" i="4"/>
  <c r="D127" i="131" l="1"/>
  <c r="EE15" i="4"/>
  <c r="EE16" i="4" s="1"/>
  <c r="DX15" i="130"/>
  <c r="EC15" i="4"/>
  <c r="I16" i="4"/>
  <c r="J136" i="73"/>
  <c r="K136" i="73" s="1"/>
  <c r="E127" i="131" l="1"/>
  <c r="D119" i="131"/>
  <c r="J128" i="73"/>
  <c r="K128" i="73" s="1"/>
  <c r="R20" i="85"/>
  <c r="F127" i="131" l="1"/>
  <c r="E119" i="131"/>
  <c r="S20" i="85"/>
  <c r="G127" i="131" l="1"/>
  <c r="F119" i="131"/>
  <c r="H127" i="131" l="1"/>
  <c r="G119" i="131"/>
  <c r="AU25" i="4"/>
  <c r="I127" i="131" l="1"/>
  <c r="I119" i="131" s="1"/>
  <c r="H119" i="131"/>
  <c r="K32" i="125"/>
  <c r="L32" i="125" s="1"/>
  <c r="CO52" i="4" l="1"/>
  <c r="CN35" i="4"/>
  <c r="CU52" i="4"/>
  <c r="CU55" i="4" s="1"/>
  <c r="CU74" i="4" s="1"/>
  <c r="CT35" i="4"/>
  <c r="O18" i="75" s="1"/>
  <c r="O34" i="75" s="1"/>
  <c r="O135" i="75" s="1"/>
  <c r="N18" i="75" l="1"/>
  <c r="N34" i="75" s="1"/>
  <c r="N135" i="75" s="1"/>
  <c r="L22" i="75"/>
  <c r="K178" i="72"/>
  <c r="CN52" i="4"/>
  <c r="CN55" i="4" s="1"/>
  <c r="CN74" i="4" s="1"/>
  <c r="CT52" i="4"/>
  <c r="CT55" i="4" s="1"/>
  <c r="CT74" i="4" s="1"/>
  <c r="K161" i="72"/>
  <c r="L161" i="72" s="1"/>
  <c r="L18" i="75" l="1"/>
  <c r="L34" i="75" s="1"/>
  <c r="L135" i="75" s="1"/>
  <c r="C22" i="75"/>
  <c r="C18" i="75" s="1"/>
  <c r="AO69" i="4" l="1"/>
  <c r="T76" i="94" l="1"/>
  <c r="U76" i="94" s="1"/>
  <c r="R39" i="85"/>
  <c r="S39" i="85" s="1"/>
  <c r="BA34" i="4" l="1"/>
  <c r="K96" i="87" s="1"/>
  <c r="L96" i="87" s="1"/>
  <c r="BC52" i="4"/>
  <c r="BC55" i="4" s="1"/>
  <c r="BC74" i="4" s="1"/>
  <c r="BA35" i="4" l="1"/>
  <c r="K73" i="72" s="1"/>
  <c r="L73" i="72" s="1"/>
  <c r="BA30" i="4" l="1"/>
  <c r="K29" i="106" l="1"/>
  <c r="L29" i="106" s="1"/>
  <c r="CG21" i="4" l="1"/>
  <c r="V21" i="4"/>
  <c r="EB21" i="4" l="1"/>
  <c r="EF21" i="4"/>
  <c r="K24" i="104"/>
  <c r="L24" i="104" s="1"/>
  <c r="CD22" i="4" l="1"/>
  <c r="K68" i="105" l="1"/>
  <c r="L68" i="105" s="1"/>
  <c r="K174" i="72" l="1"/>
  <c r="L174" i="72" s="1"/>
  <c r="CQ25" i="4" l="1"/>
  <c r="K62" i="125" l="1"/>
  <c r="L62" i="125" s="1"/>
  <c r="CG25" i="4" l="1"/>
  <c r="K52" i="125" l="1"/>
  <c r="L52" i="125" s="1"/>
  <c r="CS52" i="4" l="1"/>
  <c r="CS55" i="4" s="1"/>
  <c r="CS74" i="4" s="1"/>
  <c r="I25" i="117"/>
  <c r="CD34" i="4"/>
  <c r="BF52" i="4"/>
  <c r="BF55" i="4" s="1"/>
  <c r="BF74" i="4" s="1"/>
  <c r="BR52" i="4" l="1"/>
  <c r="BR55" i="4" s="1"/>
  <c r="BR74" i="4" s="1"/>
  <c r="E25" i="117"/>
  <c r="C25" i="117" s="1"/>
  <c r="I15" i="117"/>
  <c r="I5" i="117" s="1"/>
  <c r="I47" i="117" s="1"/>
  <c r="I143" i="117" s="1"/>
  <c r="F23" i="117"/>
  <c r="K129" i="87"/>
  <c r="L129" i="87" s="1"/>
  <c r="CF52" i="4"/>
  <c r="CF55" i="4" s="1"/>
  <c r="CF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D35" i="4" l="1"/>
  <c r="K108" i="72" l="1"/>
  <c r="L108" i="72" s="1"/>
  <c r="K188" i="87" l="1"/>
  <c r="L188" i="87" s="1"/>
  <c r="BD35" i="4" l="1"/>
  <c r="K76" i="72" l="1"/>
  <c r="L76" i="72" s="1"/>
  <c r="BP34" i="4"/>
  <c r="BD34" i="4"/>
  <c r="K110" i="87" l="1"/>
  <c r="L110" i="87" s="1"/>
  <c r="K101" i="87"/>
  <c r="L101" i="87" s="1"/>
  <c r="K52" i="72"/>
  <c r="L52" i="72" s="1"/>
  <c r="CD58" i="4" l="1"/>
  <c r="CE69" i="4"/>
  <c r="CD69" i="4" l="1"/>
  <c r="R51" i="85" l="1"/>
  <c r="S51" i="85" s="1"/>
  <c r="T185" i="94"/>
  <c r="U185" i="94" s="1"/>
  <c r="CQ34" i="4" l="1"/>
  <c r="K164" i="87" l="1"/>
  <c r="L164" i="87" s="1"/>
  <c r="K61" i="106" l="1"/>
  <c r="L61" i="106" s="1"/>
  <c r="DO52" i="4"/>
  <c r="DO55" i="4" s="1"/>
  <c r="DO74" i="4" s="1"/>
  <c r="CG30" i="4" l="1"/>
  <c r="K55" i="106" l="1"/>
  <c r="L55" i="106" s="1"/>
  <c r="K55" i="104" l="1"/>
  <c r="L55" i="104" s="1"/>
  <c r="I21" i="4"/>
  <c r="K51" i="105"/>
  <c r="L51" i="105" s="1"/>
  <c r="AB52" i="4"/>
  <c r="AB55" i="4" s="1"/>
  <c r="EE21" i="4" l="1"/>
  <c r="D134" i="131"/>
  <c r="E134" i="131" s="1"/>
  <c r="F134" i="131" s="1"/>
  <c r="DX21" i="130"/>
  <c r="I76" i="104"/>
  <c r="I77" i="104" s="1"/>
  <c r="J143" i="73"/>
  <c r="K143" i="73" s="1"/>
  <c r="EC21" i="4"/>
  <c r="G134" i="131" l="1"/>
  <c r="H26" i="117"/>
  <c r="DC52" i="4"/>
  <c r="DC55" i="4" s="1"/>
  <c r="DC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DB52" i="4" l="1"/>
  <c r="DB55" i="4" s="1"/>
  <c r="DB74" i="4" s="1"/>
  <c r="DA34" i="4"/>
  <c r="K173" i="87" s="1"/>
  <c r="L173" i="87" l="1"/>
  <c r="P7" i="91"/>
  <c r="S7" i="91"/>
  <c r="R7" i="91"/>
  <c r="T7" i="91"/>
  <c r="DA52" i="4"/>
  <c r="DA55" i="4" s="1"/>
  <c r="DA74" i="4" s="1"/>
  <c r="AB69" i="4" l="1"/>
  <c r="T35" i="94" l="1"/>
  <c r="U35" i="94" s="1"/>
  <c r="R37" i="85"/>
  <c r="S37" i="85" s="1"/>
  <c r="AB74" i="4"/>
  <c r="BS44" i="4" l="1"/>
  <c r="K8" i="107" l="1"/>
  <c r="L8" i="107" s="1"/>
  <c r="BA50" i="4" l="1"/>
  <c r="EB50" i="4" s="1"/>
  <c r="BB52" i="4"/>
  <c r="BB55" i="4" s="1"/>
  <c r="BB74" i="4" s="1"/>
  <c r="I50" i="4" l="1"/>
  <c r="BA52" i="4"/>
  <c r="BA55" i="4" s="1"/>
  <c r="BA74" i="4" s="1"/>
  <c r="D163" i="131" l="1"/>
  <c r="E163" i="131" s="1"/>
  <c r="F163" i="131" s="1"/>
  <c r="G163" i="131" s="1"/>
  <c r="H163" i="131" s="1"/>
  <c r="I163" i="131" s="1"/>
  <c r="EE50" i="4"/>
  <c r="DX50" i="130"/>
  <c r="J172" i="73"/>
  <c r="K172" i="73" s="1"/>
  <c r="EC50" i="4"/>
  <c r="I46" i="4" l="1"/>
  <c r="EE46" i="4" l="1"/>
  <c r="D159" i="131"/>
  <c r="E159" i="131" s="1"/>
  <c r="F159" i="131" s="1"/>
  <c r="G159" i="131" s="1"/>
  <c r="H159" i="131" s="1"/>
  <c r="I159" i="131" s="1"/>
  <c r="DX46" i="130"/>
  <c r="EC46" i="4"/>
  <c r="J168" i="73"/>
  <c r="K168" i="73" s="1"/>
  <c r="BD44" i="4" l="1"/>
  <c r="K5" i="107" l="1"/>
  <c r="L5" i="107" s="1"/>
  <c r="I14" i="105" l="1"/>
  <c r="I163" i="105" l="1"/>
  <c r="J163" i="105" s="1"/>
  <c r="K14" i="105" l="1"/>
  <c r="L14" i="105" s="1"/>
  <c r="Q52" i="4"/>
  <c r="Q55" i="4" s="1"/>
  <c r="Q74" i="4" s="1"/>
  <c r="L52" i="130"/>
  <c r="L55" i="130" s="1"/>
  <c r="L74" i="130" s="1"/>
  <c r="DV42" i="130" l="1"/>
  <c r="E42" i="130"/>
  <c r="DW42" i="130" l="1"/>
  <c r="AR59" i="130" l="1"/>
  <c r="AX59" i="4"/>
  <c r="AX58" i="4" l="1"/>
  <c r="AY69" i="4"/>
  <c r="AY74" i="4" s="1"/>
  <c r="AS69" i="130"/>
  <c r="AS74" i="130" s="1"/>
  <c r="AR58" i="130"/>
  <c r="AR69" i="130" l="1"/>
  <c r="AR74" i="130" s="1"/>
  <c r="AX69" i="4"/>
  <c r="R43" i="85" l="1"/>
  <c r="S43" i="85" s="1"/>
  <c r="T109" i="94"/>
  <c r="U109" i="94" s="1"/>
  <c r="AX74" i="4"/>
  <c r="K34" i="75" l="1"/>
  <c r="K135" i="75" s="1"/>
  <c r="I12" i="107" l="1"/>
  <c r="J12" i="107" s="1"/>
  <c r="BM44" i="4" l="1"/>
  <c r="EB44" i="4" s="1"/>
  <c r="BG44" i="130"/>
  <c r="BH52" i="130"/>
  <c r="BH55" i="130" s="1"/>
  <c r="BH74" i="130" s="1"/>
  <c r="E44" i="130" l="1"/>
  <c r="DV44" i="130"/>
  <c r="BG52" i="130"/>
  <c r="BG55" i="130" s="1"/>
  <c r="BG74" i="130" s="1"/>
  <c r="K7" i="107"/>
  <c r="L7" i="107" s="1"/>
  <c r="I44" i="4"/>
  <c r="D157" i="131" l="1"/>
  <c r="E157" i="131" s="1"/>
  <c r="EE44" i="4"/>
  <c r="DW44" i="130"/>
  <c r="EC44" i="4"/>
  <c r="J166" i="73"/>
  <c r="K166" i="73" s="1"/>
  <c r="I13" i="107"/>
  <c r="I14" i="107" s="1"/>
  <c r="DX44" i="130"/>
  <c r="F157" i="131" l="1"/>
  <c r="R24" i="85"/>
  <c r="G157" i="131" l="1"/>
  <c r="S24" i="85"/>
  <c r="H157" i="131" l="1"/>
  <c r="I157" i="131" l="1"/>
  <c r="T15" i="94" l="1"/>
  <c r="V69" i="4"/>
  <c r="EF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I17" i="123" l="1"/>
  <c r="J17" i="123" s="1"/>
  <c r="AI24" i="4" l="1"/>
  <c r="AC24" i="130"/>
  <c r="E24" i="130" l="1"/>
  <c r="DV24" i="130"/>
  <c r="K17" i="123"/>
  <c r="L17" i="123" s="1"/>
  <c r="DW24" i="130" l="1"/>
  <c r="I48" i="4" l="1"/>
  <c r="EE48" i="4" s="1"/>
  <c r="P52" i="4"/>
  <c r="P55" i="4" s="1"/>
  <c r="P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J170" i="73"/>
  <c r="K170" i="73" s="1"/>
  <c r="EC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J220" i="73" l="1"/>
  <c r="E40" i="103"/>
  <c r="C7" i="114"/>
  <c r="C9" i="114" s="1"/>
  <c r="J122" i="73"/>
  <c r="K122" i="73" s="1"/>
  <c r="J39" i="103" l="1"/>
  <c r="E32" i="141"/>
  <c r="J123" i="73"/>
  <c r="K123" i="73" s="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I97" i="72" l="1"/>
  <c r="J97" i="72" s="1"/>
  <c r="CG34" i="4" l="1"/>
  <c r="CA34" i="130"/>
  <c r="K135" i="87" l="1"/>
  <c r="L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CA52" i="4" l="1"/>
  <c r="CA55" i="4" s="1"/>
  <c r="BZ35" i="4"/>
  <c r="BT35" i="130"/>
  <c r="BT52" i="130" s="1"/>
  <c r="BT55" i="130" s="1"/>
  <c r="BU52" i="130"/>
  <c r="BU55" i="130" s="1"/>
  <c r="K97" i="72" l="1"/>
  <c r="L97" i="72" s="1"/>
  <c r="BZ52" i="4"/>
  <c r="BZ55" i="4" s="1"/>
  <c r="AC35" i="130" l="1"/>
  <c r="AC52" i="130" s="1"/>
  <c r="AC55" i="130" s="1"/>
  <c r="AC74" i="130" s="1"/>
  <c r="AD52" i="130"/>
  <c r="AD55" i="130" s="1"/>
  <c r="AD74" i="130" s="1"/>
  <c r="CA35" i="130" l="1"/>
  <c r="AG52" i="4"/>
  <c r="AG55" i="4" s="1"/>
  <c r="AF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K30" i="72"/>
  <c r="L30" i="72" s="1"/>
  <c r="AF52" i="4"/>
  <c r="AF55" i="4" s="1"/>
  <c r="AF52" i="130" l="1"/>
  <c r="AF55" i="130" s="1"/>
  <c r="E35" i="130"/>
  <c r="DV35" i="130"/>
  <c r="DW35" i="130" l="1"/>
  <c r="AU58" i="4" l="1"/>
  <c r="AU69" i="4" s="1"/>
  <c r="AV69" i="4"/>
  <c r="AP69" i="130"/>
  <c r="AP74" i="130" s="1"/>
  <c r="AO58" i="130"/>
  <c r="AO69" i="130" s="1"/>
  <c r="AO74" i="130" s="1"/>
  <c r="R42" i="85" l="1"/>
  <c r="S42" i="85" s="1"/>
  <c r="T104" i="94"/>
  <c r="M133" i="94" l="1"/>
  <c r="N133" i="94" s="1"/>
  <c r="BV58" i="4" l="1"/>
  <c r="BV69" i="4" s="1"/>
  <c r="BW69" i="4"/>
  <c r="BW74" i="4" s="1"/>
  <c r="BQ69" i="130"/>
  <c r="BQ74" i="130" s="1"/>
  <c r="BP58" i="130"/>
  <c r="BP69" i="130" s="1"/>
  <c r="BP74" i="130" s="1"/>
  <c r="AX59" i="130"/>
  <c r="AY69" i="130"/>
  <c r="AY74" i="130" s="1"/>
  <c r="BD59" i="4"/>
  <c r="BE69" i="4"/>
  <c r="BT59" i="130"/>
  <c r="BT69" i="130" s="1"/>
  <c r="BT74" i="130" s="1"/>
  <c r="BU69" i="130"/>
  <c r="BU74" i="130" s="1"/>
  <c r="T165" i="94" l="1"/>
  <c r="U165" i="94" s="1"/>
  <c r="BV74" i="4"/>
  <c r="BD69" i="4"/>
  <c r="AX69" i="130"/>
  <c r="AX74" i="130" s="1"/>
  <c r="R44" i="85" l="1"/>
  <c r="S44" i="85" s="1"/>
  <c r="T133" i="94"/>
  <c r="U133" i="94" s="1"/>
  <c r="CK59" i="130" l="1"/>
  <c r="CQ59" i="4"/>
  <c r="CK69" i="130" l="1"/>
  <c r="CK74" i="130" s="1"/>
  <c r="E59" i="130"/>
  <c r="DV59" i="130"/>
  <c r="DW59" i="130" s="1"/>
  <c r="CK58" i="4"/>
  <c r="CK69" i="4" s="1"/>
  <c r="CL69" i="4"/>
  <c r="M279" i="94"/>
  <c r="N279" i="94" s="1"/>
  <c r="CE58" i="130"/>
  <c r="CE69" i="130" s="1"/>
  <c r="CE74" i="130" s="1"/>
  <c r="CF69" i="130"/>
  <c r="CF74" i="130" s="1"/>
  <c r="R49" i="85" l="1"/>
  <c r="S49" i="85" s="1"/>
  <c r="T279" i="94"/>
  <c r="U279" i="94" s="1"/>
  <c r="CB69" i="130"/>
  <c r="CA58" i="130"/>
  <c r="CA69" i="130" s="1"/>
  <c r="CG22" i="4" l="1"/>
  <c r="EB22" i="4" s="1"/>
  <c r="AL58" i="4"/>
  <c r="AF58" i="130"/>
  <c r="AG69" i="130"/>
  <c r="AG74" i="130" s="1"/>
  <c r="CA22" i="130" l="1"/>
  <c r="CB52" i="130"/>
  <c r="CB55" i="130" s="1"/>
  <c r="CB74" i="130" s="1"/>
  <c r="K113" i="105"/>
  <c r="L113" i="105" s="1"/>
  <c r="I22" i="4"/>
  <c r="AF69" i="130"/>
  <c r="AF74" i="130" s="1"/>
  <c r="E58" i="130"/>
  <c r="DV58" i="130"/>
  <c r="EE22" i="4" l="1"/>
  <c r="D135" i="131"/>
  <c r="I164" i="105"/>
  <c r="I165" i="105" s="1"/>
  <c r="J144" i="73"/>
  <c r="K144" i="73" s="1"/>
  <c r="EC22" i="4"/>
  <c r="CA52" i="130"/>
  <c r="CA55" i="130" s="1"/>
  <c r="CA74" i="130" s="1"/>
  <c r="DV22" i="130"/>
  <c r="E22" i="130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BD24" i="4" l="1"/>
  <c r="BD25" i="4"/>
  <c r="K38" i="125" l="1"/>
  <c r="L38" i="125" s="1"/>
  <c r="K29" i="123"/>
  <c r="L29" i="123" s="1"/>
  <c r="BD23" i="4"/>
  <c r="EB23" i="4" s="1"/>
  <c r="BE52" i="4"/>
  <c r="BE55" i="4" s="1"/>
  <c r="BE74" i="4" s="1"/>
  <c r="I23" i="4" l="1"/>
  <c r="BD52" i="4"/>
  <c r="BD55" i="4" s="1"/>
  <c r="BD74" i="4" s="1"/>
  <c r="EE23" i="4" l="1"/>
  <c r="D136" i="131"/>
  <c r="E136" i="131" s="1"/>
  <c r="DX23" i="130"/>
  <c r="J145" i="73"/>
  <c r="K145" i="73" s="1"/>
  <c r="EC23" i="4"/>
  <c r="F136" i="131" l="1"/>
  <c r="G136" i="131" l="1"/>
  <c r="H136" i="131" l="1"/>
  <c r="I136" i="131" l="1"/>
  <c r="M142" i="94" l="1"/>
  <c r="N142" i="94" s="1"/>
  <c r="BJ60" i="4" l="1"/>
  <c r="BK69" i="4"/>
  <c r="BJ69" i="4" l="1"/>
  <c r="T142" i="94" s="1"/>
  <c r="U142" i="94" s="1"/>
  <c r="EG38" i="4" l="1"/>
  <c r="I170" i="72" l="1"/>
  <c r="J170" i="72" s="1"/>
  <c r="V38" i="4"/>
  <c r="BL52" i="4"/>
  <c r="BL55" i="4" s="1"/>
  <c r="BL74" i="4" s="1"/>
  <c r="M20" i="94"/>
  <c r="N20" i="94" s="1"/>
  <c r="EF38" i="4" l="1"/>
  <c r="EB61" i="4"/>
  <c r="EB62" i="4"/>
  <c r="EB42" i="4"/>
  <c r="AE52" i="4" l="1"/>
  <c r="AE55" i="4" s="1"/>
  <c r="AE74" i="4" s="1"/>
  <c r="I42" i="4"/>
  <c r="EE42" i="4" s="1"/>
  <c r="EE62" i="4"/>
  <c r="EE61" i="4"/>
  <c r="Z69" i="4"/>
  <c r="EC42" i="4" l="1"/>
  <c r="D155" i="131"/>
  <c r="DX42" i="130"/>
  <c r="J164" i="73"/>
  <c r="K164" i="73" s="1"/>
  <c r="D173" i="131"/>
  <c r="J182" i="73"/>
  <c r="K182" i="73" s="1"/>
  <c r="DX62" i="130"/>
  <c r="EC62" i="4"/>
  <c r="T20" i="94"/>
  <c r="U20" i="94" s="1"/>
  <c r="Z74" i="4"/>
  <c r="D172" i="131"/>
  <c r="J181" i="73"/>
  <c r="K181" i="73" s="1"/>
  <c r="DX61" i="130"/>
  <c r="EC61" i="4"/>
  <c r="E155" i="131" l="1"/>
  <c r="BJ35" i="4"/>
  <c r="K170" i="72" s="1"/>
  <c r="L170" i="72" l="1"/>
  <c r="BK52" i="4"/>
  <c r="BK55" i="4" s="1"/>
  <c r="BK74" i="4" s="1"/>
  <c r="BJ38" i="4"/>
  <c r="EB38" i="4" s="1"/>
  <c r="F155" i="131"/>
  <c r="BJ52" i="4" l="1"/>
  <c r="BJ55" i="4" s="1"/>
  <c r="BJ74" i="4" s="1"/>
  <c r="I38" i="4"/>
  <c r="G155" i="131"/>
  <c r="EE38" i="4" l="1"/>
  <c r="EC38" i="4"/>
  <c r="D151" i="131"/>
  <c r="DX38" i="130"/>
  <c r="J160" i="73"/>
  <c r="K160" i="73" s="1"/>
  <c r="H155" i="131"/>
  <c r="E151" i="131" l="1"/>
  <c r="I155" i="131"/>
  <c r="F151" i="131" l="1"/>
  <c r="G151" i="131" l="1"/>
  <c r="H151" i="131" l="1"/>
  <c r="I151" i="131" l="1"/>
  <c r="I26" i="123" l="1"/>
  <c r="J26" i="123" s="1"/>
  <c r="I36" i="123" l="1"/>
  <c r="J36" i="123" s="1"/>
  <c r="EB24" i="4" l="1"/>
  <c r="K26" i="123" l="1"/>
  <c r="L26" i="123" s="1"/>
  <c r="AO52" i="4"/>
  <c r="AO55" i="4" s="1"/>
  <c r="AO74" i="4" s="1"/>
  <c r="I24" i="4"/>
  <c r="EE24" i="4" l="1"/>
  <c r="EC24" i="4"/>
  <c r="J146" i="73"/>
  <c r="K146" i="73" s="1"/>
  <c r="I37" i="123"/>
  <c r="I38" i="123" s="1"/>
  <c r="DX24" i="130"/>
  <c r="D137" i="131"/>
  <c r="E137" i="131" s="1"/>
  <c r="F137" i="131" l="1"/>
  <c r="G137" i="131" l="1"/>
  <c r="H137" i="131" l="1"/>
  <c r="I137" i="131" l="1"/>
  <c r="M275" i="94" l="1"/>
  <c r="N275" i="94" s="1"/>
  <c r="CR69" i="4" l="1"/>
  <c r="CQ58" i="4"/>
  <c r="CQ69" i="4" l="1"/>
  <c r="R48" i="85" l="1"/>
  <c r="S48" i="85" s="1"/>
  <c r="T275" i="94"/>
  <c r="U275" i="94" s="1"/>
  <c r="EB64" i="4" l="1"/>
  <c r="EE64" i="4"/>
  <c r="D175" i="131" l="1"/>
  <c r="J184" i="73"/>
  <c r="K184" i="73" s="1"/>
  <c r="DX64" i="130"/>
  <c r="EC64" i="4"/>
  <c r="BG58" i="4" l="1"/>
  <c r="BH69" i="4"/>
  <c r="BH74" i="4" s="1"/>
  <c r="M138" i="94"/>
  <c r="N138" i="94" s="1"/>
  <c r="BG69" i="4" l="1"/>
  <c r="BG74" i="4" l="1"/>
  <c r="T138" i="94"/>
  <c r="U138" i="94" s="1"/>
  <c r="M15" i="94" l="1"/>
  <c r="N15" i="94" s="1"/>
  <c r="I9" i="75"/>
  <c r="E9" i="75" l="1"/>
  <c r="I7" i="75"/>
  <c r="I5" i="75" s="1"/>
  <c r="I34" i="75" s="1"/>
  <c r="I135" i="75" s="1"/>
  <c r="U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EB66" i="4" l="1"/>
  <c r="R40" i="85"/>
  <c r="S40" i="85" s="1"/>
  <c r="T92" i="94"/>
  <c r="D177" i="131" l="1"/>
  <c r="EE66" i="4"/>
  <c r="J186" i="73"/>
  <c r="K186" i="73" s="1"/>
  <c r="R29" i="85"/>
  <c r="DX66" i="130"/>
  <c r="EC66" i="4"/>
  <c r="S29" i="85" l="1"/>
  <c r="R31" i="85"/>
  <c r="M39" i="94" l="1"/>
  <c r="N39" i="94" s="1"/>
  <c r="AC69" i="4" l="1"/>
  <c r="T39" i="94" l="1"/>
  <c r="U39" i="94" s="1"/>
  <c r="AC74" i="4"/>
  <c r="I47" i="72" l="1"/>
  <c r="J47" i="72" s="1"/>
  <c r="CG60" i="4" l="1"/>
  <c r="I60" i="4" s="1"/>
  <c r="EB60" i="4" l="1"/>
  <c r="EC60" i="4" l="1"/>
  <c r="EE60" i="4"/>
  <c r="D171" i="131"/>
  <c r="DX60" i="130"/>
  <c r="J180" i="73"/>
  <c r="K180" i="73" s="1"/>
  <c r="I88" i="72"/>
  <c r="J88" i="72" s="1"/>
  <c r="I36" i="72" l="1"/>
  <c r="J36" i="72" s="1"/>
  <c r="I23" i="106" l="1"/>
  <c r="J23" i="106" s="1"/>
  <c r="I62" i="106" l="1"/>
  <c r="J62" i="106" s="1"/>
  <c r="AU30" i="4"/>
  <c r="K23" i="106" l="1"/>
  <c r="L23" i="106" s="1"/>
  <c r="EB30" i="4"/>
  <c r="I30" i="4"/>
  <c r="EE30" i="4" l="1"/>
  <c r="D143" i="131"/>
  <c r="E143" i="131" s="1"/>
  <c r="F143" i="131" s="1"/>
  <c r="G143" i="131" s="1"/>
  <c r="H143" i="131" s="1"/>
  <c r="I143" i="131" s="1"/>
  <c r="I63" i="106"/>
  <c r="I64" i="106" s="1"/>
  <c r="J152" i="73"/>
  <c r="K152" i="73" s="1"/>
  <c r="DX30" i="130"/>
  <c r="EC30" i="4"/>
  <c r="CD25" i="4" l="1"/>
  <c r="CE52" i="4"/>
  <c r="CE55" i="4" s="1"/>
  <c r="CE74" i="4" s="1"/>
  <c r="K48" i="125" l="1"/>
  <c r="L48" i="125" s="1"/>
  <c r="CD52" i="4"/>
  <c r="EB25" i="4"/>
  <c r="I25" i="4"/>
  <c r="I67" i="125" s="1"/>
  <c r="I68" i="125" s="1"/>
  <c r="EE25" i="4" l="1"/>
  <c r="D138" i="131"/>
  <c r="E138" i="131" s="1"/>
  <c r="F138" i="131" s="1"/>
  <c r="G138" i="131" s="1"/>
  <c r="H138" i="131" s="1"/>
  <c r="I138" i="131" s="1"/>
  <c r="J147" i="73"/>
  <c r="K147" i="73" s="1"/>
  <c r="DX25" i="130"/>
  <c r="CD55" i="4"/>
  <c r="CD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EC25" i="4"/>
  <c r="I165" i="72"/>
  <c r="J165" i="72" s="1"/>
  <c r="I157" i="72"/>
  <c r="J157" i="72" s="1"/>
  <c r="I153" i="72"/>
  <c r="J153" i="72" s="1"/>
  <c r="I139" i="87"/>
  <c r="J139" i="87" s="1"/>
  <c r="I92" i="72"/>
  <c r="J92" i="72" s="1"/>
  <c r="I81" i="72"/>
  <c r="J81" i="72" s="1"/>
  <c r="I87" i="87"/>
  <c r="J87" i="87" s="1"/>
  <c r="I55" i="72"/>
  <c r="J55" i="72" s="1"/>
  <c r="R22" i="85" l="1"/>
  <c r="S22" i="85" s="1"/>
  <c r="I213" i="87"/>
  <c r="J213" i="87" s="1"/>
  <c r="I65" i="72"/>
  <c r="J65" i="72" s="1"/>
  <c r="EG34" i="4" l="1"/>
  <c r="V34" i="4"/>
  <c r="K19" i="117" l="1"/>
  <c r="AW52" i="4"/>
  <c r="AW55" i="4" s="1"/>
  <c r="AW74" i="4" s="1"/>
  <c r="EF34" i="4"/>
  <c r="E19" i="117" l="1"/>
  <c r="C19" i="117" l="1"/>
  <c r="AU35" i="4" l="1"/>
  <c r="K65" i="72" s="1"/>
  <c r="L65" i="72" s="1"/>
  <c r="BM35" i="4" l="1"/>
  <c r="BN52" i="4"/>
  <c r="BN55" i="4" s="1"/>
  <c r="BN74" i="4" s="1"/>
  <c r="AU34" i="4"/>
  <c r="AV52" i="4"/>
  <c r="AV55" i="4" s="1"/>
  <c r="AV74" i="4" s="1"/>
  <c r="AI35" i="4"/>
  <c r="AJ52" i="4"/>
  <c r="AJ55" i="4" s="1"/>
  <c r="AJ74" i="4" s="1"/>
  <c r="CK35" i="4"/>
  <c r="K153" i="72" s="1"/>
  <c r="L153" i="72" s="1"/>
  <c r="CX52" i="4" l="1"/>
  <c r="CX55" i="4" s="1"/>
  <c r="CX74" i="4" s="1"/>
  <c r="CW35" i="4"/>
  <c r="CQ35" i="4"/>
  <c r="CR52" i="4"/>
  <c r="CR55" i="4" s="1"/>
  <c r="CR74" i="4" s="1"/>
  <c r="CL52" i="4"/>
  <c r="CL55" i="4" s="1"/>
  <c r="CL74" i="4" s="1"/>
  <c r="CK34" i="4"/>
  <c r="BS35" i="4"/>
  <c r="BT52" i="4"/>
  <c r="BT55" i="4" s="1"/>
  <c r="BT74" i="4" s="1"/>
  <c r="BP35" i="4"/>
  <c r="BQ52" i="4"/>
  <c r="BQ55" i="4" s="1"/>
  <c r="BQ74" i="4" s="1"/>
  <c r="K81" i="72"/>
  <c r="L81" i="72" s="1"/>
  <c r="BM52" i="4"/>
  <c r="BM55" i="4" s="1"/>
  <c r="BM74" i="4" s="1"/>
  <c r="K87" i="87"/>
  <c r="L87" i="87" s="1"/>
  <c r="AU52" i="4"/>
  <c r="AU55" i="4" s="1"/>
  <c r="AU74" i="4" s="1"/>
  <c r="K55" i="72"/>
  <c r="L55" i="72" s="1"/>
  <c r="AP52" i="4"/>
  <c r="AP55" i="4" s="1"/>
  <c r="AP74" i="4" s="1"/>
  <c r="K36" i="72"/>
  <c r="L36" i="72" s="1"/>
  <c r="AI52" i="4"/>
  <c r="AI55" i="4" s="1"/>
  <c r="AI74" i="4" s="1"/>
  <c r="CW52" i="4" l="1"/>
  <c r="CW55" i="4" s="1"/>
  <c r="CW74" i="4" s="1"/>
  <c r="K157" i="72"/>
  <c r="L157" i="72" s="1"/>
  <c r="K165" i="72"/>
  <c r="L165" i="72" s="1"/>
  <c r="CQ52" i="4"/>
  <c r="CQ55" i="4" s="1"/>
  <c r="CQ74" i="4" s="1"/>
  <c r="K139" i="87"/>
  <c r="L139" i="87" s="1"/>
  <c r="CK52" i="4"/>
  <c r="CK55" i="4" s="1"/>
  <c r="CK74" i="4" s="1"/>
  <c r="K88" i="72"/>
  <c r="L88" i="72" s="1"/>
  <c r="BS52" i="4"/>
  <c r="BS55" i="4" s="1"/>
  <c r="BS74" i="4" s="1"/>
  <c r="K92" i="72"/>
  <c r="L92" i="72" s="1"/>
  <c r="BP52" i="4"/>
  <c r="BP55" i="4" s="1"/>
  <c r="BP74" i="4" s="1"/>
  <c r="AM52" i="4" l="1"/>
  <c r="AM55" i="4" s="1"/>
  <c r="AL35" i="4"/>
  <c r="AL52" i="4" l="1"/>
  <c r="AL55" i="4" s="1"/>
  <c r="K47" i="72"/>
  <c r="L47" i="72" s="1"/>
  <c r="M104" i="94" l="1"/>
  <c r="N104" i="94" s="1"/>
  <c r="U104" i="94" l="1"/>
  <c r="CH52" i="4" l="1"/>
  <c r="CH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L51" i="4" l="1"/>
  <c r="EB51" i="4" l="1"/>
  <c r="L52" i="4"/>
  <c r="L55" i="4" s="1"/>
  <c r="L74" i="4" s="1"/>
  <c r="I51" i="4"/>
  <c r="EE51" i="4" l="1"/>
  <c r="D164" i="131"/>
  <c r="J173" i="73"/>
  <c r="K173" i="73" s="1"/>
  <c r="DX51" i="130"/>
  <c r="E164" i="131" l="1"/>
  <c r="F164" i="131" l="1"/>
  <c r="G164" i="131" l="1"/>
  <c r="H164" i="131" l="1"/>
  <c r="I164" i="131" l="1"/>
  <c r="BZ59" i="4" l="1"/>
  <c r="CA69" i="4"/>
  <c r="CA74" i="4" s="1"/>
  <c r="BZ69" i="4" l="1"/>
  <c r="U154" i="94" l="1"/>
  <c r="R45" i="85"/>
  <c r="S45" i="85" s="1"/>
  <c r="T180" i="94"/>
  <c r="U180" i="94" s="1"/>
  <c r="BZ74" i="4"/>
  <c r="DL52" i="4" l="1"/>
  <c r="DL55" i="4" s="1"/>
  <c r="DL74" i="4" s="1"/>
  <c r="DK34" i="4"/>
  <c r="DK52" i="4" l="1"/>
  <c r="DK55" i="4" s="1"/>
  <c r="DK74" i="4" s="1"/>
  <c r="K151" i="87"/>
  <c r="L151" i="87" s="1"/>
  <c r="EB34" i="4"/>
  <c r="I34" i="4"/>
  <c r="EC34" i="4" l="1"/>
  <c r="DX34" i="130"/>
  <c r="I214" i="87"/>
  <c r="I215" i="87" s="1"/>
  <c r="D147" i="131"/>
  <c r="E147" i="131" s="1"/>
  <c r="F147" i="131" s="1"/>
  <c r="G147" i="131" s="1"/>
  <c r="H147" i="131" s="1"/>
  <c r="I147" i="131" s="1"/>
  <c r="J156" i="73"/>
  <c r="K156" i="73" s="1"/>
  <c r="EE34" i="4"/>
  <c r="I149" i="72" l="1"/>
  <c r="J149" i="72" s="1"/>
  <c r="I179" i="72" l="1"/>
  <c r="J179" i="72" s="1"/>
  <c r="K24" i="117" l="1"/>
  <c r="CI52" i="4"/>
  <c r="CI55" i="4" s="1"/>
  <c r="CI74" i="4" s="1"/>
  <c r="V35" i="4"/>
  <c r="EG35" i="4"/>
  <c r="CG35" i="4"/>
  <c r="EB35" i="4" l="1"/>
  <c r="CG52" i="4"/>
  <c r="CG55" i="4" s="1"/>
  <c r="I35" i="4"/>
  <c r="K149" i="72"/>
  <c r="L149" i="72" s="1"/>
  <c r="EF35" i="4"/>
  <c r="EG52" i="4"/>
  <c r="EG55" i="4" s="1"/>
  <c r="EG74" i="4" s="1"/>
  <c r="V75" i="4"/>
  <c r="V76" i="4" s="1"/>
  <c r="V52" i="4"/>
  <c r="V55" i="4" s="1"/>
  <c r="V74" i="4" s="1"/>
  <c r="E24" i="117"/>
  <c r="K15" i="117"/>
  <c r="K5" i="117" s="1"/>
  <c r="K47" i="117" s="1"/>
  <c r="K143" i="117" s="1"/>
  <c r="D148" i="131" l="1"/>
  <c r="EE35" i="4"/>
  <c r="J157" i="73"/>
  <c r="K157" i="73" s="1"/>
  <c r="DX35" i="130"/>
  <c r="I180" i="72"/>
  <c r="I181" i="72" s="1"/>
  <c r="C24" i="117"/>
  <c r="C15" i="117" s="1"/>
  <c r="C5" i="117" s="1"/>
  <c r="E15" i="117"/>
  <c r="E5" i="117" s="1"/>
  <c r="E47" i="117" s="1"/>
  <c r="EC35" i="4"/>
  <c r="Q47" i="117" l="1"/>
  <c r="E143" i="117"/>
  <c r="C47" i="117"/>
  <c r="C143" i="117" s="1"/>
  <c r="F48" i="117"/>
  <c r="R23" i="85"/>
  <c r="E148" i="131"/>
  <c r="S23" i="85" l="1"/>
  <c r="F148" i="131"/>
  <c r="G148" i="131" l="1"/>
  <c r="H148" i="131" l="1"/>
  <c r="I148" i="131" l="1"/>
  <c r="M59" i="94" l="1"/>
  <c r="N59" i="94" s="1"/>
  <c r="M64" i="94" l="1"/>
  <c r="N64" i="94" s="1"/>
  <c r="M204" i="94" l="1"/>
  <c r="N204" i="94" s="1"/>
  <c r="M199" i="94" l="1"/>
  <c r="N199" i="94" s="1"/>
  <c r="AG58" i="4" l="1"/>
  <c r="M40" i="94"/>
  <c r="N40" i="94" s="1"/>
  <c r="AM59" i="4"/>
  <c r="AL59" i="4" l="1"/>
  <c r="I59" i="4" s="1"/>
  <c r="AM69" i="4"/>
  <c r="AM74" i="4" s="1"/>
  <c r="M45" i="94"/>
  <c r="N45" i="94" s="1"/>
  <c r="AF58" i="4"/>
  <c r="AG69" i="4"/>
  <c r="AG74" i="4" s="1"/>
  <c r="AL69" i="4" l="1"/>
  <c r="T64" i="94" s="1"/>
  <c r="EB59" i="4"/>
  <c r="AF69" i="4"/>
  <c r="EC59" i="4" l="1"/>
  <c r="EE59" i="4"/>
  <c r="J179" i="73"/>
  <c r="K179" i="73" s="1"/>
  <c r="DX59" i="130"/>
  <c r="D170" i="131"/>
  <c r="U64" i="94"/>
  <c r="R36" i="85"/>
  <c r="S36" i="85" s="1"/>
  <c r="AL74" i="4"/>
  <c r="R35" i="85"/>
  <c r="S35" i="85" s="1"/>
  <c r="T45" i="94"/>
  <c r="U45" i="94" s="1"/>
  <c r="AF74" i="4"/>
  <c r="M188" i="94" l="1"/>
  <c r="N188" i="94" s="1"/>
  <c r="M187" i="94" l="1"/>
  <c r="M254" i="94" l="1"/>
  <c r="N254" i="94" s="1"/>
  <c r="N187" i="94"/>
  <c r="CG58" i="4" l="1"/>
  <c r="I58" i="4" s="1"/>
  <c r="CH69" i="4"/>
  <c r="CH74" i="4" s="1"/>
  <c r="CG69" i="4" l="1"/>
  <c r="EB58" i="4"/>
  <c r="DX58" i="130" l="1"/>
  <c r="EE58" i="4"/>
  <c r="D169" i="131"/>
  <c r="D167" i="131" s="1"/>
  <c r="D198" i="131" s="1"/>
  <c r="M324" i="94"/>
  <c r="J178" i="73"/>
  <c r="K178" i="73" s="1"/>
  <c r="Q33" i="85"/>
  <c r="EC58" i="4"/>
  <c r="T254" i="94"/>
  <c r="U254" i="94" s="1"/>
  <c r="CG74" i="4"/>
  <c r="R46" i="85"/>
  <c r="S46" i="85" s="1"/>
  <c r="J176" i="73" l="1"/>
  <c r="K176" i="73" s="1"/>
  <c r="C37" i="114" l="1"/>
  <c r="J208" i="73"/>
  <c r="J211" i="73" l="1"/>
  <c r="J209" i="73"/>
  <c r="I9" i="139" l="1"/>
  <c r="J9" i="139" l="1"/>
  <c r="I11" i="139"/>
  <c r="J11" i="139" s="1"/>
  <c r="I71" i="4" l="1"/>
  <c r="I72" i="4" s="1"/>
  <c r="J53" i="4" l="1"/>
  <c r="I53" i="4" s="1"/>
  <c r="EB71" i="4"/>
  <c r="K72" i="4"/>
  <c r="EB53" i="4" l="1"/>
  <c r="J55" i="4"/>
  <c r="J74" i="4" s="1"/>
  <c r="R28" i="85"/>
  <c r="S28" i="85" s="1"/>
  <c r="EB72" i="4"/>
  <c r="K74" i="4"/>
  <c r="I12" i="139"/>
  <c r="I13" i="139" s="1"/>
  <c r="D183" i="131"/>
  <c r="EE71" i="4"/>
  <c r="EE72" i="4" s="1"/>
  <c r="J192" i="73"/>
  <c r="EC71" i="4"/>
  <c r="I12" i="138" l="1"/>
  <c r="I13" i="138" s="1"/>
  <c r="EE53" i="4"/>
  <c r="D165" i="131"/>
  <c r="J174" i="73"/>
  <c r="DX53" i="130"/>
  <c r="EC53" i="4"/>
  <c r="K192" i="73"/>
  <c r="J227" i="73"/>
  <c r="R53" i="85"/>
  <c r="S53" i="85" s="1"/>
  <c r="J204" i="73"/>
  <c r="D194" i="131"/>
  <c r="D214" i="131"/>
  <c r="EC72" i="4"/>
  <c r="K174" i="73" l="1"/>
  <c r="J226" i="73"/>
  <c r="J225" i="73" s="1"/>
  <c r="D213" i="131"/>
  <c r="D212" i="131" s="1"/>
  <c r="D221" i="131" l="1"/>
  <c r="D205" i="131"/>
  <c r="D222" i="131"/>
  <c r="J218" i="73"/>
  <c r="J235" i="73"/>
  <c r="D220" i="131"/>
  <c r="M90" i="94" l="1"/>
  <c r="N90" i="94" l="1"/>
  <c r="M92" i="94"/>
  <c r="N47" i="4"/>
  <c r="EB47" i="4" l="1"/>
  <c r="I47" i="4"/>
  <c r="N52" i="4"/>
  <c r="N55" i="4" s="1"/>
  <c r="N92" i="94"/>
  <c r="U92" i="94"/>
  <c r="M323" i="94"/>
  <c r="D160" i="131" l="1"/>
  <c r="EE47" i="4"/>
  <c r="EE52" i="4" s="1"/>
  <c r="EE55" i="4" s="1"/>
  <c r="DX47" i="130"/>
  <c r="J169" i="73"/>
  <c r="I52" i="4"/>
  <c r="I55" i="4" s="1"/>
  <c r="N75" i="4" s="1"/>
  <c r="N67" i="4" s="1"/>
  <c r="N323" i="94"/>
  <c r="M325" i="94"/>
  <c r="EC47" i="4"/>
  <c r="I67" i="4" l="1"/>
  <c r="EB67" i="4"/>
  <c r="N69" i="4"/>
  <c r="N74" i="4" s="1"/>
  <c r="K169" i="73"/>
  <c r="R25" i="85"/>
  <c r="J138" i="73"/>
  <c r="E160" i="131"/>
  <c r="D129" i="131"/>
  <c r="J234" i="73" l="1"/>
  <c r="K138" i="73"/>
  <c r="J200" i="73"/>
  <c r="J127" i="73"/>
  <c r="F160" i="131"/>
  <c r="E129" i="131"/>
  <c r="D118" i="131"/>
  <c r="D217" i="131" s="1"/>
  <c r="D218" i="131" s="1"/>
  <c r="D191" i="131"/>
  <c r="D192" i="131" s="1"/>
  <c r="D195" i="131" s="1"/>
  <c r="D199" i="131" s="1"/>
  <c r="S25" i="85"/>
  <c r="R19" i="85"/>
  <c r="S19" i="85" s="1"/>
  <c r="EC67" i="4"/>
  <c r="I69" i="4"/>
  <c r="I74" i="4" s="1"/>
  <c r="I75" i="4" s="1"/>
  <c r="J190" i="73"/>
  <c r="EE67" i="4"/>
  <c r="EE69" i="4" s="1"/>
  <c r="EE74" i="4" s="1"/>
  <c r="DX67" i="130"/>
  <c r="D181" i="131"/>
  <c r="D180" i="131" s="1"/>
  <c r="D185" i="131" s="1"/>
  <c r="D186" i="131" l="1"/>
  <c r="D187" i="131"/>
  <c r="K127" i="73"/>
  <c r="J230" i="73"/>
  <c r="J231" i="73" s="1"/>
  <c r="C36" i="114"/>
  <c r="E191" i="131"/>
  <c r="E192" i="131" s="1"/>
  <c r="E195" i="131" s="1"/>
  <c r="E199" i="131" s="1"/>
  <c r="E118" i="131"/>
  <c r="J202" i="73"/>
  <c r="J201" i="73"/>
  <c r="J205" i="73" s="1"/>
  <c r="J210" i="73" s="1"/>
  <c r="J189" i="73"/>
  <c r="K190" i="73"/>
  <c r="G160" i="131"/>
  <c r="F129" i="131"/>
  <c r="F118" i="131" l="1"/>
  <c r="F191" i="131"/>
  <c r="F192" i="131" s="1"/>
  <c r="F195" i="131" s="1"/>
  <c r="F199" i="131" s="1"/>
  <c r="E185" i="131"/>
  <c r="E187" i="131" s="1"/>
  <c r="E217" i="131"/>
  <c r="E218" i="131" s="1"/>
  <c r="H160" i="131"/>
  <c r="G129" i="131"/>
  <c r="J194" i="73"/>
  <c r="K189" i="73"/>
  <c r="C38" i="114"/>
  <c r="G118" i="131" l="1"/>
  <c r="G191" i="131"/>
  <c r="G192" i="131" s="1"/>
  <c r="G195" i="131" s="1"/>
  <c r="G199" i="131" s="1"/>
  <c r="I160" i="131"/>
  <c r="I129" i="131" s="1"/>
  <c r="H129" i="131"/>
  <c r="K194" i="73"/>
  <c r="J196" i="73"/>
  <c r="K196" i="73" s="1"/>
  <c r="J195" i="73"/>
  <c r="K195" i="73" s="1"/>
  <c r="F217" i="131"/>
  <c r="F218" i="131" s="1"/>
  <c r="F185" i="131"/>
  <c r="F187" i="131" s="1"/>
  <c r="H191" i="131" l="1"/>
  <c r="H192" i="131" s="1"/>
  <c r="H195" i="131" s="1"/>
  <c r="H199" i="131" s="1"/>
  <c r="H118" i="131"/>
  <c r="I118" i="131"/>
  <c r="I191" i="131"/>
  <c r="I192" i="131" s="1"/>
  <c r="I195" i="131" s="1"/>
  <c r="I199" i="131" s="1"/>
  <c r="G185" i="131"/>
  <c r="G187" i="131" s="1"/>
  <c r="G217" i="131"/>
  <c r="G218" i="131" s="1"/>
  <c r="I185" i="131" l="1"/>
  <c r="I187" i="131" s="1"/>
  <c r="I217" i="131"/>
  <c r="I218" i="131" s="1"/>
  <c r="H217" i="131"/>
  <c r="H218" i="131" s="1"/>
  <c r="H185" i="131"/>
  <c r="H187" i="1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K5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<sst xmlns="http://schemas.openxmlformats.org/spreadsheetml/2006/main" count="8799" uniqueCount="2903">
  <si>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</si>
  <si>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</si>
  <si>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</si>
  <si>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</si>
  <si>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</si>
  <si>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</si>
  <si>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</si>
  <si>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</si>
  <si>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</si>
  <si>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</si>
  <si>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</si>
  <si>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</si>
  <si>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</si>
  <si>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</si>
  <si>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</si>
  <si>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</si>
  <si>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</si>
  <si>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</si>
  <si>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</si>
  <si>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</si>
  <si>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</si>
  <si>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</si>
  <si>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</si>
  <si>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</si>
  <si>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</si>
  <si>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</si>
  <si>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</si>
  <si>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</si>
  <si>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</si>
  <si>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</si>
  <si>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</si>
  <si>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</si>
  <si>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</si>
  <si>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</si>
  <si>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</si>
  <si>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</si>
  <si>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</si>
  <si>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</si>
  <si>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</si>
  <si>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</si>
  <si>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</si>
  <si>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</si>
  <si>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</si>
  <si>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</si>
  <si>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</si>
  <si>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</si>
  <si>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</si>
  <si>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</si>
  <si>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</si>
  <si>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</si>
  <si>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</si>
  <si>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</si>
  <si>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</si>
  <si>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</si>
  <si>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</si>
  <si>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</si>
  <si>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</si>
  <si>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</si>
  <si>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</si>
  <si>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</si>
  <si>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</si>
  <si>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</si>
  <si>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</si>
  <si>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</si>
  <si>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</si>
  <si>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</si>
  <si>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</si>
  <si>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</si>
  <si>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</si>
  <si>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</si>
  <si>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</si>
  <si>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</si>
  <si>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</si>
  <si>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</si>
  <si>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</si>
  <si>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</si>
  <si>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</si>
  <si>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</si>
  <si>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</si>
  <si>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</si>
  <si>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</si>
  <si>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</si>
  <si>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</si>
  <si>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</si>
  <si>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</si>
  <si>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</si>
  <si>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</si>
  <si>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</si>
  <si>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</si>
  <si>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</si>
  <si>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</si>
  <si>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</si>
  <si>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</si>
  <si>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</si>
  <si>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</si>
  <si>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</si>
  <si>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</si>
  <si>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</si>
  <si>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</si>
  <si>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</si>
  <si>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</si>
  <si>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</si>
  <si>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</si>
  <si>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</si>
  <si>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</si>
  <si>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</si>
  <si>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</si>
  <si>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</si>
  <si>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</si>
  <si>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</si>
  <si>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</si>
  <si>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</si>
  <si>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</si>
  <si>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</si>
  <si>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</si>
  <si>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</si>
  <si>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</si>
  <si>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</si>
  <si>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</si>
  <si>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</si>
  <si>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</si>
  <si>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</si>
  <si>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</si>
  <si>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</si>
  <si>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</si>
  <si>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</si>
  <si>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</si>
  <si>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</si>
  <si>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</si>
  <si>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</si>
  <si>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</si>
  <si>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</si>
  <si>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</si>
  <si>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</si>
  <si>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</si>
  <si>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</si>
  <si>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</si>
  <si>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</si>
  <si>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</si>
  <si>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</si>
  <si>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</si>
  <si>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</si>
  <si>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</si>
  <si>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</si>
  <si>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</si>
  <si>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</si>
  <si>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</si>
  <si>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</si>
  <si>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</si>
  <si>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</si>
  <si>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</si>
  <si>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</si>
  <si>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</si>
  <si>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</si>
  <si>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</si>
  <si>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</si>
  <si>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</si>
  <si>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</si>
  <si>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</si>
  <si>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</si>
  <si>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</si>
  <si>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</si>
  <si>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</si>
  <si>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</si>
  <si>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</si>
  <si>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</si>
  <si>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</si>
  <si>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</si>
  <si>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</si>
  <si>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</si>
  <si>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</si>
  <si>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</si>
  <si>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</si>
  <si>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</si>
  <si>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</si>
  <si>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</si>
  <si>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</si>
  <si>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</si>
  <si>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</si>
  <si>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</si>
  <si>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</si>
  <si>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</si>
  <si>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</si>
  <si>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</si>
  <si>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</si>
  <si>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</si>
  <si>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</si>
  <si>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</si>
  <si>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</si>
  <si>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</si>
  <si>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</si>
  <si>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</si>
  <si>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</si>
  <si>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</si>
  <si>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</si>
  <si>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</si>
  <si>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</si>
  <si>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</si>
  <si>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</si>
  <si>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</si>
  <si>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</si>
  <si>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</si>
  <si>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</si>
  <si>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</si>
  <si>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</si>
  <si>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</si>
  <si>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</si>
  <si>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</si>
  <si>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</si>
  <si>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</si>
  <si>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</si>
  <si>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</si>
  <si>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</si>
  <si>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</si>
  <si>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</si>
  <si>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</si>
  <si>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</si>
  <si>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</si>
  <si>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</si>
  <si>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</si>
  <si>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</si>
  <si>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</si>
  <si>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</si>
  <si>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</si>
  <si>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</si>
  <si>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</si>
  <si>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</si>
  <si>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</si>
  <si>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</si>
  <si>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</si>
  <si>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</si>
  <si>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</si>
  <si>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</si>
  <si>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</si>
  <si>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</si>
  <si>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</si>
  <si>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</si>
  <si>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</si>
  <si>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</si>
  <si>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</si>
  <si>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</si>
  <si>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</si>
  <si>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</si>
  <si>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</si>
  <si>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</si>
  <si>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</si>
  <si>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</si>
  <si>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</si>
  <si>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</si>
  <si>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</si>
  <si>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</si>
  <si>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</si>
  <si>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</si>
  <si>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</si>
  <si>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</si>
  <si>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</si>
  <si>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</si>
  <si>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</si>
  <si>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</si>
  <si>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</si>
  <si>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</si>
  <si>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</si>
  <si>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</si>
  <si>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</si>
  <si>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</si>
  <si>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</si>
  <si>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</si>
  <si>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</si>
  <si>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</si>
  <si>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</si>
  <si>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</si>
  <si>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</si>
  <si>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</si>
  <si>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</si>
  <si>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</si>
  <si>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</si>
  <si>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</si>
  <si>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</si>
  <si>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</si>
  <si>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</si>
  <si>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</si>
  <si>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</si>
  <si>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</si>
  <si>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</si>
  <si>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</si>
  <si>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</si>
  <si>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</si>
  <si>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</si>
  <si>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</si>
  <si>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</si>
  <si>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</si>
  <si>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</si>
  <si>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</si>
  <si>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</si>
  <si>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</si>
  <si>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</si>
  <si>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</si>
  <si>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</si>
  <si>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</si>
  <si>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</si>
  <si>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</si>
  <si>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</si>
  <si>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</si>
  <si>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</si>
  <si>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</si>
  <si>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</si>
  <si>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</si>
  <si>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</si>
  <si>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</si>
  <si>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</si>
  <si>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</si>
  <si>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</si>
  <si>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</si>
  <si>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</si>
  <si>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</si>
  <si>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</si>
  <si>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</si>
  <si>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</si>
  <si>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</si>
  <si>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</si>
  <si>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</si>
  <si>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</si>
  <si>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</si>
  <si>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</si>
  <si>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</si>
  <si>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</si>
  <si>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</si>
  <si>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</si>
  <si>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</si>
  <si>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</si>
  <si>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</si>
  <si>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</si>
  <si>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</si>
  <si>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</si>
  <si>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</si>
  <si>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</si>
  <si>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</si>
  <si>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</si>
  <si>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</si>
  <si>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</si>
  <si>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</si>
  <si>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</si>
  <si>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</si>
  <si>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</si>
  <si>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</si>
  <si>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</si>
  <si>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</si>
  <si>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</si>
  <si>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</si>
  <si>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</si>
  <si>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</si>
  <si>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</si>
  <si>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</si>
  <si>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</si>
  <si>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</si>
  <si>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</si>
  <si>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</si>
  <si>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</si>
  <si>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</si>
  <si>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</si>
  <si>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</si>
  <si>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</si>
  <si>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</si>
  <si>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</si>
  <si>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</si>
  <si>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</si>
  <si>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</si>
  <si>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</si>
  <si>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</si>
  <si>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</si>
  <si>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</si>
  <si>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</si>
  <si>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</si>
  <si>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</si>
  <si>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</si>
  <si>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</si>
  <si>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</si>
  <si>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</si>
  <si>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</si>
  <si>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</si>
  <si>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</si>
  <si>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</si>
  <si>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</si>
  <si>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</si>
  <si>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</si>
  <si>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</si>
  <si>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</si>
  <si>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</si>
  <si>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</si>
  <si>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</si>
  <si>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</si>
  <si>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</si>
  <si>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</si>
  <si>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</si>
  <si>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</si>
  <si>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</si>
  <si>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</si>
  <si>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</si>
  <si>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</si>
  <si>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</si>
  <si>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</si>
  <si>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</si>
  <si>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</si>
  <si>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</si>
  <si>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</si>
  <si>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</si>
  <si>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</si>
  <si>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</si>
  <si>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</si>
  <si>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</si>
  <si>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</si>
  <si>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</si>
  <si>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</si>
  <si>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</si>
  <si>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</si>
  <si>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</si>
  <si>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</si>
  <si>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</si>
  <si>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</si>
  <si>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</si>
  <si>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</si>
  <si>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</si>
  <si>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</si>
  <si>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</si>
  <si>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</si>
  <si>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</si>
  <si>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</si>
  <si>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</si>
  <si>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</si>
  <si>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</si>
  <si>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</si>
  <si>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</si>
  <si>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</si>
  <si>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</si>
  <si>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</si>
  <si>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</si>
  <si>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</si>
  <si>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</si>
  <si>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</si>
  <si>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</si>
  <si>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</si>
  <si>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</si>
  <si>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</si>
  <si>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</si>
  <si>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</si>
  <si>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</si>
  <si>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</si>
  <si>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</si>
  <si>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</si>
  <si>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</si>
  <si>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</si>
  <si>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</si>
  <si>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</si>
  <si>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</si>
  <si>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</si>
  <si>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</si>
  <si>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</si>
  <si>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</si>
  <si>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</si>
  <si>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</si>
  <si>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</si>
  <si>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</si>
  <si>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</si>
  <si>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</si>
  <si>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</si>
  <si>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</si>
  <si>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</si>
  <si>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</si>
  <si>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</si>
  <si>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</si>
  <si>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</si>
  <si>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</si>
  <si>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</si>
  <si>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</si>
  <si>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</si>
  <si>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</si>
  <si>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</si>
  <si>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</si>
  <si>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</si>
  <si>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</si>
  <si>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</si>
  <si>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</si>
  <si>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</si>
  <si>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</si>
  <si>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</si>
  <si>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</si>
  <si>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</si>
  <si>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</si>
  <si>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</si>
  <si>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</si>
  <si>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</si>
  <si>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</si>
  <si>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</si>
  <si>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</si>
  <si>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</si>
  <si>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</si>
  <si>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</si>
  <si>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</si>
  <si>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</si>
  <si>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</si>
  <si>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</si>
  <si>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</si>
  <si>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</si>
  <si>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</si>
  <si>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</si>
  <si>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</si>
  <si>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</si>
  <si>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</si>
  <si>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</si>
  <si>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</si>
  <si>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</si>
  <si>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</si>
  <si>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</si>
  <si>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</si>
  <si>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</si>
  <si>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</si>
  <si>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</si>
  <si>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</si>
  <si>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</si>
  <si>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</si>
  <si>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</si>
  <si>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</si>
  <si>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</si>
  <si>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</si>
  <si>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</si>
  <si>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</si>
  <si>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</si>
  <si>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</si>
  <si>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</si>
  <si>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</si>
  <si>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</si>
  <si>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</si>
  <si>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</si>
  <si>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</si>
  <si>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</si>
  <si>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</si>
  <si>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</si>
  <si>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</si>
  <si>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</si>
  <si>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</si>
  <si>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</si>
  <si>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</si>
  <si>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</si>
  <si>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</si>
  <si>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</si>
  <si>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</si>
  <si>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</si>
  <si>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</si>
  <si>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</si>
  <si>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</si>
  <si>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</si>
  <si>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</si>
  <si>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</si>
  <si>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</si>
  <si>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</si>
  <si>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</si>
  <si>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</si>
  <si>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</si>
  <si>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</si>
  <si>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</si>
  <si>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</si>
  <si>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</si>
  <si>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</si>
  <si>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</si>
  <si>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</si>
  <si>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</si>
  <si>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</si>
  <si>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</si>
  <si>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</si>
  <si>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</si>
  <si>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</si>
  <si>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</si>
  <si>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</si>
  <si>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</si>
  <si>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</si>
  <si>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</si>
  <si>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</si>
  <si>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</si>
  <si>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</si>
  <si>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</si>
  <si>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</si>
  <si>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</si>
  <si>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</si>
  <si>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</si>
  <si>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</si>
  <si>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</si>
  <si>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</si>
  <si>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</si>
  <si>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</si>
  <si>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</si>
  <si>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</si>
  <si>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</si>
  <si>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</si>
  <si>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</si>
  <si>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</si>
  <si>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</si>
  <si>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</si>
  <si>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</si>
  <si>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</si>
  <si>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</si>
  <si>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</si>
  <si>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</si>
  <si>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</si>
  <si>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</si>
  <si>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</si>
  <si>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</si>
  <si>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</si>
  <si>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</si>
  <si>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</si>
  <si>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</si>
  <si>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</si>
  <si>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</si>
  <si>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</si>
  <si>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</si>
  <si>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</si>
  <si>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</si>
  <si>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</si>
  <si>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</si>
  <si>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</si>
  <si>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</si>
  <si>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</si>
  <si>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</si>
  <si>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</si>
  <si>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</si>
  <si>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</si>
  <si>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</si>
  <si>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</si>
  <si>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</si>
  <si>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</si>
  <si>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</si>
  <si>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</si>
  <si>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</si>
  <si>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</si>
  <si>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</si>
  <si>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</si>
  <si>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</si>
  <si>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</si>
  <si>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</si>
  <si>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</si>
  <si>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</si>
  <si>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</si>
  <si>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</si>
  <si>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</si>
  <si>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</si>
  <si>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</si>
  <si>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</si>
  <si>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</si>
  <si>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</si>
  <si>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</si>
  <si>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</si>
  <si>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</si>
  <si>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</si>
  <si>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</si>
  <si>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</si>
  <si>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</si>
  <si>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</si>
  <si>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</si>
  <si>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</si>
  <si>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</si>
  <si>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</si>
  <si>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</si>
  <si>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</si>
  <si>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</si>
  <si>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</si>
  <si>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</si>
  <si>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</si>
  <si>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</si>
  <si>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</si>
  <si>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</si>
  <si>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</si>
  <si>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</si>
  <si>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</si>
  <si>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</si>
  <si>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</si>
  <si>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</si>
  <si>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</si>
  <si>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</si>
  <si>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</si>
  <si>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</si>
  <si>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</si>
  <si>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</si>
  <si>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</si>
  <si>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</si>
  <si>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</si>
  <si>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</si>
  <si>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</si>
  <si>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</si>
  <si>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</si>
  <si>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</si>
  <si>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</si>
  <si>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</si>
  <si>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</si>
  <si>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</si>
  <si>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</si>
  <si>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</si>
  <si>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</si>
  <si>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</si>
  <si>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</si>
  <si>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</si>
  <si>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</si>
  <si>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</si>
  <si>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</si>
  <si>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</si>
  <si>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</si>
  <si>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</si>
  <si>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</si>
  <si>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</si>
  <si>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</si>
  <si>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</si>
  <si>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</si>
  <si>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</si>
  <si>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</si>
  <si>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</si>
  <si>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</si>
  <si>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</si>
  <si>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</si>
  <si>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</si>
  <si>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</si>
  <si>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</si>
  <si>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</si>
  <si>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</si>
  <si>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</si>
  <si>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</si>
  <si>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</si>
  <si>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</si>
  <si>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</si>
  <si>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</si>
  <si>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</si>
  <si>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</si>
  <si>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</si>
  <si>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</si>
  <si>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</si>
  <si>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</si>
  <si>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</si>
  <si>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</si>
  <si>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</si>
  <si>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</si>
  <si>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</si>
  <si>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</si>
  <si>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</si>
  <si>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</si>
  <si>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</si>
  <si>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</si>
  <si>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</si>
  <si>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</si>
  <si>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</si>
  <si>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</si>
  <si>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</si>
  <si>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</si>
  <si>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</si>
  <si>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</si>
  <si>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</si>
  <si>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</si>
  <si>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</si>
  <si>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</si>
  <si>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</si>
  <si>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</si>
  <si>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</si>
  <si>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</si>
  <si>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</si>
  <si>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</si>
  <si>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</si>
  <si>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</si>
  <si>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</si>
  <si>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</si>
  <si>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</si>
  <si>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</si>
  <si>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</si>
  <si>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</si>
  <si>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</si>
  <si>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</si>
  <si>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</si>
  <si>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</si>
  <si>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</si>
  <si>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</si>
  <si>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</si>
  <si>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</si>
  <si>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</si>
  <si>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</si>
  <si>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</si>
  <si>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</si>
  <si>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</si>
  <si>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</si>
  <si>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</si>
  <si>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</si>
  <si>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</si>
  <si>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</si>
  <si>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</si>
  <si>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</si>
  <si>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</si>
  <si>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</si>
  <si>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</si>
  <si>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</si>
  <si>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</si>
  <si>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</si>
  <si>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</si>
  <si>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</si>
  <si>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</si>
  <si>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</si>
  <si>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</si>
  <si>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</si>
  <si>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</si>
  <si>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</si>
  <si>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</si>
  <si>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</si>
  <si>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</si>
  <si>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</si>
  <si>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</si>
  <si>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</si>
  <si>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</si>
  <si>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</si>
  <si>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</si>
  <si>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</si>
  <si>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</si>
  <si>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</si>
  <si>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</si>
  <si>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</si>
  <si>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</si>
  <si>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</si>
  <si>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</si>
  <si>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</si>
  <si>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</si>
  <si>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</si>
  <si>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</si>
  <si>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</si>
  <si>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</si>
  <si>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</si>
  <si>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</si>
  <si>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</si>
  <si>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</si>
  <si>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</si>
  <si>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</si>
  <si>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</si>
  <si>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</si>
  <si>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</si>
  <si>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</si>
  <si>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</si>
  <si>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</si>
  <si>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</si>
  <si>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</si>
  <si>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</si>
  <si>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</si>
  <si>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</si>
  <si>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</si>
  <si>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</si>
  <si>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</si>
  <si>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</si>
  <si>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</si>
  <si>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</si>
  <si>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</si>
  <si>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</si>
  <si>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</si>
  <si>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</si>
  <si>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</si>
  <si>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</si>
  <si>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</si>
  <si>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</si>
  <si>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</si>
  <si>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</si>
  <si>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</si>
  <si>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</si>
  <si>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</si>
  <si>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</si>
  <si>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</si>
  <si>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</si>
  <si>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</si>
  <si>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</si>
  <si>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</si>
  <si>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</si>
  <si>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</si>
  <si>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</si>
  <si>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</si>
  <si>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</si>
  <si>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</si>
  <si>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</si>
  <si>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</si>
  <si>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</si>
  <si>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</si>
  <si>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</si>
  <si>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</si>
  <si>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</si>
  <si>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</si>
  <si>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</si>
  <si>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</si>
  <si>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</si>
  <si>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</si>
  <si>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</si>
  <si>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</si>
  <si>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</si>
  <si>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</si>
  <si>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</si>
  <si>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</si>
  <si>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</si>
  <si>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</si>
  <si>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</si>
  <si>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</si>
  <si>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</si>
  <si>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</si>
  <si>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</si>
  <si>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</si>
  <si>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</si>
  <si>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</si>
  <si>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</si>
  <si>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</si>
  <si>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</si>
  <si>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</si>
  <si>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</si>
  <si>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</si>
  <si>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</si>
  <si>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</si>
  <si>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</si>
  <si>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</si>
  <si>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</si>
  <si>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</si>
  <si>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</si>
  <si>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</si>
  <si>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</si>
  <si>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</si>
  <si>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</si>
  <si>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</si>
  <si>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</si>
  <si>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</si>
  <si>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</si>
  <si>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</si>
  <si>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</si>
  <si>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</si>
  <si>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</si>
  <si>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</si>
  <si>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</si>
  <si>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</si>
  <si>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</si>
  <si>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</si>
  <si>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</si>
  <si>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</si>
  <si>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</si>
  <si>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</si>
  <si>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</si>
  <si>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</si>
  <si>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</si>
  <si>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</si>
  <si>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</si>
  <si>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</si>
  <si>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</si>
  <si>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</si>
  <si>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</si>
  <si>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</si>
  <si>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</si>
  <si>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</si>
  <si>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</si>
  <si>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</si>
  <si>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</si>
  <si>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</si>
  <si>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</si>
  <si>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</si>
  <si>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</si>
  <si>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</si>
  <si>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</si>
  <si>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</si>
  <si>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</si>
  <si>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</si>
  <si>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</si>
  <si>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</si>
  <si>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</si>
  <si>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</si>
  <si>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</si>
  <si>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</si>
  <si>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</si>
  <si>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</si>
  <si>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</si>
  <si>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</si>
  <si>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</si>
  <si>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</si>
  <si>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</si>
  <si>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</si>
  <si>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</si>
  <si>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</si>
  <si>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</si>
  <si>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</si>
  <si>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</si>
  <si>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</si>
  <si>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</si>
  <si>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</si>
  <si>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</si>
  <si>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</si>
  <si>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</si>
  <si>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</si>
  <si>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</si>
  <si>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</si>
  <si>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</si>
  <si>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</si>
  <si>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</si>
  <si>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</si>
  <si>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</si>
  <si>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</si>
  <si>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</si>
  <si>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</si>
  <si>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</si>
  <si>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</si>
  <si>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</si>
  <si>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</si>
  <si>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</si>
  <si>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</si>
  <si>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</si>
  <si>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</si>
  <si>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</si>
  <si>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</si>
  <si>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</si>
  <si>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</si>
  <si>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</si>
  <si>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</si>
  <si>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</si>
  <si>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</si>
  <si>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</si>
  <si>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</si>
  <si>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</si>
  <si>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</si>
  <si>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</si>
  <si>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</si>
  <si>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</si>
  <si>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</si>
  <si>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</si>
  <si>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</si>
  <si>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</si>
  <si>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</si>
  <si>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</si>
  <si>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</si>
  <si>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</si>
  <si>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</si>
  <si>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</si>
  <si>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</si>
  <si>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</si>
  <si>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</si>
  <si>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</si>
  <si>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</si>
  <si>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</si>
  <si>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</si>
  <si>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</si>
  <si>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</si>
  <si>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</si>
  <si>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</si>
  <si>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</si>
  <si>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</si>
  <si>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</si>
  <si>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</si>
  <si>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</si>
  <si>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</si>
  <si>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</si>
  <si>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</si>
  <si>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</si>
  <si>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</si>
  <si>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</si>
  <si>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</si>
  <si>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</si>
  <si>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</si>
  <si>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</si>
  <si>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</si>
  <si>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</si>
  <si>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</si>
  <si>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</si>
  <si>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</si>
  <si>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</si>
  <si>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</si>
  <si>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</si>
  <si>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</si>
  <si>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</si>
  <si>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</si>
  <si>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</si>
  <si>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</si>
  <si>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</si>
  <si>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</si>
  <si>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</si>
  <si>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</si>
  <si>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</si>
  <si>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</si>
  <si>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</si>
  <si>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</si>
  <si>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</si>
  <si>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</si>
  <si>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</si>
  <si>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</si>
  <si>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</si>
  <si>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</si>
  <si>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</si>
  <si>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</si>
  <si>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</si>
  <si>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</si>
  <si>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</si>
  <si>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</si>
  <si>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</si>
  <si>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</si>
  <si>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</si>
  <si>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</si>
  <si>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</si>
  <si>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</si>
  <si>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</si>
  <si>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</si>
  <si>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</si>
  <si>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</si>
  <si>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</si>
  <si>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</si>
  <si>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</si>
  <si>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</si>
  <si>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</si>
  <si>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</si>
  <si>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</si>
  <si>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</si>
  <si>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</si>
  <si>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</si>
  <si>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</si>
  <si>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</si>
  <si>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</si>
  <si>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</si>
  <si>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</si>
  <si>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</si>
  <si>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</si>
  <si>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</si>
  <si>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</si>
  <si>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</si>
  <si>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</si>
  <si>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</si>
  <si>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</si>
  <si>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</si>
  <si>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</si>
  <si>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</si>
  <si>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</si>
  <si>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</si>
  <si>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</si>
  <si>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</si>
  <si>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</si>
  <si>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</si>
  <si>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</si>
  <si>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</si>
  <si>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</si>
  <si>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</si>
  <si>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</si>
  <si>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</si>
  <si>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</si>
  <si>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</si>
  <si>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</si>
  <si>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</si>
  <si>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</si>
  <si>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</si>
  <si>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</si>
  <si>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</si>
  <si>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</si>
  <si>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</si>
  <si>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</si>
  <si>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</si>
  <si>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</si>
  <si>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</si>
  <si>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</si>
  <si>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</si>
  <si>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</si>
  <si>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</si>
  <si>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</si>
  <si>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</si>
  <si>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</si>
  <si>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</si>
  <si>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</si>
  <si>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</si>
  <si>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</si>
  <si>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</si>
  <si>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</si>
  <si>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</si>
  <si>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</si>
  <si>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</si>
  <si>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</si>
  <si>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</si>
  <si>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</si>
  <si>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</si>
  <si>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</si>
  <si>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</si>
  <si>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</si>
  <si>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</si>
  <si>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</si>
  <si>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</si>
  <si>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</si>
  <si>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</si>
  <si>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</si>
  <si>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</si>
  <si>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</si>
  <si>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</si>
  <si>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</si>
  <si>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</si>
  <si>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</si>
  <si>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</si>
  <si>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</si>
  <si>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</si>
  <si>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</si>
  <si>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</si>
  <si>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</si>
  <si>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</si>
  <si>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</si>
  <si>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</si>
  <si>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</si>
  <si>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</si>
  <si>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</si>
  <si>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</si>
  <si>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</si>
  <si>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</si>
  <si>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</si>
  <si>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</si>
  <si>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</si>
  <si>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</si>
  <si>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</si>
  <si>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</si>
  <si>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</si>
  <si>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</si>
  <si>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</si>
  <si>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</si>
  <si>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</si>
  <si>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</si>
  <si>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</si>
  <si>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</si>
  <si>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</si>
  <si>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</si>
  <si>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</si>
  <si>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</si>
  <si>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</si>
  <si>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</si>
  <si>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</si>
  <si>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</si>
  <si>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</si>
  <si>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</si>
  <si>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</si>
  <si>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</si>
  <si>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</si>
  <si>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</si>
  <si>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</si>
  <si>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</si>
  <si>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</si>
  <si>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</si>
  <si>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</si>
  <si>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</si>
  <si>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</si>
  <si>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</si>
  <si>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</si>
  <si>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</si>
  <si>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</si>
  <si>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</si>
  <si>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</si>
  <si>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</si>
  <si>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</si>
  <si>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</si>
  <si>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</si>
  <si>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</si>
  <si>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</si>
  <si>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</si>
  <si>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</si>
  <si>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</si>
  <si>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</si>
  <si>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</si>
  <si>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</si>
  <si>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</si>
  <si>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</si>
  <si>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</si>
  <si>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</si>
  <si>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</si>
  <si>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</si>
  <si>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</si>
  <si>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</si>
  <si>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</si>
  <si>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</si>
  <si>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</si>
  <si>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</si>
  <si>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</si>
  <si>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</si>
  <si>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</si>
  <si>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</si>
  <si>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</si>
  <si>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</si>
  <si>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</si>
  <si>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</si>
  <si>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</si>
  <si>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</si>
  <si>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</si>
  <si>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</si>
  <si>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</si>
  <si>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</si>
  <si>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</si>
  <si>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</si>
  <si>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</si>
  <si>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</si>
  <si>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</si>
  <si>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</si>
  <si>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</si>
  <si>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</si>
  <si>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</si>
  <si>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</si>
  <si>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</si>
  <si>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</si>
  <si>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</si>
  <si>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</si>
  <si>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</si>
  <si>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</si>
  <si>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</si>
  <si>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</si>
  <si>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</si>
  <si>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</si>
  <si>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</si>
  <si>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</si>
  <si>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</si>
  <si>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</si>
  <si>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</si>
  <si>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</si>
  <si>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</si>
  <si>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</si>
  <si>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</si>
  <si>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</si>
  <si>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</si>
  <si>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</si>
  <si>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</si>
  <si>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</si>
  <si>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</si>
  <si>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</si>
  <si>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</si>
  <si>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</si>
  <si>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</si>
  <si>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</si>
  <si>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</si>
  <si>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</si>
  <si>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</si>
  <si>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</si>
  <si>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</si>
  <si>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</si>
  <si>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</si>
  <si>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</si>
  <si>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</si>
  <si>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</si>
  <si>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</si>
  <si>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</si>
  <si>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</si>
  <si>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</si>
  <si>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</si>
  <si>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</si>
  <si>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</si>
  <si>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</si>
  <si>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</si>
  <si>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</si>
  <si>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</si>
  <si>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</si>
  <si>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</si>
  <si>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</si>
  <si>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</si>
  <si>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</si>
  <si>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</si>
  <si>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</si>
  <si>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</si>
  <si>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</si>
  <si>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</si>
  <si>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</si>
  <si>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</si>
  <si>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</si>
  <si>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</si>
  <si>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</si>
  <si>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</si>
  <si>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</si>
  <si>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</si>
  <si>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</si>
  <si>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</si>
  <si>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</si>
  <si>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</si>
  <si>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</si>
  <si>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</si>
  <si>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</si>
  <si>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</si>
  <si>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</si>
  <si>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</si>
  <si>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</si>
  <si>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</si>
  <si>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</si>
  <si>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</si>
  <si>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</si>
  <si>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</si>
  <si>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</si>
  <si>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</si>
  <si>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</si>
  <si>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</si>
  <si>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</si>
  <si>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</si>
  <si>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</si>
  <si>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</si>
  <si>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</si>
  <si>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</si>
  <si>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</si>
  <si>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</si>
  <si>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</si>
  <si>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</si>
  <si>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</si>
  <si>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</si>
  <si>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</si>
  <si>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</si>
  <si>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</si>
  <si>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</si>
  <si>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</si>
  <si>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</si>
  <si>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</si>
  <si>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</si>
  <si>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</si>
  <si>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</si>
  <si>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</si>
  <si>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</si>
  <si>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</si>
  <si>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</si>
  <si>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</si>
  <si>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</si>
  <si>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</si>
  <si>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</si>
  <si>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</si>
  <si>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</si>
  <si>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</si>
  <si>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</si>
  <si>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</si>
  <si>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</si>
  <si>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</si>
  <si>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</si>
  <si>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</si>
  <si>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</si>
  <si>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</si>
  <si>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</si>
  <si>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</si>
  <si>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</si>
  <si>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</si>
  <si>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</si>
  <si>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</si>
  <si>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</si>
  <si>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</si>
  <si>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</si>
  <si>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</si>
  <si>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</si>
  <si>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</si>
  <si>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</si>
  <si>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</si>
  <si>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</si>
  <si>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</si>
  <si>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</si>
  <si>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</si>
  <si>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</si>
  <si>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</si>
  <si>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</si>
  <si>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</si>
  <si>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</si>
  <si>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</si>
  <si>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</si>
  <si>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</si>
  <si>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</si>
  <si>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</si>
  <si>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</si>
  <si>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</si>
  <si>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</si>
  <si>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</si>
  <si>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</si>
  <si>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</si>
  <si>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</si>
  <si>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</si>
  <si>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</si>
  <si>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</si>
  <si>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</si>
  <si>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</si>
  <si>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</si>
  <si>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</si>
  <si>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</si>
  <si>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</si>
  <si>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</si>
  <si>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</si>
  <si>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</si>
  <si>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</si>
  <si>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</si>
  <si>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</si>
  <si>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</si>
  <si>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</si>
  <si>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</si>
  <si>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</si>
  <si>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</si>
  <si>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</si>
  <si>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</si>
  <si>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</si>
  <si>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</si>
  <si>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</si>
  <si>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</si>
  <si>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</si>
  <si>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</si>
  <si>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</si>
  <si>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</si>
  <si>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</si>
  <si>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</si>
  <si>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</si>
  <si>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</si>
  <si>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</si>
  <si>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</si>
  <si>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</si>
  <si>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</si>
  <si>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</si>
  <si>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</si>
  <si>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</si>
  <si>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</si>
  <si>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</si>
  <si>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</si>
  <si>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</si>
  <si>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</si>
  <si>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</si>
  <si>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</si>
  <si>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</si>
  <si>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</si>
  <si>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</si>
  <si>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</si>
  <si>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</si>
  <si>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</si>
  <si>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</si>
  <si>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</si>
  <si>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</si>
  <si>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</si>
  <si>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</si>
  <si>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</si>
  <si>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</si>
  <si>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</si>
  <si>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</si>
  <si>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</si>
  <si>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</si>
  <si>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</si>
  <si>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</si>
  <si>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</si>
  <si>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</si>
  <si>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</si>
  <si>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</si>
  <si>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</si>
  <si>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</si>
  <si>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</si>
  <si>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</si>
  <si>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</si>
  <si>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</si>
  <si>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</si>
  <si>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</si>
  <si>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</si>
  <si>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</si>
  <si>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</si>
  <si>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</si>
  <si>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</si>
  <si>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</si>
  <si>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</si>
  <si>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</si>
  <si>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</si>
  <si>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</si>
  <si>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</si>
  <si>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</si>
  <si>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</si>
  <si>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</si>
  <si>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</si>
  <si>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</si>
  <si>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</si>
  <si>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</si>
  <si>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</si>
  <si>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</si>
  <si>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</si>
  <si>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</si>
  <si>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</si>
  <si>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</si>
  <si>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</si>
  <si>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</si>
  <si>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</si>
  <si>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</si>
  <si>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</si>
  <si>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</si>
  <si>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</si>
  <si>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</si>
  <si>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</si>
  <si>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</si>
  <si>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</si>
  <si>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</si>
  <si>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</si>
  <si>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</si>
  <si>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</si>
  <si>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</si>
  <si>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</si>
  <si>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</si>
  <si>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</si>
  <si>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</si>
  <si>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</si>
  <si>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</si>
  <si>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</si>
  <si>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</si>
  <si>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</si>
  <si>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</si>
  <si>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</si>
  <si>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</si>
  <si>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</si>
  <si>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</si>
  <si>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</si>
  <si>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</si>
  <si>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</si>
  <si>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</si>
  <si>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</si>
  <si>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</si>
  <si>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</si>
  <si>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</si>
  <si>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</si>
  <si>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</si>
  <si>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</si>
  <si>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</si>
  <si>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</si>
  <si>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</si>
  <si>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</si>
  <si>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</si>
  <si>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</si>
  <si>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</si>
  <si>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</si>
  <si>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</si>
  <si>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</si>
  <si>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</si>
  <si>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</si>
  <si>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</si>
  <si>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</si>
  <si>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</si>
  <si>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</si>
  <si>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</si>
  <si>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</si>
  <si>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</si>
  <si>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</si>
  <si>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</si>
  <si>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</si>
  <si>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</si>
  <si>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</si>
  <si>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</si>
  <si>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</si>
  <si>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</si>
  <si>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</si>
  <si>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</si>
  <si>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</si>
  <si>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</si>
  <si>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</si>
  <si>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</si>
  <si>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</si>
  <si>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</si>
  <si>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</si>
  <si>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</si>
  <si>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</si>
  <si>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</si>
  <si>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</si>
  <si>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</si>
  <si>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</si>
  <si>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</si>
  <si>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</si>
  <si>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</si>
  <si>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</si>
  <si>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</si>
  <si>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</si>
  <si>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</si>
  <si>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</si>
  <si>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</si>
  <si>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</si>
  <si>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</si>
  <si>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</si>
  <si>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</si>
  <si>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</si>
  <si>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</si>
  <si>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</si>
  <si>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</si>
  <si>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</si>
  <si>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</si>
  <si>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</si>
  <si>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</si>
  <si>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</si>
  <si>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</si>
  <si>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</si>
  <si>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</si>
  <si>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</si>
  <si>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</si>
  <si>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</si>
  <si>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</si>
  <si>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</si>
  <si>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</si>
  <si>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</si>
  <si>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</si>
  <si>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</si>
  <si>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</si>
  <si>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</si>
  <si>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</si>
  <si>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</si>
  <si>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</si>
  <si>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</si>
  <si>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</si>
  <si>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</si>
  <si>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</si>
  <si>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</si>
  <si>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</si>
  <si>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</si>
  <si>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</si>
  <si>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</si>
  <si>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</si>
  <si>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</si>
  <si>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</si>
  <si>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</si>
  <si>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</si>
  <si>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</si>
  <si>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</si>
  <si>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</si>
  <si>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</si>
  <si>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</si>
  <si>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</si>
  <si>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</si>
  <si>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</si>
  <si>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</si>
  <si>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</si>
  <si>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</si>
  <si>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</si>
  <si>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</si>
  <si>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</si>
  <si>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</si>
  <si>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</si>
  <si>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</si>
  <si>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</si>
  <si>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</si>
  <si>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</si>
  <si>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</si>
  <si>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</si>
  <si>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</si>
  <si>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</si>
  <si>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</si>
  <si>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</si>
  <si>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</si>
  <si>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</si>
  <si>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</si>
  <si>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</si>
  <si>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</si>
  <si>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</si>
  <si>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</si>
  <si>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</si>
  <si>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</si>
  <si>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</si>
  <si>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</si>
  <si>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</si>
  <si>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</si>
  <si>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</si>
  <si>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</si>
  <si>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</si>
  <si>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</si>
  <si>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</si>
  <si>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</si>
  <si>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</si>
  <si>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</si>
  <si>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</si>
  <si>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</si>
  <si>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</si>
  <si>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</si>
  <si>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</si>
  <si>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</si>
  <si>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</si>
  <si>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</si>
  <si>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</si>
  <si>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</si>
  <si>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</si>
  <si>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</si>
  <si>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</si>
  <si>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</si>
  <si>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</si>
  <si>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</si>
  <si>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</si>
  <si>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</si>
  <si>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</si>
  <si>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</si>
  <si>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</si>
  <si>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</si>
  <si>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</si>
  <si>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</si>
  <si>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</si>
  <si>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</si>
  <si>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</si>
  <si>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</si>
  <si>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</si>
  <si>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</si>
  <si>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</si>
  <si>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</si>
  <si>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</si>
  <si>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</si>
  <si>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</si>
  <si>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</si>
  <si>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</si>
  <si>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</si>
  <si>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</si>
  <si>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</si>
  <si>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</si>
  <si>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</si>
  <si>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</si>
  <si>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</si>
  <si>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</si>
  <si>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</si>
  <si>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</si>
  <si>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</si>
  <si>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</si>
  <si>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</si>
  <si>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</si>
  <si>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</si>
  <si>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</si>
  <si>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</si>
  <si>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</si>
  <si>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</si>
  <si>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</si>
  <si>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</si>
  <si>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</si>
  <si>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</si>
  <si>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</si>
  <si>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</si>
  <si>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</si>
  <si>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</si>
  <si>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</si>
  <si>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</si>
  <si>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</si>
  <si>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</si>
  <si>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</si>
  <si>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</si>
  <si>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</si>
  <si>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</si>
  <si>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</si>
  <si>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</si>
  <si>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</si>
  <si>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</si>
  <si>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</si>
  <si>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</si>
  <si>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</si>
  <si>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</si>
  <si>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</si>
  <si>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</si>
  <si>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</si>
  <si>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</si>
  <si>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</si>
  <si>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</si>
  <si>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</si>
  <si>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</si>
  <si>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</si>
  <si>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</si>
  <si>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</si>
  <si>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</si>
  <si>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</si>
  <si>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</si>
  <si>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</si>
  <si>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</si>
  <si>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</si>
  <si>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</si>
  <si>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</si>
  <si>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</si>
  <si>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</si>
  <si>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</si>
  <si>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</si>
  <si>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</si>
  <si>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</si>
  <si>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</si>
  <si>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</si>
  <si>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</si>
  <si>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</si>
  <si>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</si>
  <si>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</si>
  <si>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</si>
  <si>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</si>
  <si>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</si>
  <si>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</si>
  <si>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</si>
  <si>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</si>
  <si>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</si>
  <si>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</si>
  <si>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</si>
  <si>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</si>
  <si>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</si>
  <si>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</si>
  <si>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</si>
  <si>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</si>
  <si>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</si>
  <si>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</si>
  <si>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</si>
  <si>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</si>
  <si>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</si>
  <si>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</si>
  <si>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</si>
  <si>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</si>
  <si>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</si>
  <si>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</si>
  <si>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</si>
  <si>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</si>
  <si>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</si>
  <si>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</si>
  <si>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</si>
  <si>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</si>
  <si>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</si>
  <si>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</si>
  <si>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</si>
  <si>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</si>
  <si>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</si>
  <si>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</si>
  <si>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</si>
  <si>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</si>
  <si>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</si>
  <si>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</si>
  <si>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</si>
  <si>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</si>
  <si>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</si>
  <si>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</si>
  <si>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</si>
  <si>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</si>
  <si>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</si>
  <si>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</si>
  <si>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</si>
  <si>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</si>
  <si>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</si>
  <si>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</si>
  <si>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</si>
  <si>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</si>
  <si>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</si>
  <si>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</si>
  <si>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</si>
  <si>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</si>
  <si>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</si>
  <si>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</si>
  <si>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</si>
  <si>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</si>
  <si>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</si>
  <si>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</si>
  <si>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</si>
  <si>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</si>
  <si>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</si>
  <si>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</si>
  <si>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</si>
  <si>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</si>
  <si>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</si>
  <si>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</si>
  <si>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</si>
  <si>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</si>
  <si>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</si>
  <si>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</si>
  <si>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</si>
  <si>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</si>
  <si>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</si>
  <si>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</si>
  <si>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</si>
  <si>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</si>
  <si>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</si>
  <si>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</si>
  <si>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</si>
  <si>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</si>
  <si>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</si>
  <si>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</si>
  <si>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</si>
  <si>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</si>
  <si>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</si>
  <si>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</si>
  <si>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</si>
  <si>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</si>
  <si>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</si>
  <si>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</si>
  <si>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</si>
  <si>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</si>
  <si>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</si>
  <si>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</si>
  <si>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</si>
  <si>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</si>
  <si>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</si>
  <si>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</si>
  <si>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</si>
  <si>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</si>
  <si>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</si>
  <si>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</si>
  <si>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</si>
  <si>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</si>
  <si>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</si>
  <si>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</si>
  <si>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</si>
  <si>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</si>
  <si>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</si>
  <si>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</si>
  <si>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</si>
  <si>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</si>
  <si>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</si>
  <si>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</si>
  <si>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</si>
  <si>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</si>
  <si>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</si>
  <si>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</si>
  <si>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</si>
  <si>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</si>
  <si>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</si>
  <si>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</si>
  <si>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</si>
  <si>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</si>
  <si>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</si>
  <si>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</si>
  <si>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</si>
  <si>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</si>
  <si>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</si>
  <si>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</si>
  <si>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</si>
  <si>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</si>
  <si>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</si>
  <si>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</si>
  <si>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</si>
  <si>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</si>
  <si>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</si>
  <si>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</si>
  <si>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</si>
  <si>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</si>
  <si>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</si>
  <si>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</si>
  <si>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</si>
  <si>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</si>
  <si>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</si>
  <si>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</si>
  <si>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</si>
  <si>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</si>
  <si>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</si>
  <si>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</si>
  <si>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</si>
  <si>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</si>
  <si>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</si>
  <si>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</si>
  <si>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</si>
  <si>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</si>
  <si>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</si>
  <si>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</si>
  <si>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</si>
  <si>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</si>
  <si>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</si>
  <si>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</si>
  <si>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</si>
  <si>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</si>
  <si>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</si>
  <si>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</si>
  <si>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</si>
  <si>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</si>
  <si>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</si>
  <si>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</si>
  <si>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</si>
  <si>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</si>
  <si>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</si>
  <si>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</si>
  <si>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</si>
  <si>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</si>
  <si>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</si>
  <si>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</si>
  <si>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</si>
  <si>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</si>
  <si>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</si>
  <si>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</si>
  <si>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</si>
  <si>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</si>
  <si>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</si>
  <si>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</si>
  <si>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</si>
  <si>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</si>
  <si>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</si>
  <si>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</si>
  <si>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</si>
  <si>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</si>
  <si>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</si>
  <si>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</si>
  <si>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</si>
  <si>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</si>
  <si>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</si>
  <si>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</si>
  <si>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</si>
  <si>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</si>
  <si>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</si>
  <si>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</si>
  <si>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</si>
  <si>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</si>
  <si>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</si>
  <si>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</si>
  <si>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</si>
  <si>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</si>
  <si>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</si>
  <si>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</si>
  <si>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</si>
  <si>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</si>
  <si>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</si>
  <si>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</si>
  <si>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</si>
  <si>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</si>
  <si>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</si>
  <si>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</si>
  <si>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</si>
  <si>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</si>
  <si>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</si>
  <si>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</si>
  <si>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</si>
  <si>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</si>
  <si>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</si>
  <si>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</si>
  <si>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</si>
  <si>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</si>
  <si>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</si>
  <si>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</si>
  <si>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</si>
  <si>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</si>
  <si>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</si>
  <si>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</si>
  <si>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</si>
  <si>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</si>
  <si>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</si>
  <si>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</si>
  <si>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</si>
  <si>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</si>
  <si>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</si>
  <si>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</si>
  <si>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</si>
  <si>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</si>
  <si>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</si>
  <si>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</si>
  <si>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</si>
  <si>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</si>
  <si>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</si>
  <si>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</si>
  <si>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</si>
  <si>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</si>
  <si>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</si>
  <si>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</si>
  <si>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</si>
  <si>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</si>
  <si>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</si>
  <si>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</si>
  <si>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</si>
  <si>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</si>
  <si>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</si>
  <si>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</si>
  <si>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</si>
  <si>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</si>
  <si>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</si>
  <si>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</si>
  <si>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</si>
  <si>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</si>
  <si>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</si>
  <si>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</si>
  <si>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</si>
  <si>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</si>
  <si>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</si>
  <si>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</si>
  <si>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</si>
  <si>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</si>
  <si>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</si>
  <si>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</si>
  <si>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</si>
  <si>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</si>
  <si>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</si>
  <si>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</si>
  <si>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</si>
  <si>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</si>
  <si>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</si>
  <si>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</si>
  <si>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</si>
  <si>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</si>
  <si>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</si>
  <si>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</si>
  <si>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</si>
  <si>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</si>
  <si>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</si>
  <si>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</si>
  <si>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</si>
  <si>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</si>
  <si>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</si>
  <si>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</si>
  <si>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</si>
  <si>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</si>
  <si>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</si>
  <si>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</si>
  <si>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</si>
  <si>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</si>
  <si>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</si>
  <si>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</si>
  <si>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</si>
  <si>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</si>
  <si>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</si>
  <si>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</si>
  <si>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</si>
  <si>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</si>
  <si>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</si>
  <si>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</si>
  <si>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</si>
  <si>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</si>
  <si>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</si>
  <si>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</si>
  <si>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</si>
  <si>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</si>
  <si>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</si>
  <si>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</si>
  <si>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</si>
  <si>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</si>
  <si>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</si>
  <si>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</si>
  <si>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</si>
  <si>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</si>
  <si>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</si>
  <si>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</si>
  <si>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</si>
  <si>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</si>
  <si>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</si>
  <si>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</si>
  <si>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</si>
  <si>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</si>
  <si>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</si>
  <si>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</si>
  <si>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</si>
  <si>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</si>
  <si>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</si>
  <si>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</si>
  <si>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</si>
  <si>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</si>
  <si>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</si>
  <si>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</si>
  <si>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</si>
  <si>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</si>
  <si>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</si>
  <si>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</si>
  <si>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</si>
  <si>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</si>
  <si>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</si>
  <si>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</si>
  <si>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</si>
  <si>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</si>
  <si>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</si>
  <si>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</si>
  <si>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</si>
  <si>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</si>
  <si>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</si>
  <si>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</si>
  <si>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</si>
  <si>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</si>
  <si>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</si>
  <si>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</si>
  <si>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</si>
  <si>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</si>
  <si>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</si>
  <si>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</si>
  <si>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Diamantová, Dr. Strusky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</si>
  <si>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</si>
  <si>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</si>
  <si>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</si>
  <si>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</si>
  <si>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</si>
  <si>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</si>
  <si>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</si>
  <si>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</si>
  <si>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</si>
  <si>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</si>
  <si>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</si>
  <si>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</si>
  <si>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</si>
  <si>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</si>
  <si>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</si>
  <si>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</si>
  <si>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</si>
  <si>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</si>
  <si>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</si>
  <si>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</si>
  <si>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</si>
  <si>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</si>
  <si>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</si>
  <si>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</si>
  <si>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</si>
  <si>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</si>
  <si>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</si>
  <si>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</si>
  <si>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</si>
  <si>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</si>
  <si>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</si>
  <si>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</si>
  <si>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</si>
  <si>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</si>
  <si>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</si>
  <si>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</si>
  <si>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</si>
  <si>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</si>
  <si>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</si>
  <si>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</si>
  <si>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</si>
  <si>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</si>
  <si>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</si>
  <si>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</si>
  <si>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</si>
  <si>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</si>
  <si>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</si>
  <si>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</si>
  <si>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</si>
  <si>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</si>
  <si>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</si>
  <si>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</si>
  <si>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</si>
  <si>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</si>
  <si>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</si>
  <si>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</si>
  <si>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</si>
  <si>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</si>
  <si>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</si>
  <si>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</si>
  <si>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</si>
  <si>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</si>
  <si>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</si>
  <si>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</si>
  <si>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</si>
  <si>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</si>
  <si>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</si>
  <si>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</si>
  <si>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</si>
  <si>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</si>
  <si>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</si>
  <si>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</si>
  <si>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</si>
  <si>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</si>
  <si>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</si>
  <si>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</si>
  <si>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</si>
  <si>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</si>
  <si>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</si>
  <si>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</si>
  <si>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</si>
  <si>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</si>
  <si>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</si>
  <si>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</si>
  <si>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</si>
  <si>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</si>
  <si>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</si>
  <si>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</si>
  <si>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</si>
  <si>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</si>
  <si>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</si>
  <si>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</si>
  <si>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</si>
  <si>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</si>
  <si>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</si>
  <si>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</si>
  <si>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</si>
  <si>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</si>
  <si>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</si>
  <si>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</si>
  <si>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</si>
  <si>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</si>
  <si>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</si>
  <si>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</si>
  <si>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</si>
  <si>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</si>
  <si>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</si>
  <si>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</si>
  <si>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</si>
  <si>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</si>
  <si>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</si>
  <si>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</si>
  <si>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</si>
  <si>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</si>
  <si>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</si>
  <si>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</si>
  <si>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</si>
  <si>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</si>
  <si>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</si>
  <si>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</si>
  <si>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</si>
  <si>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</si>
  <si>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</si>
  <si>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</si>
  <si>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</si>
  <si>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</si>
  <si>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</si>
  <si>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</si>
  <si>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</si>
  <si>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</si>
  <si>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</si>
  <si>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</si>
  <si>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</si>
  <si>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</si>
  <si>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</si>
  <si>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</si>
  <si>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</si>
  <si>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</si>
  <si>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</si>
  <si>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</si>
  <si>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</si>
  <si>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</si>
  <si>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</si>
  <si>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</si>
  <si>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</si>
  <si>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</si>
  <si>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</si>
  <si>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</si>
  <si>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</si>
  <si>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</si>
  <si>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</si>
  <si>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</si>
  <si>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</si>
  <si>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</si>
  <si>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</si>
  <si>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</si>
  <si>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</si>
  <si>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</si>
  <si>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</si>
  <si>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</si>
  <si>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</si>
  <si>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</si>
  <si>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</si>
  <si>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</si>
  <si>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</si>
  <si>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</si>
  <si>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</si>
  <si>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</si>
  <si>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</si>
  <si>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</si>
  <si>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</si>
  <si>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</si>
  <si>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</si>
  <si>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</si>
  <si>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</si>
  <si>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</si>
  <si>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</si>
  <si>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</si>
  <si>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</si>
  <si>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</si>
  <si>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</si>
  <si>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</si>
  <si>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</si>
  <si>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</si>
  <si>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</si>
  <si>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</si>
  <si>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</si>
  <si>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</si>
  <si>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</si>
  <si>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</si>
  <si>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</si>
  <si>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</si>
  <si>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</si>
  <si>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</si>
  <si>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</si>
  <si>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</si>
  <si>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</si>
  <si>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</si>
  <si>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</si>
  <si>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</si>
  <si>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</si>
  <si>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</si>
  <si>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</si>
  <si>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</si>
  <si>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</si>
  <si>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</si>
  <si>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</si>
  <si>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</si>
  <si>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</si>
  <si>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</si>
  <si>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</si>
  <si>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</si>
  <si>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</si>
  <si>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</si>
  <si>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</si>
  <si>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</si>
  <si>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</si>
  <si>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</si>
  <si>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</si>
  <si>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</si>
  <si>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</si>
  <si>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</si>
  <si>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</si>
  <si>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</si>
  <si>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</si>
  <si>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</si>
  <si>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</si>
  <si>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</si>
  <si>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</si>
  <si>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</si>
  <si>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</si>
  <si>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</si>
  <si>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</si>
  <si>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</si>
  <si>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</si>
  <si>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</si>
  <si>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</si>
  <si>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</si>
  <si>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</si>
  <si>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</si>
  <si>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</si>
  <si>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</si>
  <si>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</si>
  <si>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</si>
  <si>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</si>
  <si>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</si>
  <si>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</si>
  <si>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</si>
  <si>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</si>
  <si>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</si>
  <si>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</si>
  <si>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</si>
  <si>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</si>
  <si>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</si>
  <si>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</si>
  <si>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</si>
  <si>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</si>
  <si>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</si>
  <si>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</si>
  <si>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</si>
  <si>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</si>
  <si>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</si>
  <si>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</si>
  <si>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</si>
  <si>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</si>
  <si>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</si>
  <si>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</si>
  <si>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</si>
  <si>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</si>
  <si>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</si>
  <si>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</si>
  <si>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</si>
  <si>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</si>
  <si>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</si>
  <si>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</si>
  <si>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</si>
  <si>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</si>
  <si>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</si>
  <si>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</si>
  <si>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</si>
  <si>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</si>
  <si>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</si>
  <si>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</si>
  <si>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</si>
  <si>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</si>
  <si>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</si>
  <si>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</si>
  <si>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</si>
  <si>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</si>
  <si>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</si>
  <si>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</si>
  <si>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</si>
  <si>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</si>
  <si>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</si>
  <si>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</si>
  <si>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</si>
  <si>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</si>
  <si>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</si>
  <si>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</si>
  <si>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</si>
  <si>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</si>
  <si>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</si>
  <si>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</si>
  <si>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</si>
  <si>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</si>
  <si>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</si>
  <si>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</si>
  <si>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</si>
  <si>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</si>
  <si>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</si>
  <si>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</si>
  <si>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</si>
  <si>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</si>
  <si>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</si>
  <si>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</si>
  <si>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</si>
  <si>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</si>
  <si>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</si>
  <si>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</si>
  <si>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</si>
  <si>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</si>
  <si>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</si>
  <si>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</si>
  <si>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</si>
  <si>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</si>
  <si>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</si>
  <si>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</si>
  <si>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</si>
  <si>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</si>
  <si>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</si>
  <si>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</si>
  <si>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</si>
  <si>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</si>
  <si>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</si>
  <si>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</si>
  <si>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</si>
  <si>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</si>
  <si>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</si>
  <si>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</si>
  <si>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</si>
  <si>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</si>
  <si>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</si>
  <si>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</si>
  <si>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</si>
  <si>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</si>
  <si>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</si>
  <si>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</si>
  <si>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</si>
  <si>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</si>
  <si>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</si>
  <si>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</si>
  <si>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</si>
  <si>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</si>
  <si>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</si>
  <si>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</si>
  <si>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</si>
  <si>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</si>
  <si>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</si>
  <si>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</si>
  <si>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</si>
  <si>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</si>
  <si>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</si>
  <si>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</si>
  <si>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</si>
  <si>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</si>
  <si>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</si>
  <si>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</si>
  <si>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</si>
  <si>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</si>
  <si>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</si>
  <si>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</si>
  <si>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</si>
  <si>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</si>
  <si>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</si>
  <si>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</si>
  <si>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</si>
  <si>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</si>
  <si>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</si>
  <si>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</si>
  <si>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</si>
  <si>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</si>
  <si>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</si>
  <si>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</si>
  <si>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</si>
  <si>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</si>
  <si>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</si>
  <si>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</si>
  <si>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</si>
  <si>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</si>
  <si>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</si>
  <si>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</si>
  <si>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</si>
  <si>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</si>
  <si>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</si>
  <si>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</si>
  <si>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</si>
  <si>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</si>
  <si>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</si>
  <si>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</si>
  <si>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</si>
  <si>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</si>
  <si>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</si>
  <si>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</si>
  <si>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</si>
  <si>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</si>
  <si>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</si>
  <si>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</si>
  <si>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</si>
  <si>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</si>
  <si>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</si>
  <si>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</si>
  <si>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</si>
  <si>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</si>
  <si>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</si>
  <si>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</si>
  <si>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</si>
  <si>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</si>
  <si>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</si>
  <si>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</si>
  <si>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</si>
  <si>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</si>
  <si>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</si>
  <si>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</si>
  <si>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</si>
  <si>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</si>
  <si>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</si>
  <si>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</si>
  <si>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</si>
  <si>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</si>
  <si>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</si>
  <si>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</si>
  <si>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</si>
  <si>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</si>
  <si>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</si>
  <si>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</si>
  <si>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</si>
  <si>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</si>
  <si>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</si>
  <si>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</si>
  <si>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</si>
  <si>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</si>
  <si>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</si>
  <si>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</si>
  <si>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</si>
  <si>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</si>
  <si>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</si>
  <si>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</si>
  <si>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</si>
  <si>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</si>
  <si>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</si>
  <si>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</si>
  <si>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</si>
  <si>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</si>
  <si>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</si>
  <si>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</si>
  <si>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</si>
  <si>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</si>
  <si>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</si>
  <si>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</si>
  <si>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</si>
  <si>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</si>
  <si>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</si>
  <si>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</si>
  <si>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</si>
  <si>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</si>
  <si>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</si>
  <si>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</si>
  <si>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</si>
  <si>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</si>
  <si>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</si>
  <si>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</si>
  <si>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</si>
  <si>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</si>
  <si>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</si>
  <si>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</si>
  <si>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</si>
  <si>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</si>
  <si>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</si>
  <si>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</si>
  <si>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</si>
  <si>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</si>
  <si>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</si>
  <si>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</si>
  <si>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</si>
  <si>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</si>
  <si>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</si>
  <si>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</si>
  <si>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</si>
  <si>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</si>
  <si>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</si>
  <si>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</si>
  <si>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</si>
  <si>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</si>
  <si>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</si>
  <si>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</si>
  <si>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</si>
  <si>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Treneří do škol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</si>
  <si>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</si>
  <si>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</si>
  <si>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</si>
  <si>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</si>
  <si>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</si>
  <si>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</si>
  <si>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</si>
  <si>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</si>
  <si>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</si>
  <si>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</si>
  <si>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</si>
  <si>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</si>
  <si>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</si>
  <si>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</si>
  <si>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</si>
  <si>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</si>
  <si>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</si>
  <si>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</si>
  <si>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</si>
  <si>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</si>
  <si>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</si>
  <si>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</si>
  <si>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</si>
  <si>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</si>
  <si>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</si>
  <si>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</si>
  <si>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</si>
  <si>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</si>
  <si>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</si>
  <si>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</si>
  <si>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</si>
  <si>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</si>
  <si>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</si>
  <si>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</si>
  <si>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</si>
  <si>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</si>
  <si>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</si>
  <si>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</si>
  <si>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</si>
  <si>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</si>
  <si>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</si>
  <si>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</si>
  <si>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</si>
  <si>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</si>
  <si>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</si>
  <si>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</si>
  <si>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</si>
  <si>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</si>
  <si>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</si>
  <si>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</si>
  <si>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</si>
  <si>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</si>
  <si>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</si>
  <si>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</si>
  <si>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</si>
  <si>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</si>
  <si>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</si>
  <si>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</si>
  <si>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</si>
  <si>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</si>
  <si>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</si>
  <si>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</si>
  <si>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</si>
  <si>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</si>
  <si>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</si>
  <si>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</si>
  <si>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</si>
  <si>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</si>
  <si>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</si>
  <si>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</si>
  <si>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</si>
  <si>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</si>
  <si>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</si>
  <si>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</si>
  <si>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</si>
  <si>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</si>
  <si>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</si>
  <si>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</si>
  <si>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</si>
  <si>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</si>
  <si>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</si>
  <si>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</si>
  <si>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</si>
  <si>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</si>
  <si>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</si>
  <si>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RO č.3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</si>
  <si>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</si>
  <si>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</si>
  <si>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</si>
  <si>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</si>
  <si>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</si>
  <si>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</si>
  <si>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</si>
  <si>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</si>
  <si>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</si>
  <si>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</si>
  <si>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</si>
  <si>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</si>
  <si>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</si>
  <si>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</si>
  <si>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</si>
  <si>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</si>
  <si>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</si>
  <si>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</si>
  <si>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</si>
  <si>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</si>
  <si>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Traktor</t>
  </si>
  <si>
    <t>participativní rozpočet - projekty</t>
  </si>
  <si>
    <t>sanace střešní konstrukce - tesařící, červotoči  budova A</t>
  </si>
  <si>
    <t>sanace střešní konstrukce - tesařící, červotoči budova č.p. 7</t>
  </si>
  <si>
    <t>Asfaltové povrchy ke kostelu - doplacení</t>
  </si>
  <si>
    <t>nákup bytu č.p.85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</si>
  <si>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</si>
  <si>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</si>
  <si>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</si>
  <si>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</si>
  <si>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</si>
  <si>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</si>
  <si>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</si>
  <si>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</si>
  <si>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</si>
  <si>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PD  gastro pro VŘ</t>
  </si>
  <si>
    <t>Stravovací provoz kuchyňka, Berušky, MŠ Kollárová</t>
  </si>
  <si>
    <t>Povodí Labe - obytný soubor Vinice, VB</t>
  </si>
  <si>
    <t xml:space="preserve">TDI na neinvestiční </t>
  </si>
  <si>
    <t xml:space="preserve">AD na neinvestiční </t>
  </si>
  <si>
    <t>Sál DPS</t>
  </si>
  <si>
    <t>Oprava sezení u ZŠ</t>
  </si>
  <si>
    <t>Chodníky DPS</t>
  </si>
  <si>
    <t>Lom</t>
  </si>
  <si>
    <t>Kollárová oprava propadlé komunikace nad kanalizaci, obnova hýdrant a šoupě, kanalová vpusť</t>
  </si>
  <si>
    <t>Oprava schodů - Presslova (Nerudova směrem Komenského)</t>
  </si>
  <si>
    <t>Oplocení terénní psí hřiště</t>
  </si>
  <si>
    <t>ul.Pod Tratí</t>
  </si>
  <si>
    <t>ul.Jirásková</t>
  </si>
  <si>
    <t>ul.Na Spojce</t>
  </si>
  <si>
    <t>ul.Lesní původní</t>
  </si>
  <si>
    <t>ul.Lesní nová</t>
  </si>
  <si>
    <t>ul.Jirenská</t>
  </si>
  <si>
    <t>ul.Ebenová</t>
  </si>
  <si>
    <t>ul.Jírenská obnova VO</t>
  </si>
  <si>
    <t>ul.Komenského var.1</t>
  </si>
  <si>
    <t>v roce 2025</t>
  </si>
  <si>
    <t>Obnova VO ul. Jirenská II/101</t>
  </si>
  <si>
    <t>stavba - I.etapa</t>
  </si>
  <si>
    <t>stavba - II. etapa</t>
  </si>
  <si>
    <t>rekonstrukce III/01214 - úsek č. 1- Pražská chodník</t>
  </si>
  <si>
    <t>rezerva z přebytku 2024</t>
  </si>
  <si>
    <t>Popelnice projekt Door to Door</t>
  </si>
  <si>
    <t>hřiště, parková zahrada, hrad Skara - revize hřišť, WC servis, odzimovaní fontany, psi hřště pod kostelem</t>
  </si>
  <si>
    <t>Finančnídar Purina, Nestlé ,psí hřiště</t>
  </si>
  <si>
    <t>á</t>
  </si>
  <si>
    <t>Ul. K Hájovně</t>
  </si>
  <si>
    <t>RO č.5</t>
  </si>
  <si>
    <t>59.289.048,00</t>
  </si>
  <si>
    <t>46.279,58</t>
  </si>
  <si>
    <t>12.253.954,95</t>
  </si>
  <si>
    <t>53.353,88</t>
  </si>
  <si>
    <t>13.405.948,25</t>
  </si>
  <si>
    <t>56.689,41</t>
  </si>
  <si>
    <t>20.937,38</t>
  </si>
  <si>
    <t>31.08.2025 CELKEM</t>
  </si>
  <si>
    <t>112.948.332,41</t>
  </si>
  <si>
    <t>177.260,25</t>
  </si>
  <si>
    <t>58.862.507,-</t>
  </si>
  <si>
    <t>44.466,78</t>
  </si>
  <si>
    <t>19.811.280,-</t>
  </si>
  <si>
    <t>101.546,98</t>
  </si>
  <si>
    <t>12.202.030,95</t>
  </si>
  <si>
    <t>46.934,86</t>
  </si>
  <si>
    <t>13.349.143,38</t>
  </si>
  <si>
    <t>54.629,24</t>
  </si>
  <si>
    <t>14.440.276,87</t>
  </si>
  <si>
    <t>31.741,20</t>
  </si>
  <si>
    <t>30.09.2025 CELKEM</t>
  </si>
  <si>
    <t>118.665.238,20</t>
  </si>
  <si>
    <t>279.319,06</t>
  </si>
  <si>
    <t>neinvestiční dotace od obcí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</si>
</sst>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55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  <fill>
      <patternFill patternType="solid">
        <fgColor theme="3" tint="0.39997558519241921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28" fillId="25" borderId="76" applyNumberFormat="0" applyAlignment="0" applyProtection="0"/>
    <xf numFmtId="0" fontId="5" fillId="26" borderId="0" applyNumberFormat="0" applyBorder="0" applyAlignment="0" applyProtection="0"/>
    <xf numFmtId="0" fontId="4" fillId="0" borderId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0" fontId="142" fillId="39" borderId="98" applyNumberFormat="0" applyAlignment="0" applyProtection="0"/>
    <xf numFmtId="0" fontId="143" fillId="39" borderId="76" applyNumberFormat="0" applyAlignment="0" applyProtection="0"/>
    <xf numFmtId="0" fontId="144" fillId="0" borderId="0" applyNumberFormat="0" applyFill="0" applyBorder="0" applyAlignment="0" applyProtection="0"/>
    <xf numFmtId="0" fontId="1" fillId="40" borderId="0" applyNumberFormat="0" applyBorder="0" applyAlignment="0" applyProtection="0"/>
  </cellStyleXfs>
  <cellXfs count="3240">
    <xf numFmtId="0" fontId="0" fillId="0" borderId="0" xfId="0"/>
    <xf numFmtId="0" fontId="14" fillId="0" borderId="0" xfId="0" applyFont="1"/>
    <xf numFmtId="3" fontId="15" fillId="0" borderId="0" xfId="0" applyNumberFormat="1" applyFont="1"/>
    <xf numFmtId="3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9" fillId="0" borderId="0" xfId="0" applyFont="1"/>
    <xf numFmtId="3" fontId="0" fillId="0" borderId="0" xfId="0" applyNumberFormat="1"/>
    <xf numFmtId="0" fontId="20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1" fillId="0" borderId="0" xfId="0" applyFont="1"/>
    <xf numFmtId="3" fontId="11" fillId="0" borderId="0" xfId="0" applyNumberFormat="1" applyFont="1"/>
    <xf numFmtId="0" fontId="21" fillId="0" borderId="0" xfId="0" applyFont="1"/>
    <xf numFmtId="0" fontId="9" fillId="0" borderId="47" xfId="0" applyFont="1" applyBorder="1"/>
    <xf numFmtId="3" fontId="9" fillId="0" borderId="47" xfId="0" applyNumberFormat="1" applyFont="1" applyBorder="1"/>
    <xf numFmtId="3" fontId="12" fillId="0" borderId="47" xfId="0" applyNumberFormat="1" applyFont="1" applyBorder="1"/>
    <xf numFmtId="0" fontId="12" fillId="0" borderId="47" xfId="0" applyFont="1" applyBorder="1"/>
    <xf numFmtId="0" fontId="0" fillId="0" borderId="47" xfId="0" applyBorder="1"/>
    <xf numFmtId="0" fontId="11" fillId="0" borderId="47" xfId="0" applyFont="1" applyBorder="1"/>
    <xf numFmtId="0" fontId="12" fillId="0" borderId="0" xfId="0" applyFont="1" applyAlignment="1">
      <alignment horizontal="center"/>
    </xf>
    <xf numFmtId="4" fontId="14" fillId="0" borderId="0" xfId="0" applyNumberFormat="1" applyFont="1"/>
    <xf numFmtId="0" fontId="19" fillId="0" borderId="0" xfId="0" applyFont="1"/>
    <xf numFmtId="4" fontId="15" fillId="0" borderId="0" xfId="0" applyNumberFormat="1" applyFont="1"/>
    <xf numFmtId="3" fontId="21" fillId="0" borderId="0" xfId="0" applyNumberFormat="1" applyFont="1"/>
    <xf numFmtId="0" fontId="18" fillId="0" borderId="0" xfId="0" applyFont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14" xfId="0" applyFont="1" applyBorder="1"/>
    <xf numFmtId="0" fontId="0" fillId="0" borderId="69" xfId="0" applyBorder="1"/>
    <xf numFmtId="9" fontId="21" fillId="0" borderId="0" xfId="8" applyFont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2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2" fillId="0" borderId="6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/>
    <xf numFmtId="0" fontId="0" fillId="0" borderId="7" xfId="0" applyBorder="1"/>
    <xf numFmtId="0" fontId="12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3" fillId="0" borderId="59" xfId="0" applyFont="1" applyBorder="1"/>
    <xf numFmtId="0" fontId="13" fillId="0" borderId="0" xfId="0" applyFont="1"/>
    <xf numFmtId="3" fontId="13" fillId="0" borderId="39" xfId="0" applyNumberFormat="1" applyFont="1" applyBorder="1"/>
    <xf numFmtId="3" fontId="13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3" fillId="0" borderId="39" xfId="0" applyFont="1" applyBorder="1"/>
    <xf numFmtId="0" fontId="13" fillId="0" borderId="36" xfId="0" applyFont="1" applyBorder="1"/>
    <xf numFmtId="3" fontId="0" fillId="4" borderId="39" xfId="0" applyNumberFormat="1" applyFill="1" applyBorder="1"/>
    <xf numFmtId="3" fontId="12" fillId="0" borderId="39" xfId="0" applyNumberFormat="1" applyFont="1" applyBorder="1"/>
    <xf numFmtId="3" fontId="12" fillId="0" borderId="0" xfId="0" applyNumberFormat="1" applyFont="1"/>
    <xf numFmtId="3" fontId="12" fillId="0" borderId="36" xfId="0" applyNumberFormat="1" applyFont="1" applyBorder="1"/>
    <xf numFmtId="0" fontId="13" fillId="0" borderId="65" xfId="0" applyFont="1" applyBorder="1"/>
    <xf numFmtId="0" fontId="13" fillId="0" borderId="45" xfId="0" applyFont="1" applyBorder="1"/>
    <xf numFmtId="0" fontId="13" fillId="0" borderId="68" xfId="0" applyFont="1" applyBorder="1"/>
    <xf numFmtId="3" fontId="13" fillId="0" borderId="68" xfId="0" applyNumberFormat="1" applyFont="1" applyBorder="1"/>
    <xf numFmtId="3" fontId="13" fillId="0" borderId="53" xfId="0" applyNumberFormat="1" applyFont="1" applyBorder="1"/>
    <xf numFmtId="172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31" fillId="0" borderId="0" xfId="5" applyFont="1"/>
    <xf numFmtId="0" fontId="32" fillId="0" borderId="0" xfId="0" applyFont="1"/>
    <xf numFmtId="0" fontId="33" fillId="0" borderId="0" xfId="0" applyFont="1"/>
    <xf numFmtId="0" fontId="32" fillId="23" borderId="0" xfId="0" applyFont="1" applyFill="1"/>
    <xf numFmtId="0" fontId="31" fillId="0" borderId="0" xfId="0" applyFont="1"/>
    <xf numFmtId="3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2" borderId="2" xfId="5" applyFont="1" applyFill="1" applyBorder="1" applyAlignment="1">
      <alignment horizontal="center" vertical="center"/>
    </xf>
    <xf numFmtId="0" fontId="34" fillId="2" borderId="56" xfId="5" applyFont="1" applyFill="1" applyBorder="1" applyAlignment="1">
      <alignment vertical="center"/>
    </xf>
    <xf numFmtId="0" fontId="34" fillId="4" borderId="3" xfId="5" applyFont="1" applyFill="1" applyBorder="1" applyAlignment="1">
      <alignment horizontal="center" vertical="center" wrapText="1"/>
    </xf>
    <xf numFmtId="3" fontId="34" fillId="2" borderId="15" xfId="5" applyNumberFormat="1" applyFont="1" applyFill="1" applyBorder="1" applyAlignment="1">
      <alignment horizontal="center" vertical="center" wrapText="1"/>
    </xf>
    <xf numFmtId="3" fontId="34" fillId="7" borderId="16" xfId="5" applyNumberFormat="1" applyFont="1" applyFill="1" applyBorder="1" applyAlignment="1">
      <alignment horizontal="center" vertical="center" wrapText="1"/>
    </xf>
    <xf numFmtId="3" fontId="34" fillId="2" borderId="20" xfId="5" applyNumberFormat="1" applyFont="1" applyFill="1" applyBorder="1" applyAlignment="1">
      <alignment horizontal="center" vertical="center" wrapText="1"/>
    </xf>
    <xf numFmtId="3" fontId="34" fillId="2" borderId="13" xfId="5" applyNumberFormat="1" applyFont="1" applyFill="1" applyBorder="1" applyAlignment="1">
      <alignment horizontal="center" vertical="center" wrapText="1"/>
    </xf>
    <xf numFmtId="3" fontId="34" fillId="2" borderId="46" xfId="5" applyNumberFormat="1" applyFont="1" applyFill="1" applyBorder="1" applyAlignment="1">
      <alignment horizontal="center" vertical="center" wrapText="1"/>
    </xf>
    <xf numFmtId="3" fontId="34" fillId="2" borderId="60" xfId="5" applyNumberFormat="1" applyFont="1" applyFill="1" applyBorder="1" applyAlignment="1">
      <alignment horizontal="center" vertical="center" wrapText="1"/>
    </xf>
    <xf numFmtId="3" fontId="34" fillId="2" borderId="71" xfId="5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/>
    </xf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 applyAlignment="1">
      <alignment wrapText="1"/>
    </xf>
    <xf numFmtId="3" fontId="34" fillId="3" borderId="15" xfId="0" applyNumberFormat="1" applyFont="1" applyFill="1" applyBorder="1" applyAlignment="1">
      <alignment wrapText="1"/>
    </xf>
    <xf numFmtId="3" fontId="34" fillId="7" borderId="16" xfId="0" applyNumberFormat="1" applyFont="1" applyFill="1" applyBorder="1" applyAlignment="1">
      <alignment wrapText="1"/>
    </xf>
    <xf numFmtId="3" fontId="34" fillId="3" borderId="20" xfId="0" applyNumberFormat="1" applyFont="1" applyFill="1" applyBorder="1" applyAlignment="1">
      <alignment wrapText="1"/>
    </xf>
    <xf numFmtId="3" fontId="34" fillId="3" borderId="13" xfId="0" applyNumberFormat="1" applyFont="1" applyFill="1" applyBorder="1" applyAlignment="1">
      <alignment wrapText="1"/>
    </xf>
    <xf numFmtId="3" fontId="34" fillId="3" borderId="60" xfId="0" applyNumberFormat="1" applyFont="1" applyFill="1" applyBorder="1" applyAlignment="1">
      <alignment wrapText="1"/>
    </xf>
    <xf numFmtId="3" fontId="34" fillId="3" borderId="46" xfId="0" applyNumberFormat="1" applyFont="1" applyFill="1" applyBorder="1" applyAlignment="1">
      <alignment wrapText="1"/>
    </xf>
    <xf numFmtId="3" fontId="35" fillId="0" borderId="0" xfId="0" applyNumberFormat="1" applyFont="1"/>
    <xf numFmtId="0" fontId="34" fillId="23" borderId="0" xfId="0" applyFont="1" applyFill="1"/>
    <xf numFmtId="0" fontId="32" fillId="3" borderId="43" xfId="0" applyFont="1" applyFill="1" applyBorder="1" applyAlignment="1">
      <alignment horizontal="left" wrapText="1"/>
    </xf>
    <xf numFmtId="3" fontId="34" fillId="4" borderId="10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2" fillId="23" borderId="0" xfId="0" applyNumberFormat="1" applyFont="1" applyFill="1"/>
    <xf numFmtId="0" fontId="32" fillId="3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right" wrapText="1"/>
    </xf>
    <xf numFmtId="3" fontId="32" fillId="4" borderId="10" xfId="0" applyNumberFormat="1" applyFont="1" applyFill="1" applyBorder="1"/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2" fillId="5" borderId="42" xfId="0" applyNumberFormat="1" applyFont="1" applyFill="1" applyBorder="1"/>
    <xf numFmtId="3" fontId="32" fillId="5" borderId="25" xfId="0" applyNumberFormat="1" applyFont="1" applyFill="1" applyBorder="1"/>
    <xf numFmtId="3" fontId="32" fillId="5" borderId="47" xfId="0" applyNumberFormat="1" applyFont="1" applyFill="1" applyBorder="1"/>
    <xf numFmtId="3" fontId="36" fillId="5" borderId="25" xfId="0" applyNumberFormat="1" applyFont="1" applyFill="1" applyBorder="1"/>
    <xf numFmtId="3" fontId="32" fillId="5" borderId="27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0" fontId="34" fillId="3" borderId="27" xfId="0" applyFont="1" applyFill="1" applyBorder="1" applyAlignment="1">
      <alignment wrapText="1"/>
    </xf>
    <xf numFmtId="3" fontId="34" fillId="7" borderId="17" xfId="0" applyNumberFormat="1" applyFont="1" applyFill="1" applyBorder="1" applyAlignment="1">
      <alignment wrapText="1"/>
    </xf>
    <xf numFmtId="0" fontId="35" fillId="0" borderId="0" xfId="0" applyFont="1"/>
    <xf numFmtId="3" fontId="32" fillId="5" borderId="14" xfId="0" applyNumberFormat="1" applyFont="1" applyFill="1" applyBorder="1"/>
    <xf numFmtId="3" fontId="32" fillId="5" borderId="62" xfId="0" applyNumberFormat="1" applyFont="1" applyFill="1" applyBorder="1"/>
    <xf numFmtId="3" fontId="32" fillId="5" borderId="43" xfId="0" applyNumberFormat="1" applyFont="1" applyFill="1" applyBorder="1"/>
    <xf numFmtId="0" fontId="34" fillId="3" borderId="23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left" wrapText="1"/>
    </xf>
    <xf numFmtId="0" fontId="34" fillId="5" borderId="23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right" wrapText="1"/>
    </xf>
    <xf numFmtId="3" fontId="32" fillId="4" borderId="11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2" fillId="5" borderId="21" xfId="0" applyNumberFormat="1" applyFont="1" applyFill="1" applyBorder="1"/>
    <xf numFmtId="0" fontId="37" fillId="5" borderId="23" xfId="0" applyFont="1" applyFill="1" applyBorder="1" applyAlignment="1">
      <alignment horizontal="center"/>
    </xf>
    <xf numFmtId="0" fontId="36" fillId="5" borderId="7" xfId="0" applyFont="1" applyFill="1" applyBorder="1" applyAlignment="1">
      <alignment horizontal="right" wrapText="1"/>
    </xf>
    <xf numFmtId="3" fontId="36" fillId="4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6" fillId="5" borderId="21" xfId="0" applyNumberFormat="1" applyFont="1" applyFill="1" applyBorder="1"/>
    <xf numFmtId="3" fontId="36" fillId="5" borderId="14" xfId="0" applyNumberFormat="1" applyFont="1" applyFill="1" applyBorder="1"/>
    <xf numFmtId="3" fontId="36" fillId="5" borderId="62" xfId="0" applyNumberFormat="1" applyFont="1" applyFill="1" applyBorder="1"/>
    <xf numFmtId="3" fontId="36" fillId="5" borderId="43" xfId="0" applyNumberFormat="1" applyFont="1" applyFill="1" applyBorder="1"/>
    <xf numFmtId="0" fontId="36" fillId="0" borderId="0" xfId="0" applyFont="1"/>
    <xf numFmtId="0" fontId="36" fillId="23" borderId="0" xfId="0" applyFont="1" applyFill="1"/>
    <xf numFmtId="0" fontId="34" fillId="3" borderId="7" xfId="0" applyFont="1" applyFill="1" applyBorder="1" applyAlignment="1">
      <alignment wrapText="1"/>
    </xf>
    <xf numFmtId="3" fontId="34" fillId="7" borderId="32" xfId="0" applyNumberFormat="1" applyFont="1" applyFill="1" applyBorder="1"/>
    <xf numFmtId="3" fontId="34" fillId="7" borderId="34" xfId="0" applyNumberFormat="1" applyFont="1" applyFill="1" applyBorder="1"/>
    <xf numFmtId="3" fontId="34" fillId="7" borderId="44" xfId="0" applyNumberFormat="1" applyFont="1" applyFill="1" applyBorder="1"/>
    <xf numFmtId="3" fontId="34" fillId="7" borderId="33" xfId="0" applyNumberFormat="1" applyFont="1" applyFill="1" applyBorder="1"/>
    <xf numFmtId="3" fontId="34" fillId="7" borderId="37" xfId="0" applyNumberFormat="1" applyFont="1" applyFill="1" applyBorder="1"/>
    <xf numFmtId="3" fontId="33" fillId="0" borderId="0" xfId="0" applyNumberFormat="1" applyFont="1"/>
    <xf numFmtId="0" fontId="34" fillId="0" borderId="0" xfId="0" applyFont="1"/>
    <xf numFmtId="3" fontId="32" fillId="0" borderId="0" xfId="0" applyNumberFormat="1" applyFont="1"/>
    <xf numFmtId="3" fontId="32" fillId="0" borderId="38" xfId="0" applyNumberFormat="1" applyFont="1" applyBorder="1"/>
    <xf numFmtId="3" fontId="32" fillId="0" borderId="57" xfId="0" applyNumberFormat="1" applyFont="1" applyBorder="1"/>
    <xf numFmtId="3" fontId="32" fillId="0" borderId="69" xfId="0" applyNumberFormat="1" applyFont="1" applyBorder="1"/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/>
    <xf numFmtId="3" fontId="32" fillId="7" borderId="16" xfId="0" applyNumberFormat="1" applyFont="1" applyFill="1" applyBorder="1"/>
    <xf numFmtId="3" fontId="32" fillId="0" borderId="20" xfId="0" applyNumberFormat="1" applyFont="1" applyBorder="1"/>
    <xf numFmtId="3" fontId="32" fillId="0" borderId="13" xfId="0" applyNumberFormat="1" applyFont="1" applyBorder="1"/>
    <xf numFmtId="3" fontId="32" fillId="9" borderId="13" xfId="0" applyNumberFormat="1" applyFont="1" applyFill="1" applyBorder="1"/>
    <xf numFmtId="3" fontId="32" fillId="0" borderId="46" xfId="0" applyNumberFormat="1" applyFont="1" applyBorder="1"/>
    <xf numFmtId="3" fontId="32" fillId="9" borderId="18" xfId="0" applyNumberFormat="1" applyFont="1" applyFill="1" applyBorder="1"/>
    <xf numFmtId="3" fontId="32" fillId="0" borderId="71" xfId="0" applyNumberFormat="1" applyFont="1" applyBorder="1"/>
    <xf numFmtId="3" fontId="32" fillId="0" borderId="60" xfId="0" applyNumberFormat="1" applyFont="1" applyBorder="1"/>
    <xf numFmtId="0" fontId="38" fillId="23" borderId="0" xfId="0" applyFont="1" applyFill="1"/>
    <xf numFmtId="0" fontId="32" fillId="3" borderId="7" xfId="0" applyFont="1" applyFill="1" applyBorder="1" applyAlignment="1">
      <alignment wrapText="1"/>
    </xf>
    <xf numFmtId="3" fontId="32" fillId="0" borderId="58" xfId="0" applyNumberFormat="1" applyFont="1" applyBorder="1"/>
    <xf numFmtId="3" fontId="32" fillId="0" borderId="21" xfId="0" applyNumberFormat="1" applyFont="1" applyBorder="1"/>
    <xf numFmtId="3" fontId="32" fillId="9" borderId="14" xfId="0" applyNumberFormat="1" applyFont="1" applyFill="1" applyBorder="1"/>
    <xf numFmtId="3" fontId="32" fillId="0" borderId="62" xfId="0" applyNumberFormat="1" applyFont="1" applyBorder="1"/>
    <xf numFmtId="3" fontId="32" fillId="9" borderId="19" xfId="0" applyNumberFormat="1" applyFont="1" applyFill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0" fontId="34" fillId="3" borderId="32" xfId="0" applyFont="1" applyFill="1" applyBorder="1" applyAlignment="1">
      <alignment horizontal="center" wrapText="1"/>
    </xf>
    <xf numFmtId="0" fontId="34" fillId="3" borderId="33" xfId="0" applyFont="1" applyFill="1" applyBorder="1" applyAlignment="1">
      <alignment wrapText="1"/>
    </xf>
    <xf numFmtId="3" fontId="34" fillId="3" borderId="32" xfId="0" applyNumberFormat="1" applyFont="1" applyFill="1" applyBorder="1"/>
    <xf numFmtId="3" fontId="34" fillId="3" borderId="48" xfId="0" applyNumberFormat="1" applyFont="1" applyFill="1" applyBorder="1"/>
    <xf numFmtId="3" fontId="34" fillId="3" borderId="37" xfId="0" applyNumberFormat="1" applyFont="1" applyFill="1" applyBorder="1"/>
    <xf numFmtId="3" fontId="34" fillId="3" borderId="44" xfId="0" applyNumberFormat="1" applyFont="1" applyFill="1" applyBorder="1"/>
    <xf numFmtId="3" fontId="34" fillId="3" borderId="40" xfId="0" applyNumberFormat="1" applyFont="1" applyFill="1" applyBorder="1"/>
    <xf numFmtId="3" fontId="34" fillId="3" borderId="49" xfId="0" applyNumberFormat="1" applyFont="1" applyFill="1" applyBorder="1"/>
    <xf numFmtId="3" fontId="34" fillId="3" borderId="33" xfId="0" applyNumberFormat="1" applyFont="1" applyFill="1" applyBorder="1"/>
    <xf numFmtId="0" fontId="32" fillId="3" borderId="25" xfId="0" applyFont="1" applyFill="1" applyBorder="1" applyAlignment="1">
      <alignment horizontal="center"/>
    </xf>
    <xf numFmtId="3" fontId="32" fillId="7" borderId="17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0" fontId="32" fillId="5" borderId="25" xfId="0" applyFont="1" applyFill="1" applyBorder="1" applyAlignment="1">
      <alignment horizontal="center"/>
    </xf>
    <xf numFmtId="0" fontId="32" fillId="5" borderId="7" xfId="0" applyFont="1" applyFill="1" applyBorder="1" applyAlignment="1">
      <alignment wrapText="1"/>
    </xf>
    <xf numFmtId="3" fontId="32" fillId="0" borderId="19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0" fontId="34" fillId="3" borderId="25" xfId="0" applyFont="1" applyFill="1" applyBorder="1" applyAlignment="1">
      <alignment horizontal="center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6" fillId="0" borderId="6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4" borderId="36" xfId="0" applyNumberFormat="1" applyFont="1" applyFill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7" borderId="36" xfId="0" applyNumberFormat="1" applyFont="1" applyFill="1" applyBorder="1"/>
    <xf numFmtId="3" fontId="32" fillId="0" borderId="41" xfId="0" applyNumberFormat="1" applyFont="1" applyBorder="1"/>
    <xf numFmtId="3" fontId="32" fillId="0" borderId="61" xfId="0" applyNumberFormat="1" applyFont="1" applyBorder="1"/>
    <xf numFmtId="3" fontId="32" fillId="0" borderId="2" xfId="0" applyNumberFormat="1" applyFont="1" applyBorder="1"/>
    <xf numFmtId="3" fontId="32" fillId="0" borderId="30" xfId="0" applyNumberFormat="1" applyFont="1" applyBorder="1"/>
    <xf numFmtId="3" fontId="34" fillId="7" borderId="2" xfId="0" applyNumberFormat="1" applyFont="1" applyFill="1" applyBorder="1"/>
    <xf numFmtId="3" fontId="34" fillId="3" borderId="2" xfId="0" applyNumberFormat="1" applyFont="1" applyFill="1" applyBorder="1"/>
    <xf numFmtId="3" fontId="34" fillId="7" borderId="3" xfId="0" applyNumberFormat="1" applyFont="1" applyFill="1" applyBorder="1"/>
    <xf numFmtId="3" fontId="34" fillId="3" borderId="22" xfId="0" applyNumberFormat="1" applyFont="1" applyFill="1" applyBorder="1"/>
    <xf numFmtId="3" fontId="34" fillId="3" borderId="5" xfId="0" applyNumberFormat="1" applyFont="1" applyFill="1" applyBorder="1"/>
    <xf numFmtId="3" fontId="34" fillId="3" borderId="30" xfId="0" applyNumberFormat="1" applyFont="1" applyFill="1" applyBorder="1"/>
    <xf numFmtId="3" fontId="34" fillId="3" borderId="1" xfId="0" applyNumberFormat="1" applyFont="1" applyFill="1" applyBorder="1"/>
    <xf numFmtId="3" fontId="34" fillId="3" borderId="50" xfId="0" applyNumberFormat="1" applyFont="1" applyFill="1" applyBorder="1"/>
    <xf numFmtId="3" fontId="34" fillId="3" borderId="56" xfId="0" applyNumberFormat="1" applyFont="1" applyFill="1" applyBorder="1"/>
    <xf numFmtId="0" fontId="32" fillId="0" borderId="0" xfId="0" applyFont="1" applyAlignment="1">
      <alignment horizontal="center"/>
    </xf>
    <xf numFmtId="0" fontId="32" fillId="23" borderId="0" xfId="0" applyFont="1" applyFill="1" applyAlignment="1">
      <alignment horizontal="center"/>
    </xf>
    <xf numFmtId="0" fontId="33" fillId="23" borderId="0" xfId="0" applyFont="1" applyFill="1"/>
    <xf numFmtId="0" fontId="32" fillId="10" borderId="0" xfId="0" applyFont="1" applyFill="1"/>
    <xf numFmtId="0" fontId="34" fillId="10" borderId="0" xfId="0" applyFont="1" applyFill="1" applyAlignment="1">
      <alignment horizontal="center"/>
    </xf>
    <xf numFmtId="3" fontId="32" fillId="10" borderId="0" xfId="0" applyNumberFormat="1" applyFont="1" applyFill="1"/>
    <xf numFmtId="3" fontId="36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3" fontId="41" fillId="10" borderId="0" xfId="0" applyNumberFormat="1" applyFont="1" applyFill="1" applyAlignment="1">
      <alignment horizontal="center"/>
    </xf>
    <xf numFmtId="0" fontId="42" fillId="22" borderId="0" xfId="0" applyFont="1" applyFill="1"/>
    <xf numFmtId="0" fontId="32" fillId="5" borderId="0" xfId="0" applyFont="1" applyFill="1"/>
    <xf numFmtId="3" fontId="36" fillId="5" borderId="47" xfId="0" applyNumberFormat="1" applyFont="1" applyFill="1" applyBorder="1"/>
    <xf numFmtId="0" fontId="34" fillId="0" borderId="44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3" fontId="43" fillId="0" borderId="46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/>
    </xf>
    <xf numFmtId="0" fontId="31" fillId="22" borderId="0" xfId="0" applyFont="1" applyFill="1"/>
    <xf numFmtId="0" fontId="36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3" fontId="36" fillId="0" borderId="0" xfId="0" applyNumberFormat="1" applyFont="1"/>
    <xf numFmtId="3" fontId="40" fillId="0" borderId="0" xfId="0" applyNumberFormat="1" applyFont="1" applyAlignment="1">
      <alignment horizontal="center"/>
    </xf>
    <xf numFmtId="0" fontId="45" fillId="22" borderId="0" xfId="0" applyFont="1" applyFill="1"/>
    <xf numFmtId="0" fontId="32" fillId="0" borderId="0" xfId="0" applyFont="1" applyAlignment="1">
      <alignment horizontal="right"/>
    </xf>
    <xf numFmtId="3" fontId="40" fillId="0" borderId="0" xfId="0" applyNumberFormat="1" applyFont="1"/>
    <xf numFmtId="49" fontId="40" fillId="0" borderId="0" xfId="0" applyNumberFormat="1" applyFont="1"/>
    <xf numFmtId="0" fontId="46" fillId="22" borderId="0" xfId="0" applyFont="1" applyFill="1"/>
    <xf numFmtId="3" fontId="31" fillId="22" borderId="0" xfId="0" applyNumberFormat="1" applyFont="1" applyFill="1"/>
    <xf numFmtId="0" fontId="42" fillId="22" borderId="0" xfId="0" applyFont="1" applyFill="1" applyAlignment="1">
      <alignment vertical="center"/>
    </xf>
    <xf numFmtId="3" fontId="42" fillId="22" borderId="0" xfId="0" applyNumberFormat="1" applyFont="1" applyFill="1"/>
    <xf numFmtId="3" fontId="37" fillId="0" borderId="0" xfId="0" applyNumberFormat="1" applyFont="1"/>
    <xf numFmtId="0" fontId="43" fillId="0" borderId="0" xfId="0" applyFont="1"/>
    <xf numFmtId="0" fontId="43" fillId="0" borderId="47" xfId="0" applyFont="1" applyBorder="1"/>
    <xf numFmtId="3" fontId="43" fillId="0" borderId="0" xfId="0" applyNumberFormat="1" applyFont="1"/>
    <xf numFmtId="49" fontId="43" fillId="0" borderId="0" xfId="0" applyNumberFormat="1" applyFont="1"/>
    <xf numFmtId="0" fontId="48" fillId="22" borderId="0" xfId="0" applyFont="1" applyFill="1"/>
    <xf numFmtId="0" fontId="37" fillId="0" borderId="0" xfId="0" applyFont="1"/>
    <xf numFmtId="3" fontId="37" fillId="0" borderId="47" xfId="0" applyNumberFormat="1" applyFont="1" applyBorder="1"/>
    <xf numFmtId="3" fontId="47" fillId="22" borderId="0" xfId="0" applyNumberFormat="1" applyFont="1" applyFill="1"/>
    <xf numFmtId="0" fontId="47" fillId="22" borderId="0" xfId="0" applyFont="1" applyFill="1"/>
    <xf numFmtId="3" fontId="34" fillId="0" borderId="0" xfId="0" applyNumberFormat="1" applyFont="1"/>
    <xf numFmtId="164" fontId="35" fillId="0" borderId="0" xfId="1" applyFont="1"/>
    <xf numFmtId="164" fontId="34" fillId="4" borderId="0" xfId="1" applyFont="1" applyFill="1"/>
    <xf numFmtId="0" fontId="32" fillId="0" borderId="0" xfId="0" applyFont="1" applyAlignment="1">
      <alignment horizontal="center" wrapText="1"/>
    </xf>
    <xf numFmtId="3" fontId="48" fillId="22" borderId="0" xfId="0" applyNumberFormat="1" applyFont="1" applyFill="1"/>
    <xf numFmtId="0" fontId="34" fillId="0" borderId="0" xfId="0" applyFont="1" applyAlignment="1">
      <alignment horizontal="right"/>
    </xf>
    <xf numFmtId="3" fontId="43" fillId="0" borderId="47" xfId="0" applyNumberFormat="1" applyFont="1" applyBorder="1"/>
    <xf numFmtId="0" fontId="32" fillId="5" borderId="0" xfId="3" applyFont="1" applyFill="1"/>
    <xf numFmtId="0" fontId="43" fillId="5" borderId="0" xfId="0" applyFont="1" applyFill="1" applyAlignment="1">
      <alignment horizontal="right"/>
    </xf>
    <xf numFmtId="3" fontId="43" fillId="5" borderId="0" xfId="0" applyNumberFormat="1" applyFont="1" applyFill="1"/>
    <xf numFmtId="3" fontId="37" fillId="5" borderId="0" xfId="0" applyNumberFormat="1" applyFont="1" applyFill="1"/>
    <xf numFmtId="3" fontId="43" fillId="5" borderId="0" xfId="0" applyNumberFormat="1" applyFont="1" applyFill="1" applyAlignment="1">
      <alignment horizontal="center"/>
    </xf>
    <xf numFmtId="0" fontId="32" fillId="22" borderId="0" xfId="0" applyFont="1" applyFill="1"/>
    <xf numFmtId="0" fontId="34" fillId="22" borderId="0" xfId="0" applyFont="1" applyFill="1" applyAlignment="1">
      <alignment horizontal="center"/>
    </xf>
    <xf numFmtId="3" fontId="32" fillId="22" borderId="0" xfId="0" applyNumberFormat="1" applyFont="1" applyFill="1"/>
    <xf numFmtId="3" fontId="36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1" fillId="22" borderId="0" xfId="0" applyNumberFormat="1" applyFont="1" applyFill="1" applyAlignment="1">
      <alignment horizontal="center"/>
    </xf>
    <xf numFmtId="3" fontId="49" fillId="22" borderId="0" xfId="0" applyNumberFormat="1" applyFont="1" applyFill="1"/>
    <xf numFmtId="0" fontId="36" fillId="22" borderId="0" xfId="0" applyFont="1" applyFill="1"/>
    <xf numFmtId="4" fontId="36" fillId="22" borderId="0" xfId="0" applyNumberFormat="1" applyFont="1" applyFill="1"/>
    <xf numFmtId="3" fontId="34" fillId="5" borderId="0" xfId="0" applyNumberFormat="1" applyFont="1" applyFill="1"/>
    <xf numFmtId="0" fontId="32" fillId="0" borderId="2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3" fontId="34" fillId="3" borderId="3" xfId="0" applyNumberFormat="1" applyFont="1" applyFill="1" applyBorder="1"/>
    <xf numFmtId="3" fontId="34" fillId="22" borderId="0" xfId="0" applyNumberFormat="1" applyFont="1" applyFill="1"/>
    <xf numFmtId="3" fontId="32" fillId="0" borderId="0" xfId="0" applyNumberFormat="1" applyFont="1" applyAlignment="1">
      <alignment horizontal="center"/>
    </xf>
    <xf numFmtId="3" fontId="32" fillId="4" borderId="14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Alignment="1">
      <alignment horizontal="center"/>
    </xf>
    <xf numFmtId="0" fontId="34" fillId="0" borderId="0" xfId="5" applyFont="1" applyAlignment="1">
      <alignment horizontal="left"/>
    </xf>
    <xf numFmtId="166" fontId="32" fillId="0" borderId="0" xfId="0" applyNumberFormat="1" applyFont="1" applyAlignment="1">
      <alignment horizontal="right"/>
    </xf>
    <xf numFmtId="170" fontId="34" fillId="0" borderId="0" xfId="0" applyNumberFormat="1" applyFont="1"/>
    <xf numFmtId="171" fontId="32" fillId="0" borderId="0" xfId="0" applyNumberFormat="1" applyFont="1" applyAlignment="1">
      <alignment horizontal="center"/>
    </xf>
    <xf numFmtId="0" fontId="34" fillId="2" borderId="1" xfId="5" applyFont="1" applyFill="1" applyBorder="1" applyAlignment="1">
      <alignment horizontal="center" vertical="center"/>
    </xf>
    <xf numFmtId="0" fontId="34" fillId="2" borderId="2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0" fontId="36" fillId="4" borderId="2" xfId="5" applyFont="1" applyFill="1" applyBorder="1" applyAlignment="1">
      <alignment horizontal="center" vertical="center" wrapText="1"/>
    </xf>
    <xf numFmtId="0" fontId="36" fillId="4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4" fillId="2" borderId="56" xfId="5" applyFont="1" applyFill="1" applyBorder="1" applyAlignment="1">
      <alignment horizontal="center" vertical="center" wrapText="1"/>
    </xf>
    <xf numFmtId="0" fontId="36" fillId="4" borderId="56" xfId="5" applyFont="1" applyFill="1" applyBorder="1" applyAlignment="1">
      <alignment horizontal="center" vertical="center" wrapText="1"/>
    </xf>
    <xf numFmtId="0" fontId="36" fillId="4" borderId="5" xfId="5" applyFont="1" applyFill="1" applyBorder="1" applyAlignment="1">
      <alignment horizontal="center" vertical="center" wrapText="1"/>
    </xf>
    <xf numFmtId="0" fontId="32" fillId="2" borderId="2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1" xfId="5" applyFont="1" applyFill="1" applyBorder="1" applyAlignment="1">
      <alignment horizontal="center" vertical="center" wrapText="1"/>
    </xf>
    <xf numFmtId="0" fontId="36" fillId="2" borderId="5" xfId="5" applyFont="1" applyFill="1" applyBorder="1" applyAlignment="1">
      <alignment horizontal="center" vertical="center" wrapText="1"/>
    </xf>
    <xf numFmtId="0" fontId="36" fillId="2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6" fillId="2" borderId="6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3" fontId="34" fillId="0" borderId="16" xfId="0" applyNumberFormat="1" applyFont="1" applyBorder="1"/>
    <xf numFmtId="3" fontId="32" fillId="0" borderId="23" xfId="0" applyNumberFormat="1" applyFont="1" applyBorder="1"/>
    <xf numFmtId="3" fontId="32" fillId="0" borderId="25" xfId="0" applyNumberFormat="1" applyFont="1" applyBorder="1"/>
    <xf numFmtId="3" fontId="36" fillId="0" borderId="25" xfId="0" applyNumberFormat="1" applyFont="1" applyBorder="1"/>
    <xf numFmtId="3" fontId="36" fillId="0" borderId="26" xfId="0" applyNumberFormat="1" applyFont="1" applyBorder="1"/>
    <xf numFmtId="3" fontId="36" fillId="6" borderId="17" xfId="0" applyNumberFormat="1" applyFont="1" applyFill="1" applyBorder="1"/>
    <xf numFmtId="3" fontId="32" fillId="0" borderId="7" xfId="0" applyNumberFormat="1" applyFont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36" fillId="0" borderId="14" xfId="0" applyNumberFormat="1" applyFont="1" applyBorder="1"/>
    <xf numFmtId="3" fontId="36" fillId="0" borderId="70" xfId="0" applyNumberFormat="1" applyFont="1" applyBorder="1"/>
    <xf numFmtId="3" fontId="33" fillId="6" borderId="58" xfId="0" applyNumberFormat="1" applyFont="1" applyFill="1" applyBorder="1"/>
    <xf numFmtId="3" fontId="32" fillId="0" borderId="8" xfId="0" applyNumberFormat="1" applyFont="1" applyBorder="1"/>
    <xf numFmtId="3" fontId="34" fillId="3" borderId="34" xfId="0" applyNumberFormat="1" applyFont="1" applyFill="1" applyBorder="1"/>
    <xf numFmtId="3" fontId="37" fillId="3" borderId="37" xfId="0" applyNumberFormat="1" applyFont="1" applyFill="1" applyBorder="1"/>
    <xf numFmtId="3" fontId="37" fillId="3" borderId="49" xfId="0" applyNumberFormat="1" applyFont="1" applyFill="1" applyBorder="1"/>
    <xf numFmtId="3" fontId="35" fillId="6" borderId="32" xfId="0" applyNumberFormat="1" applyFont="1" applyFill="1" applyBorder="1"/>
    <xf numFmtId="3" fontId="34" fillId="3" borderId="35" xfId="0" applyNumberFormat="1" applyFont="1" applyFill="1" applyBorder="1"/>
    <xf numFmtId="3" fontId="32" fillId="6" borderId="17" xfId="0" applyNumberFormat="1" applyFont="1" applyFill="1" applyBorder="1"/>
    <xf numFmtId="3" fontId="32" fillId="6" borderId="58" xfId="0" applyNumberFormat="1" applyFont="1" applyFill="1" applyBorder="1"/>
    <xf numFmtId="3" fontId="33" fillId="21" borderId="58" xfId="0" applyNumberFormat="1" applyFont="1" applyFill="1" applyBorder="1"/>
    <xf numFmtId="3" fontId="36" fillId="4" borderId="14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7" xfId="0" applyFont="1" applyFill="1" applyBorder="1" applyAlignment="1">
      <alignment wrapText="1"/>
    </xf>
    <xf numFmtId="3" fontId="37" fillId="0" borderId="11" xfId="0" applyNumberFormat="1" applyFont="1" applyBorder="1"/>
    <xf numFmtId="3" fontId="36" fillId="0" borderId="19" xfId="0" applyNumberFormat="1" applyFont="1" applyBorder="1"/>
    <xf numFmtId="3" fontId="36" fillId="0" borderId="8" xfId="0" applyNumberFormat="1" applyFont="1" applyBorder="1"/>
    <xf numFmtId="0" fontId="32" fillId="3" borderId="62" xfId="0" applyFont="1" applyFill="1" applyBorder="1" applyAlignment="1">
      <alignment horizontal="center"/>
    </xf>
    <xf numFmtId="0" fontId="32" fillId="3" borderId="43" xfId="0" applyFont="1" applyFill="1" applyBorder="1" applyAlignment="1">
      <alignment wrapText="1"/>
    </xf>
    <xf numFmtId="3" fontId="34" fillId="0" borderId="12" xfId="0" applyNumberFormat="1" applyFont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2" fillId="3" borderId="0" xfId="0" applyFont="1" applyFill="1" applyAlignment="1">
      <alignment horizontal="center"/>
    </xf>
    <xf numFmtId="0" fontId="32" fillId="3" borderId="27" xfId="0" applyFont="1" applyFill="1" applyBorder="1" applyAlignment="1">
      <alignment wrapText="1"/>
    </xf>
    <xf numFmtId="3" fontId="34" fillId="0" borderId="36" xfId="0" applyNumberFormat="1" applyFont="1" applyBorder="1"/>
    <xf numFmtId="3" fontId="32" fillId="0" borderId="18" xfId="0" applyNumberFormat="1" applyFont="1" applyBorder="1"/>
    <xf numFmtId="3" fontId="34" fillId="0" borderId="13" xfId="0" applyNumberFormat="1" applyFont="1" applyBorder="1"/>
    <xf numFmtId="3" fontId="37" fillId="0" borderId="13" xfId="0" applyNumberFormat="1" applyFont="1" applyBorder="1"/>
    <xf numFmtId="3" fontId="37" fillId="0" borderId="71" xfId="0" applyNumberFormat="1" applyFont="1" applyBorder="1"/>
    <xf numFmtId="3" fontId="34" fillId="6" borderId="15" xfId="0" applyNumberFormat="1" applyFont="1" applyFill="1" applyBorder="1"/>
    <xf numFmtId="3" fontId="34" fillId="0" borderId="31" xfId="0" applyNumberFormat="1" applyFont="1" applyBorder="1"/>
    <xf numFmtId="0" fontId="32" fillId="3" borderId="14" xfId="0" applyFont="1" applyFill="1" applyBorder="1" applyAlignment="1">
      <alignment wrapText="1"/>
    </xf>
    <xf numFmtId="3" fontId="34" fillId="0" borderId="38" xfId="0" applyNumberFormat="1" applyFont="1" applyBorder="1"/>
    <xf numFmtId="3" fontId="37" fillId="0" borderId="38" xfId="0" applyNumberFormat="1" applyFont="1" applyBorder="1"/>
    <xf numFmtId="3" fontId="37" fillId="0" borderId="69" xfId="0" applyNumberFormat="1" applyFont="1" applyBorder="1"/>
    <xf numFmtId="3" fontId="34" fillId="6" borderId="59" xfId="0" applyNumberFormat="1" applyFont="1" applyFill="1" applyBorder="1"/>
    <xf numFmtId="3" fontId="34" fillId="0" borderId="39" xfId="0" applyNumberFormat="1" applyFont="1" applyBorder="1"/>
    <xf numFmtId="4" fontId="34" fillId="0" borderId="36" xfId="0" applyNumberFormat="1" applyFont="1" applyBorder="1"/>
    <xf numFmtId="3" fontId="34" fillId="0" borderId="41" xfId="0" applyNumberFormat="1" applyFont="1" applyBorder="1"/>
    <xf numFmtId="0" fontId="32" fillId="3" borderId="26" xfId="0" applyFont="1" applyFill="1" applyBorder="1" applyAlignment="1">
      <alignment horizontal="center"/>
    </xf>
    <xf numFmtId="3" fontId="36" fillId="5" borderId="70" xfId="0" applyNumberFormat="1" applyFont="1" applyFill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2" fillId="3" borderId="28" xfId="0" applyFont="1" applyFill="1" applyBorder="1" applyAlignment="1">
      <alignment wrapText="1"/>
    </xf>
    <xf numFmtId="3" fontId="37" fillId="3" borderId="5" xfId="0" applyNumberFormat="1" applyFont="1" applyFill="1" applyBorder="1"/>
    <xf numFmtId="3" fontId="37" fillId="3" borderId="50" xfId="0" applyNumberFormat="1" applyFont="1" applyFill="1" applyBorder="1"/>
    <xf numFmtId="3" fontId="35" fillId="6" borderId="2" xfId="0" applyNumberFormat="1" applyFont="1" applyFill="1" applyBorder="1"/>
    <xf numFmtId="3" fontId="34" fillId="3" borderId="6" xfId="0" applyNumberFormat="1" applyFont="1" applyFill="1" applyBorder="1"/>
    <xf numFmtId="3" fontId="34" fillId="3" borderId="3" xfId="0" applyNumberFormat="1" applyFont="1" applyFill="1" applyBorder="1" applyAlignment="1">
      <alignment horizontal="right"/>
    </xf>
    <xf numFmtId="3" fontId="35" fillId="5" borderId="0" xfId="0" applyNumberFormat="1" applyFont="1" applyFill="1"/>
    <xf numFmtId="166" fontId="32" fillId="5" borderId="0" xfId="0" applyNumberFormat="1" applyFont="1" applyFill="1" applyAlignment="1">
      <alignment horizontal="right"/>
    </xf>
    <xf numFmtId="3" fontId="32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0" fillId="22" borderId="0" xfId="0" applyNumberFormat="1" applyFont="1" applyFill="1"/>
    <xf numFmtId="4" fontId="32" fillId="22" borderId="0" xfId="0" applyNumberFormat="1" applyFont="1" applyFill="1"/>
    <xf numFmtId="4" fontId="32" fillId="22" borderId="0" xfId="0" applyNumberFormat="1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34" fillId="22" borderId="0" xfId="0" applyFont="1" applyFill="1"/>
    <xf numFmtId="0" fontId="40" fillId="22" borderId="0" xfId="0" applyFont="1" applyFill="1"/>
    <xf numFmtId="3" fontId="36" fillId="0" borderId="43" xfId="0" applyNumberFormat="1" applyFont="1" applyBorder="1"/>
    <xf numFmtId="3" fontId="32" fillId="0" borderId="42" xfId="0" applyNumberFormat="1" applyFont="1" applyBorder="1"/>
    <xf numFmtId="3" fontId="32" fillId="0" borderId="75" xfId="0" applyNumberFormat="1" applyFont="1" applyBorder="1"/>
    <xf numFmtId="0" fontId="53" fillId="5" borderId="0" xfId="0" applyFont="1" applyFill="1"/>
    <xf numFmtId="0" fontId="54" fillId="5" borderId="0" xfId="0" applyFont="1" applyFill="1"/>
    <xf numFmtId="49" fontId="34" fillId="5" borderId="0" xfId="0" applyNumberFormat="1" applyFont="1" applyFill="1" applyAlignment="1">
      <alignment horizontal="left" vertical="center"/>
    </xf>
    <xf numFmtId="0" fontId="53" fillId="12" borderId="0" xfId="0" applyFont="1" applyFill="1"/>
    <xf numFmtId="0" fontId="32" fillId="12" borderId="0" xfId="0" applyFont="1" applyFill="1"/>
    <xf numFmtId="0" fontId="53" fillId="12" borderId="0" xfId="0" applyFont="1" applyFill="1" applyAlignment="1">
      <alignment horizontal="center"/>
    </xf>
    <xf numFmtId="0" fontId="32" fillId="13" borderId="0" xfId="0" applyFont="1" applyFill="1"/>
    <xf numFmtId="0" fontId="53" fillId="13" borderId="0" xfId="0" applyFont="1" applyFill="1" applyAlignment="1">
      <alignment horizontal="center"/>
    </xf>
    <xf numFmtId="0" fontId="53" fillId="13" borderId="0" xfId="0" applyFont="1" applyFill="1"/>
    <xf numFmtId="0" fontId="53" fillId="5" borderId="1" xfId="0" applyFont="1" applyFill="1" applyBorder="1"/>
    <xf numFmtId="0" fontId="53" fillId="5" borderId="5" xfId="0" applyFont="1" applyFill="1" applyBorder="1"/>
    <xf numFmtId="0" fontId="53" fillId="5" borderId="5" xfId="0" applyFont="1" applyFill="1" applyBorder="1" applyAlignment="1">
      <alignment horizontal="center"/>
    </xf>
    <xf numFmtId="0" fontId="53" fillId="5" borderId="50" xfId="0" applyFont="1" applyFill="1" applyBorder="1"/>
    <xf numFmtId="0" fontId="53" fillId="5" borderId="3" xfId="0" applyFont="1" applyFill="1" applyBorder="1"/>
    <xf numFmtId="0" fontId="32" fillId="14" borderId="23" xfId="0" applyFont="1" applyFill="1" applyBorder="1"/>
    <xf numFmtId="0" fontId="32" fillId="14" borderId="25" xfId="0" applyFont="1" applyFill="1" applyBorder="1" applyAlignment="1">
      <alignment horizontal="right" indent="5"/>
    </xf>
    <xf numFmtId="169" fontId="32" fillId="14" borderId="25" xfId="0" applyNumberFormat="1" applyFont="1" applyFill="1" applyBorder="1" applyAlignment="1">
      <alignment horizontal="right" indent="1"/>
    </xf>
    <xf numFmtId="0" fontId="32" fillId="14" borderId="25" xfId="0" applyFont="1" applyFill="1" applyBorder="1"/>
    <xf numFmtId="0" fontId="32" fillId="14" borderId="25" xfId="0" applyFont="1" applyFill="1" applyBorder="1" applyAlignment="1">
      <alignment horizontal="center"/>
    </xf>
    <xf numFmtId="0" fontId="36" fillId="14" borderId="25" xfId="0" applyFont="1" applyFill="1" applyBorder="1"/>
    <xf numFmtId="0" fontId="36" fillId="14" borderId="26" xfId="0" applyFont="1" applyFill="1" applyBorder="1"/>
    <xf numFmtId="0" fontId="32" fillId="14" borderId="10" xfId="0" applyFont="1" applyFill="1" applyBorder="1"/>
    <xf numFmtId="0" fontId="32" fillId="14" borderId="14" xfId="0" applyFont="1" applyFill="1" applyBorder="1"/>
    <xf numFmtId="0" fontId="37" fillId="14" borderId="25" xfId="0" applyFont="1" applyFill="1" applyBorder="1" applyAlignment="1">
      <alignment horizontal="center"/>
    </xf>
    <xf numFmtId="0" fontId="32" fillId="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wrapText="1"/>
    </xf>
    <xf numFmtId="169" fontId="32" fillId="4" borderId="25" xfId="0" applyNumberFormat="1" applyFont="1" applyFill="1" applyBorder="1" applyAlignment="1">
      <alignment horizontal="right" indent="1"/>
    </xf>
    <xf numFmtId="0" fontId="32" fillId="15" borderId="23" xfId="0" applyFont="1" applyFill="1" applyBorder="1" applyAlignment="1">
      <alignment wrapText="1"/>
    </xf>
    <xf numFmtId="0" fontId="32" fillId="15" borderId="25" xfId="0" applyFont="1" applyFill="1" applyBorder="1" applyAlignment="1">
      <alignment horizontal="right" indent="5"/>
    </xf>
    <xf numFmtId="169" fontId="32" fillId="15" borderId="25" xfId="0" applyNumberFormat="1" applyFont="1" applyFill="1" applyBorder="1" applyAlignment="1">
      <alignment horizontal="right" indent="1"/>
    </xf>
    <xf numFmtId="0" fontId="32" fillId="15" borderId="14" xfId="0" applyFont="1" applyFill="1" applyBorder="1"/>
    <xf numFmtId="0" fontId="37" fillId="15" borderId="25" xfId="0" applyFont="1" applyFill="1" applyBorder="1" applyAlignment="1">
      <alignment horizontal="center"/>
    </xf>
    <xf numFmtId="0" fontId="32" fillId="15" borderId="25" xfId="0" applyFont="1" applyFill="1" applyBorder="1" applyAlignment="1">
      <alignment horizontal="center"/>
    </xf>
    <xf numFmtId="0" fontId="36" fillId="15" borderId="25" xfId="0" applyFont="1" applyFill="1" applyBorder="1"/>
    <xf numFmtId="0" fontId="36" fillId="15" borderId="26" xfId="0" applyFont="1" applyFill="1" applyBorder="1"/>
    <xf numFmtId="0" fontId="32" fillId="15" borderId="10" xfId="0" applyFont="1" applyFill="1" applyBorder="1"/>
    <xf numFmtId="0" fontId="32" fillId="14" borderId="19" xfId="0" applyFont="1" applyFill="1" applyBorder="1"/>
    <xf numFmtId="0" fontId="32" fillId="14" borderId="14" xfId="0" applyFont="1" applyFill="1" applyBorder="1" applyAlignment="1">
      <alignment horizontal="right" indent="5"/>
    </xf>
    <xf numFmtId="169" fontId="32" fillId="14" borderId="14" xfId="0" applyNumberFormat="1" applyFont="1" applyFill="1" applyBorder="1" applyAlignment="1">
      <alignment horizontal="right" indent="1"/>
    </xf>
    <xf numFmtId="0" fontId="32" fillId="14" borderId="14" xfId="0" applyFont="1" applyFill="1" applyBorder="1" applyAlignment="1">
      <alignment horizontal="center"/>
    </xf>
    <xf numFmtId="0" fontId="36" fillId="14" borderId="14" xfId="0" applyFont="1" applyFill="1" applyBorder="1"/>
    <xf numFmtId="0" fontId="36" fillId="14" borderId="70" xfId="0" applyFont="1" applyFill="1" applyBorder="1"/>
    <xf numFmtId="0" fontId="32" fillId="14" borderId="11" xfId="0" applyFont="1" applyFill="1" applyBorder="1"/>
    <xf numFmtId="0" fontId="32" fillId="15" borderId="19" xfId="0" applyFont="1" applyFill="1" applyBorder="1"/>
    <xf numFmtId="0" fontId="32" fillId="15" borderId="14" xfId="0" applyFont="1" applyFill="1" applyBorder="1" applyAlignment="1">
      <alignment horizontal="right" indent="5"/>
    </xf>
    <xf numFmtId="169" fontId="32" fillId="15" borderId="14" xfId="0" applyNumberFormat="1" applyFont="1" applyFill="1" applyBorder="1" applyAlignment="1">
      <alignment horizontal="right" indent="1"/>
    </xf>
    <xf numFmtId="0" fontId="32" fillId="15" borderId="14" xfId="0" applyFont="1" applyFill="1" applyBorder="1" applyAlignment="1">
      <alignment horizontal="center"/>
    </xf>
    <xf numFmtId="0" fontId="37" fillId="15" borderId="14" xfId="0" applyFont="1" applyFill="1" applyBorder="1" applyAlignment="1">
      <alignment horizontal="center"/>
    </xf>
    <xf numFmtId="0" fontId="36" fillId="15" borderId="14" xfId="0" applyFont="1" applyFill="1" applyBorder="1"/>
    <xf numFmtId="0" fontId="36" fillId="15" borderId="70" xfId="0" applyFont="1" applyFill="1" applyBorder="1"/>
    <xf numFmtId="0" fontId="32" fillId="15" borderId="11" xfId="0" applyFont="1" applyFill="1" applyBorder="1"/>
    <xf numFmtId="0" fontId="37" fillId="14" borderId="14" xfId="0" applyFont="1" applyFill="1" applyBorder="1" applyAlignment="1">
      <alignment horizontal="center"/>
    </xf>
    <xf numFmtId="0" fontId="32" fillId="4" borderId="19" xfId="0" applyFont="1" applyFill="1" applyBorder="1"/>
    <xf numFmtId="0" fontId="32" fillId="14" borderId="37" xfId="0" applyFont="1" applyFill="1" applyBorder="1"/>
    <xf numFmtId="0" fontId="37" fillId="14" borderId="37" xfId="0" applyFont="1" applyFill="1" applyBorder="1" applyAlignment="1">
      <alignment horizontal="center"/>
    </xf>
    <xf numFmtId="0" fontId="36" fillId="14" borderId="37" xfId="0" applyFont="1" applyFill="1" applyBorder="1"/>
    <xf numFmtId="0" fontId="36" fillId="14" borderId="49" xfId="0" applyFont="1" applyFill="1" applyBorder="1"/>
    <xf numFmtId="0" fontId="32" fillId="14" borderId="34" xfId="0" applyFont="1" applyFill="1" applyBorder="1"/>
    <xf numFmtId="3" fontId="32" fillId="5" borderId="0" xfId="0" applyNumberFormat="1" applyFont="1" applyFill="1" applyAlignment="1">
      <alignment horizontal="right" indent="5"/>
    </xf>
    <xf numFmtId="169" fontId="32" fillId="5" borderId="0" xfId="0" applyNumberFormat="1" applyFont="1" applyFill="1"/>
    <xf numFmtId="0" fontId="53" fillId="5" borderId="56" xfId="0" applyFont="1" applyFill="1" applyBorder="1"/>
    <xf numFmtId="0" fontId="32" fillId="5" borderId="25" xfId="0" applyFont="1" applyFill="1" applyBorder="1"/>
    <xf numFmtId="0" fontId="32" fillId="5" borderId="27" xfId="0" applyFont="1" applyFill="1" applyBorder="1"/>
    <xf numFmtId="0" fontId="32" fillId="15" borderId="25" xfId="0" applyFont="1" applyFill="1" applyBorder="1"/>
    <xf numFmtId="0" fontId="32" fillId="15" borderId="23" xfId="0" applyFont="1" applyFill="1" applyBorder="1"/>
    <xf numFmtId="3" fontId="32" fillId="14" borderId="25" xfId="0" applyNumberFormat="1" applyFont="1" applyFill="1" applyBorder="1" applyAlignment="1">
      <alignment horizontal="right" indent="5"/>
    </xf>
    <xf numFmtId="0" fontId="32" fillId="7" borderId="19" xfId="0" applyFont="1" applyFill="1" applyBorder="1"/>
    <xf numFmtId="0" fontId="32" fillId="7" borderId="14" xfId="0" applyFont="1" applyFill="1" applyBorder="1" applyAlignment="1">
      <alignment horizontal="right" indent="5"/>
    </xf>
    <xf numFmtId="169" fontId="32" fillId="7" borderId="14" xfId="0" applyNumberFormat="1" applyFont="1" applyFill="1" applyBorder="1" applyAlignment="1">
      <alignment horizontal="right" indent="1"/>
    </xf>
    <xf numFmtId="0" fontId="32" fillId="7" borderId="14" xfId="0" applyFont="1" applyFill="1" applyBorder="1"/>
    <xf numFmtId="0" fontId="32" fillId="5" borderId="14" xfId="0" applyFont="1" applyFill="1" applyBorder="1"/>
    <xf numFmtId="0" fontId="32" fillId="5" borderId="43" xfId="0" applyFont="1" applyFill="1" applyBorder="1"/>
    <xf numFmtId="0" fontId="32" fillId="14" borderId="19" xfId="0" applyFont="1" applyFill="1" applyBorder="1" applyAlignment="1">
      <alignment wrapText="1"/>
    </xf>
    <xf numFmtId="0" fontId="32" fillId="5" borderId="19" xfId="0" applyFont="1" applyFill="1" applyBorder="1"/>
    <xf numFmtId="3" fontId="32" fillId="5" borderId="14" xfId="0" applyNumberFormat="1" applyFont="1" applyFill="1" applyBorder="1" applyAlignment="1">
      <alignment horizontal="right" indent="5"/>
    </xf>
    <xf numFmtId="169" fontId="32" fillId="5" borderId="14" xfId="0" applyNumberFormat="1" applyFont="1" applyFill="1" applyBorder="1" applyAlignment="1">
      <alignment horizontal="right" indent="1"/>
    </xf>
    <xf numFmtId="0" fontId="32" fillId="5" borderId="14" xfId="0" applyFont="1" applyFill="1" applyBorder="1" applyAlignment="1">
      <alignment horizontal="right" indent="5"/>
    </xf>
    <xf numFmtId="0" fontId="32" fillId="5" borderId="40" xfId="0" applyFont="1" applyFill="1" applyBorder="1"/>
    <xf numFmtId="0" fontId="32" fillId="5" borderId="37" xfId="0" applyFont="1" applyFill="1" applyBorder="1" applyAlignment="1">
      <alignment horizontal="right" indent="5"/>
    </xf>
    <xf numFmtId="169" fontId="32" fillId="5" borderId="51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 applyAlignment="1">
      <alignment horizontal="right" indent="1"/>
    </xf>
    <xf numFmtId="0" fontId="32" fillId="5" borderId="37" xfId="0" applyFont="1" applyFill="1" applyBorder="1"/>
    <xf numFmtId="0" fontId="32" fillId="5" borderId="33" xfId="0" applyFont="1" applyFill="1" applyBorder="1"/>
    <xf numFmtId="0" fontId="53" fillId="5" borderId="22" xfId="0" applyFont="1" applyFill="1" applyBorder="1"/>
    <xf numFmtId="169" fontId="32" fillId="15" borderId="23" xfId="0" applyNumberFormat="1" applyFont="1" applyFill="1" applyBorder="1" applyAlignment="1">
      <alignment horizontal="right" indent="1"/>
    </xf>
    <xf numFmtId="169" fontId="32" fillId="15" borderId="42" xfId="0" applyNumberFormat="1" applyFont="1" applyFill="1" applyBorder="1" applyAlignment="1">
      <alignment horizontal="right" indent="1"/>
    </xf>
    <xf numFmtId="169" fontId="32" fillId="14" borderId="23" xfId="0" applyNumberFormat="1" applyFont="1" applyFill="1" applyBorder="1" applyAlignment="1">
      <alignment horizontal="right" indent="1"/>
    </xf>
    <xf numFmtId="169" fontId="32" fillId="14" borderId="42" xfId="0" applyNumberFormat="1" applyFont="1" applyFill="1" applyBorder="1" applyAlignment="1">
      <alignment horizontal="right" indent="1"/>
    </xf>
    <xf numFmtId="0" fontId="32" fillId="16" borderId="10" xfId="0" applyFont="1" applyFill="1" applyBorder="1"/>
    <xf numFmtId="169" fontId="32" fillId="16" borderId="19" xfId="0" applyNumberFormat="1" applyFont="1" applyFill="1" applyBorder="1" applyAlignment="1">
      <alignment horizontal="right" indent="1"/>
    </xf>
    <xf numFmtId="169" fontId="32" fillId="16" borderId="42" xfId="0" applyNumberFormat="1" applyFont="1" applyFill="1" applyBorder="1" applyAlignment="1">
      <alignment horizontal="right" indent="1"/>
    </xf>
    <xf numFmtId="0" fontId="32" fillId="16" borderId="25" xfId="0" applyFont="1" applyFill="1" applyBorder="1"/>
    <xf numFmtId="169" fontId="32" fillId="14" borderId="19" xfId="0" applyNumberFormat="1" applyFont="1" applyFill="1" applyBorder="1" applyAlignment="1">
      <alignment horizontal="right" indent="1"/>
    </xf>
    <xf numFmtId="169" fontId="32" fillId="15" borderId="19" xfId="0" applyNumberFormat="1" applyFont="1" applyFill="1" applyBorder="1" applyAlignment="1">
      <alignment horizontal="right" indent="1"/>
    </xf>
    <xf numFmtId="169" fontId="32" fillId="14" borderId="40" xfId="0" applyNumberFormat="1" applyFont="1" applyFill="1" applyBorder="1" applyAlignment="1">
      <alignment horizontal="right" indent="1"/>
    </xf>
    <xf numFmtId="169" fontId="32" fillId="14" borderId="48" xfId="0" applyNumberFormat="1" applyFont="1" applyFill="1" applyBorder="1" applyAlignment="1">
      <alignment horizontal="right" indent="1"/>
    </xf>
    <xf numFmtId="169" fontId="32" fillId="4" borderId="37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/>
    <xf numFmtId="0" fontId="32" fillId="15" borderId="27" xfId="0" applyFont="1" applyFill="1" applyBorder="1"/>
    <xf numFmtId="0" fontId="32" fillId="14" borderId="10" xfId="0" applyFont="1" applyFill="1" applyBorder="1" applyAlignment="1">
      <alignment wrapText="1"/>
    </xf>
    <xf numFmtId="0" fontId="32" fillId="14" borderId="27" xfId="0" applyFont="1" applyFill="1" applyBorder="1"/>
    <xf numFmtId="0" fontId="32" fillId="17" borderId="10" xfId="0" applyFont="1" applyFill="1" applyBorder="1"/>
    <xf numFmtId="169" fontId="32" fillId="16" borderId="23" xfId="0" applyNumberFormat="1" applyFont="1" applyFill="1" applyBorder="1" applyAlignment="1">
      <alignment horizontal="right" indent="1"/>
    </xf>
    <xf numFmtId="169" fontId="32" fillId="16" borderId="25" xfId="0" applyNumberFormat="1" applyFont="1" applyFill="1" applyBorder="1" applyAlignment="1">
      <alignment horizontal="right" indent="1"/>
    </xf>
    <xf numFmtId="0" fontId="32" fillId="16" borderId="27" xfId="0" applyFont="1" applyFill="1" applyBorder="1"/>
    <xf numFmtId="0" fontId="32" fillId="15" borderId="10" xfId="0" applyFont="1" applyFill="1" applyBorder="1" applyAlignment="1">
      <alignment wrapText="1"/>
    </xf>
    <xf numFmtId="0" fontId="32" fillId="5" borderId="53" xfId="0" applyFont="1" applyFill="1" applyBorder="1"/>
    <xf numFmtId="169" fontId="32" fillId="5" borderId="40" xfId="0" applyNumberFormat="1" applyFont="1" applyFill="1" applyBorder="1" applyAlignment="1">
      <alignment horizontal="right" indent="1"/>
    </xf>
    <xf numFmtId="169" fontId="32" fillId="5" borderId="55" xfId="0" applyNumberFormat="1" applyFont="1" applyFill="1" applyBorder="1" applyAlignment="1">
      <alignment horizontal="right" indent="1"/>
    </xf>
    <xf numFmtId="0" fontId="32" fillId="5" borderId="28" xfId="0" applyFont="1" applyFill="1" applyBorder="1"/>
    <xf numFmtId="0" fontId="32" fillId="5" borderId="10" xfId="0" applyFont="1" applyFill="1" applyBorder="1" applyAlignment="1">
      <alignment wrapText="1"/>
    </xf>
    <xf numFmtId="169" fontId="32" fillId="5" borderId="23" xfId="0" applyNumberFormat="1" applyFont="1" applyFill="1" applyBorder="1" applyAlignment="1">
      <alignment horizontal="right" indent="1"/>
    </xf>
    <xf numFmtId="169" fontId="32" fillId="5" borderId="42" xfId="0" applyNumberFormat="1" applyFont="1" applyFill="1" applyBorder="1" applyAlignment="1">
      <alignment horizontal="right" indent="1"/>
    </xf>
    <xf numFmtId="169" fontId="32" fillId="5" borderId="25" xfId="0" applyNumberFormat="1" applyFont="1" applyFill="1" applyBorder="1" applyAlignment="1">
      <alignment horizontal="right" indent="1"/>
    </xf>
    <xf numFmtId="0" fontId="32" fillId="15" borderId="53" xfId="0" applyFont="1" applyFill="1" applyBorder="1"/>
    <xf numFmtId="169" fontId="32" fillId="15" borderId="40" xfId="0" applyNumberFormat="1" applyFont="1" applyFill="1" applyBorder="1" applyAlignment="1">
      <alignment horizontal="right" indent="1"/>
    </xf>
    <xf numFmtId="169" fontId="32" fillId="15" borderId="55" xfId="0" applyNumberFormat="1" applyFont="1" applyFill="1" applyBorder="1" applyAlignment="1">
      <alignment horizontal="right" indent="1"/>
    </xf>
    <xf numFmtId="169" fontId="32" fillId="15" borderId="51" xfId="0" applyNumberFormat="1" applyFont="1" applyFill="1" applyBorder="1" applyAlignment="1">
      <alignment horizontal="right" indent="1"/>
    </xf>
    <xf numFmtId="0" fontId="32" fillId="15" borderId="28" xfId="0" applyFont="1" applyFill="1" applyBorder="1"/>
    <xf numFmtId="0" fontId="53" fillId="5" borderId="0" xfId="0" applyFont="1" applyFill="1" applyAlignment="1">
      <alignment horizontal="center"/>
    </xf>
    <xf numFmtId="0" fontId="54" fillId="5" borderId="0" xfId="0" applyFont="1" applyFill="1" applyAlignment="1">
      <alignment horizontal="right"/>
    </xf>
    <xf numFmtId="169" fontId="54" fillId="5" borderId="0" xfId="0" applyNumberFormat="1" applyFont="1" applyFill="1"/>
    <xf numFmtId="169" fontId="53" fillId="5" borderId="0" xfId="0" applyNumberFormat="1" applyFont="1" applyFill="1"/>
    <xf numFmtId="169" fontId="55" fillId="5" borderId="0" xfId="0" applyNumberFormat="1" applyFont="1" applyFill="1"/>
    <xf numFmtId="169" fontId="37" fillId="5" borderId="0" xfId="0" applyNumberFormat="1" applyFont="1" applyFill="1"/>
    <xf numFmtId="0" fontId="54" fillId="14" borderId="0" xfId="0" applyFont="1" applyFill="1"/>
    <xf numFmtId="169" fontId="54" fillId="14" borderId="0" xfId="0" applyNumberFormat="1" applyFont="1" applyFill="1"/>
    <xf numFmtId="0" fontId="54" fillId="17" borderId="0" xfId="0" applyFont="1" applyFill="1"/>
    <xf numFmtId="169" fontId="54" fillId="17" borderId="0" xfId="0" applyNumberFormat="1" applyFont="1" applyFill="1"/>
    <xf numFmtId="169" fontId="56" fillId="5" borderId="0" xfId="0" applyNumberFormat="1" applyFont="1" applyFill="1"/>
    <xf numFmtId="3" fontId="34" fillId="23" borderId="0" xfId="0" applyNumberFormat="1" applyFont="1" applyFill="1"/>
    <xf numFmtId="3" fontId="43" fillId="23" borderId="0" xfId="0" applyNumberFormat="1" applyFont="1" applyFill="1"/>
    <xf numFmtId="0" fontId="37" fillId="23" borderId="0" xfId="0" applyFont="1" applyFill="1"/>
    <xf numFmtId="3" fontId="40" fillId="23" borderId="0" xfId="0" applyNumberFormat="1" applyFont="1" applyFill="1"/>
    <xf numFmtId="3" fontId="32" fillId="9" borderId="15" xfId="0" applyNumberFormat="1" applyFont="1" applyFill="1" applyBorder="1"/>
    <xf numFmtId="3" fontId="32" fillId="9" borderId="58" xfId="0" applyNumberFormat="1" applyFont="1" applyFill="1" applyBorder="1"/>
    <xf numFmtId="3" fontId="36" fillId="4" borderId="3" xfId="0" applyNumberFormat="1" applyFont="1" applyFill="1" applyBorder="1"/>
    <xf numFmtId="0" fontId="37" fillId="3" borderId="23" xfId="0" applyFont="1" applyFill="1" applyBorder="1" applyAlignment="1">
      <alignment horizontal="center"/>
    </xf>
    <xf numFmtId="3" fontId="36" fillId="9" borderId="58" xfId="0" applyNumberFormat="1" applyFont="1" applyFill="1" applyBorder="1"/>
    <xf numFmtId="3" fontId="36" fillId="0" borderId="21" xfId="0" applyNumberFormat="1" applyFont="1" applyBorder="1"/>
    <xf numFmtId="3" fontId="36" fillId="9" borderId="14" xfId="0" applyNumberFormat="1" applyFont="1" applyFill="1" applyBorder="1"/>
    <xf numFmtId="3" fontId="36" fillId="9" borderId="19" xfId="0" applyNumberFormat="1" applyFont="1" applyFill="1" applyBorder="1"/>
    <xf numFmtId="0" fontId="36" fillId="5" borderId="27" xfId="0" applyFont="1" applyFill="1" applyBorder="1" applyAlignment="1">
      <alignment horizontal="right" wrapText="1"/>
    </xf>
    <xf numFmtId="3" fontId="36" fillId="4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6" fillId="5" borderId="42" xfId="0" applyNumberFormat="1" applyFont="1" applyFill="1" applyBorder="1"/>
    <xf numFmtId="3" fontId="36" fillId="5" borderId="27" xfId="0" applyNumberFormat="1" applyFont="1" applyFill="1" applyBorder="1"/>
    <xf numFmtId="0" fontId="32" fillId="0" borderId="45" xfId="0" applyFont="1" applyBorder="1"/>
    <xf numFmtId="3" fontId="57" fillId="0" borderId="0" xfId="0" applyNumberFormat="1" applyFont="1"/>
    <xf numFmtId="0" fontId="57" fillId="0" borderId="45" xfId="0" applyFont="1" applyBorder="1"/>
    <xf numFmtId="0" fontId="57" fillId="0" borderId="45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6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10" xfId="0" applyFont="1" applyBorder="1"/>
    <xf numFmtId="0" fontId="32" fillId="0" borderId="23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1" xfId="0" applyFont="1" applyBorder="1"/>
    <xf numFmtId="0" fontId="32" fillId="0" borderId="19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34" xfId="0" applyFont="1" applyBorder="1"/>
    <xf numFmtId="0" fontId="32" fillId="0" borderId="4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2" fillId="0" borderId="49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4" fillId="5" borderId="18" xfId="0" applyFont="1" applyFill="1" applyBorder="1"/>
    <xf numFmtId="0" fontId="34" fillId="5" borderId="13" xfId="0" applyFont="1" applyFill="1" applyBorder="1"/>
    <xf numFmtId="0" fontId="34" fillId="5" borderId="60" xfId="0" applyFont="1" applyFill="1" applyBorder="1"/>
    <xf numFmtId="0" fontId="50" fillId="12" borderId="0" xfId="0" applyFont="1" applyFill="1"/>
    <xf numFmtId="0" fontId="36" fillId="5" borderId="40" xfId="0" applyFont="1" applyFill="1" applyBorder="1"/>
    <xf numFmtId="0" fontId="36" fillId="5" borderId="37" xfId="0" applyFont="1" applyFill="1" applyBorder="1"/>
    <xf numFmtId="0" fontId="36" fillId="5" borderId="33" xfId="0" applyFont="1" applyFill="1" applyBorder="1"/>
    <xf numFmtId="0" fontId="34" fillId="5" borderId="1" xfId="0" applyFont="1" applyFill="1" applyBorder="1"/>
    <xf numFmtId="0" fontId="34" fillId="5" borderId="5" xfId="0" applyFont="1" applyFill="1" applyBorder="1"/>
    <xf numFmtId="0" fontId="34" fillId="5" borderId="56" xfId="0" applyFont="1" applyFill="1" applyBorder="1"/>
    <xf numFmtId="0" fontId="51" fillId="12" borderId="0" xfId="0" applyFont="1" applyFill="1"/>
    <xf numFmtId="0" fontId="40" fillId="12" borderId="0" xfId="0" applyFont="1" applyFill="1"/>
    <xf numFmtId="0" fontId="40" fillId="0" borderId="3" xfId="0" applyFont="1" applyBorder="1"/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3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3" fontId="34" fillId="2" borderId="30" xfId="5" applyNumberFormat="1" applyFont="1" applyFill="1" applyBorder="1" applyAlignment="1">
      <alignment vertical="center"/>
    </xf>
    <xf numFmtId="0" fontId="34" fillId="3" borderId="32" xfId="0" applyFont="1" applyFill="1" applyBorder="1" applyAlignment="1">
      <alignment horizontal="left" wrapText="1"/>
    </xf>
    <xf numFmtId="0" fontId="59" fillId="0" borderId="0" xfId="0" applyFont="1"/>
    <xf numFmtId="3" fontId="59" fillId="0" borderId="0" xfId="0" applyNumberFormat="1" applyFont="1"/>
    <xf numFmtId="0" fontId="59" fillId="0" borderId="24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59" fillId="4" borderId="78" xfId="0" applyFont="1" applyFill="1" applyBorder="1"/>
    <xf numFmtId="3" fontId="59" fillId="4" borderId="78" xfId="0" applyNumberFormat="1" applyFont="1" applyFill="1" applyBorder="1"/>
    <xf numFmtId="3" fontId="59" fillId="4" borderId="64" xfId="0" applyNumberFormat="1" applyFont="1" applyFill="1" applyBorder="1"/>
    <xf numFmtId="2" fontId="60" fillId="0" borderId="4" xfId="0" applyNumberFormat="1" applyFont="1" applyBorder="1"/>
    <xf numFmtId="0" fontId="59" fillId="4" borderId="38" xfId="0" applyFont="1" applyFill="1" applyBorder="1"/>
    <xf numFmtId="3" fontId="59" fillId="4" borderId="38" xfId="0" applyNumberFormat="1" applyFont="1" applyFill="1" applyBorder="1"/>
    <xf numFmtId="3" fontId="59" fillId="4" borderId="0" xfId="0" applyNumberFormat="1" applyFont="1" applyFill="1"/>
    <xf numFmtId="2" fontId="60" fillId="0" borderId="36" xfId="0" applyNumberFormat="1" applyFont="1" applyBorder="1"/>
    <xf numFmtId="3" fontId="59" fillId="4" borderId="69" xfId="0" applyNumberFormat="1" applyFont="1" applyFill="1" applyBorder="1"/>
    <xf numFmtId="3" fontId="60" fillId="0" borderId="36" xfId="0" applyNumberFormat="1" applyFont="1" applyBorder="1"/>
    <xf numFmtId="168" fontId="59" fillId="4" borderId="38" xfId="0" applyNumberFormat="1" applyFont="1" applyFill="1" applyBorder="1"/>
    <xf numFmtId="168" fontId="59" fillId="4" borderId="0" xfId="0" applyNumberFormat="1" applyFont="1" applyFill="1"/>
    <xf numFmtId="0" fontId="59" fillId="4" borderId="51" xfId="0" applyFont="1" applyFill="1" applyBorder="1"/>
    <xf numFmtId="168" fontId="59" fillId="4" borderId="51" xfId="0" applyNumberFormat="1" applyFont="1" applyFill="1" applyBorder="1"/>
    <xf numFmtId="168" fontId="59" fillId="4" borderId="45" xfId="0" applyNumberFormat="1" applyFont="1" applyFill="1" applyBorder="1"/>
    <xf numFmtId="2" fontId="60" fillId="0" borderId="53" xfId="0" applyNumberFormat="1" applyFont="1" applyBorder="1"/>
    <xf numFmtId="0" fontId="59" fillId="31" borderId="78" xfId="0" applyFont="1" applyFill="1" applyBorder="1"/>
    <xf numFmtId="3" fontId="59" fillId="31" borderId="78" xfId="0" applyNumberFormat="1" applyFont="1" applyFill="1" applyBorder="1"/>
    <xf numFmtId="3" fontId="60" fillId="0" borderId="4" xfId="0" applyNumberFormat="1" applyFont="1" applyBorder="1"/>
    <xf numFmtId="0" fontId="59" fillId="31" borderId="38" xfId="0" applyFont="1" applyFill="1" applyBorder="1"/>
    <xf numFmtId="3" fontId="59" fillId="31" borderId="38" xfId="0" applyNumberFormat="1" applyFont="1" applyFill="1" applyBorder="1"/>
    <xf numFmtId="3" fontId="59" fillId="31" borderId="0" xfId="0" applyNumberFormat="1" applyFont="1" applyFill="1"/>
    <xf numFmtId="3" fontId="59" fillId="0" borderId="36" xfId="0" applyNumberFormat="1" applyFont="1" applyBorder="1"/>
    <xf numFmtId="168" fontId="59" fillId="31" borderId="38" xfId="0" applyNumberFormat="1" applyFont="1" applyFill="1" applyBorder="1"/>
    <xf numFmtId="168" fontId="59" fillId="31" borderId="0" xfId="0" applyNumberFormat="1" applyFont="1" applyFill="1"/>
    <xf numFmtId="0" fontId="59" fillId="31" borderId="25" xfId="0" applyFont="1" applyFill="1" applyBorder="1"/>
    <xf numFmtId="168" fontId="59" fillId="31" borderId="25" xfId="0" applyNumberFormat="1" applyFont="1" applyFill="1" applyBorder="1"/>
    <xf numFmtId="168" fontId="59" fillId="31" borderId="47" xfId="0" applyNumberFormat="1" applyFont="1" applyFill="1" applyBorder="1"/>
    <xf numFmtId="3" fontId="60" fillId="0" borderId="53" xfId="0" applyNumberFormat="1" applyFont="1" applyBorder="1"/>
    <xf numFmtId="0" fontId="59" fillId="31" borderId="24" xfId="0" applyFont="1" applyFill="1" applyBorder="1"/>
    <xf numFmtId="3" fontId="59" fillId="31" borderId="24" xfId="0" applyNumberFormat="1" applyFont="1" applyFill="1" applyBorder="1"/>
    <xf numFmtId="3" fontId="60" fillId="0" borderId="62" xfId="0" applyNumberFormat="1" applyFont="1" applyBorder="1"/>
    <xf numFmtId="0" fontId="59" fillId="0" borderId="62" xfId="0" applyFont="1" applyBorder="1"/>
    <xf numFmtId="0" fontId="61" fillId="27" borderId="2" xfId="0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/>
    </xf>
    <xf numFmtId="0" fontId="62" fillId="27" borderId="5" xfId="0" applyFont="1" applyFill="1" applyBorder="1"/>
    <xf numFmtId="3" fontId="62" fillId="27" borderId="5" xfId="0" applyNumberFormat="1" applyFont="1" applyFill="1" applyBorder="1"/>
    <xf numFmtId="3" fontId="62" fillId="27" borderId="56" xfId="0" applyNumberFormat="1" applyFont="1" applyFill="1" applyBorder="1"/>
    <xf numFmtId="3" fontId="60" fillId="31" borderId="36" xfId="0" applyNumberFormat="1" applyFont="1" applyFill="1" applyBorder="1" applyAlignment="1">
      <alignment horizontal="center" vertical="center"/>
    </xf>
    <xf numFmtId="0" fontId="63" fillId="29" borderId="38" xfId="0" applyFont="1" applyFill="1" applyBorder="1"/>
    <xf numFmtId="1" fontId="63" fillId="29" borderId="38" xfId="0" applyNumberFormat="1" applyFont="1" applyFill="1" applyBorder="1"/>
    <xf numFmtId="0" fontId="59" fillId="29" borderId="4" xfId="0" applyFont="1" applyFill="1" applyBorder="1"/>
    <xf numFmtId="1" fontId="63" fillId="29" borderId="0" xfId="0" applyNumberFormat="1" applyFont="1" applyFill="1"/>
    <xf numFmtId="0" fontId="59" fillId="29" borderId="36" xfId="0" applyFont="1" applyFill="1" applyBorder="1"/>
    <xf numFmtId="1" fontId="63" fillId="29" borderId="69" xfId="0" applyNumberFormat="1" applyFont="1" applyFill="1" applyBorder="1"/>
    <xf numFmtId="168" fontId="63" fillId="29" borderId="38" xfId="0" applyNumberFormat="1" applyFont="1" applyFill="1" applyBorder="1"/>
    <xf numFmtId="168" fontId="63" fillId="29" borderId="0" xfId="0" applyNumberFormat="1" applyFont="1" applyFill="1"/>
    <xf numFmtId="168" fontId="63" fillId="29" borderId="69" xfId="0" applyNumberFormat="1" applyFont="1" applyFill="1" applyBorder="1"/>
    <xf numFmtId="168" fontId="59" fillId="0" borderId="0" xfId="0" applyNumberFormat="1" applyFont="1"/>
    <xf numFmtId="168" fontId="59" fillId="29" borderId="53" xfId="0" applyNumberFormat="1" applyFont="1" applyFill="1" applyBorder="1"/>
    <xf numFmtId="0" fontId="63" fillId="7" borderId="78" xfId="0" applyFont="1" applyFill="1" applyBorder="1"/>
    <xf numFmtId="3" fontId="63" fillId="7" borderId="78" xfId="0" applyNumberFormat="1" applyFont="1" applyFill="1" applyBorder="1"/>
    <xf numFmtId="3" fontId="63" fillId="7" borderId="79" xfId="0" applyNumberFormat="1" applyFont="1" applyFill="1" applyBorder="1"/>
    <xf numFmtId="0" fontId="63" fillId="7" borderId="38" xfId="0" applyFont="1" applyFill="1" applyBorder="1"/>
    <xf numFmtId="3" fontId="63" fillId="7" borderId="38" xfId="0" applyNumberFormat="1" applyFont="1" applyFill="1" applyBorder="1"/>
    <xf numFmtId="3" fontId="63" fillId="7" borderId="39" xfId="0" applyNumberFormat="1" applyFont="1" applyFill="1" applyBorder="1"/>
    <xf numFmtId="3" fontId="63" fillId="7" borderId="61" xfId="0" applyNumberFormat="1" applyFont="1" applyFill="1" applyBorder="1"/>
    <xf numFmtId="168" fontId="63" fillId="7" borderId="38" xfId="0" applyNumberFormat="1" applyFont="1" applyFill="1" applyBorder="1"/>
    <xf numFmtId="168" fontId="63" fillId="7" borderId="39" xfId="0" applyNumberFormat="1" applyFont="1" applyFill="1" applyBorder="1"/>
    <xf numFmtId="0" fontId="63" fillId="7" borderId="25" xfId="0" applyFont="1" applyFill="1" applyBorder="1"/>
    <xf numFmtId="168" fontId="63" fillId="7" borderId="25" xfId="0" applyNumberFormat="1" applyFont="1" applyFill="1" applyBorder="1"/>
    <xf numFmtId="168" fontId="63" fillId="7" borderId="7" xfId="0" applyNumberFormat="1" applyFont="1" applyFill="1" applyBorder="1"/>
    <xf numFmtId="0" fontId="63" fillId="7" borderId="24" xfId="0" applyFont="1" applyFill="1" applyBorder="1"/>
    <xf numFmtId="0" fontId="59" fillId="0" borderId="57" xfId="0" applyFont="1" applyBorder="1"/>
    <xf numFmtId="3" fontId="59" fillId="7" borderId="42" xfId="0" applyNumberFormat="1" applyFont="1" applyFill="1" applyBorder="1"/>
    <xf numFmtId="1" fontId="59" fillId="7" borderId="23" xfId="0" applyNumberFormat="1" applyFont="1" applyFill="1" applyBorder="1"/>
    <xf numFmtId="3" fontId="60" fillId="7" borderId="21" xfId="0" applyNumberFormat="1" applyFont="1" applyFill="1" applyBorder="1"/>
    <xf numFmtId="0" fontId="60" fillId="0" borderId="0" xfId="0" applyFont="1"/>
    <xf numFmtId="0" fontId="63" fillId="7" borderId="51" xfId="0" applyFont="1" applyFill="1" applyBorder="1"/>
    <xf numFmtId="168" fontId="63" fillId="7" borderId="51" xfId="0" applyNumberFormat="1" applyFont="1" applyFill="1" applyBorder="1"/>
    <xf numFmtId="168" fontId="63" fillId="7" borderId="68" xfId="0" applyNumberFormat="1" applyFont="1" applyFill="1" applyBorder="1"/>
    <xf numFmtId="3" fontId="59" fillId="7" borderId="48" xfId="0" applyNumberFormat="1" applyFont="1" applyFill="1" applyBorder="1" applyAlignment="1">
      <alignment horizontal="left" wrapText="1"/>
    </xf>
    <xf numFmtId="174" fontId="59" fillId="7" borderId="37" xfId="0" applyNumberFormat="1" applyFont="1" applyFill="1" applyBorder="1" applyAlignment="1">
      <alignment horizontal="right" wrapText="1"/>
    </xf>
    <xf numFmtId="174" fontId="59" fillId="7" borderId="33" xfId="0" applyNumberFormat="1" applyFont="1" applyFill="1" applyBorder="1" applyAlignment="1">
      <alignment horizontal="right" wrapText="1"/>
    </xf>
    <xf numFmtId="1" fontId="59" fillId="7" borderId="21" xfId="0" applyNumberFormat="1" applyFont="1" applyFill="1" applyBorder="1"/>
    <xf numFmtId="0" fontId="63" fillId="28" borderId="78" xfId="0" applyFont="1" applyFill="1" applyBorder="1"/>
    <xf numFmtId="3" fontId="63" fillId="28" borderId="78" xfId="0" applyNumberFormat="1" applyFont="1" applyFill="1" applyBorder="1"/>
    <xf numFmtId="0" fontId="59" fillId="0" borderId="4" xfId="0" applyFont="1" applyBorder="1"/>
    <xf numFmtId="0" fontId="63" fillId="28" borderId="38" xfId="0" applyFont="1" applyFill="1" applyBorder="1"/>
    <xf numFmtId="3" fontId="63" fillId="28" borderId="38" xfId="0" applyNumberFormat="1" applyFont="1" applyFill="1" applyBorder="1"/>
    <xf numFmtId="3" fontId="63" fillId="28" borderId="39" xfId="0" applyNumberFormat="1" applyFont="1" applyFill="1" applyBorder="1"/>
    <xf numFmtId="0" fontId="59" fillId="0" borderId="36" xfId="0" applyFont="1" applyBorder="1"/>
    <xf numFmtId="3" fontId="63" fillId="28" borderId="61" xfId="0" applyNumberFormat="1" applyFont="1" applyFill="1" applyBorder="1"/>
    <xf numFmtId="168" fontId="63" fillId="28" borderId="38" xfId="0" applyNumberFormat="1" applyFont="1" applyFill="1" applyBorder="1"/>
    <xf numFmtId="168" fontId="63" fillId="28" borderId="39" xfId="0" applyNumberFormat="1" applyFont="1" applyFill="1" applyBorder="1"/>
    <xf numFmtId="0" fontId="63" fillId="28" borderId="25" xfId="0" applyFont="1" applyFill="1" applyBorder="1"/>
    <xf numFmtId="168" fontId="63" fillId="28" borderId="25" xfId="0" applyNumberFormat="1" applyFont="1" applyFill="1" applyBorder="1"/>
    <xf numFmtId="168" fontId="63" fillId="28" borderId="7" xfId="0" applyNumberFormat="1" applyFont="1" applyFill="1" applyBorder="1"/>
    <xf numFmtId="0" fontId="63" fillId="28" borderId="24" xfId="0" applyFont="1" applyFill="1" applyBorder="1"/>
    <xf numFmtId="0" fontId="63" fillId="28" borderId="41" xfId="0" applyFont="1" applyFill="1" applyBorder="1" applyAlignment="1">
      <alignment horizontal="center" vertical="center" wrapText="1"/>
    </xf>
    <xf numFmtId="3" fontId="59" fillId="18" borderId="21" xfId="0" applyNumberFormat="1" applyFont="1" applyFill="1" applyBorder="1" applyAlignment="1">
      <alignment vertical="center"/>
    </xf>
    <xf numFmtId="1" fontId="59" fillId="18" borderId="14" xfId="0" applyNumberFormat="1" applyFont="1" applyFill="1" applyBorder="1" applyAlignment="1">
      <alignment vertical="center"/>
    </xf>
    <xf numFmtId="1" fontId="59" fillId="18" borderId="43" xfId="0" applyNumberFormat="1" applyFont="1" applyFill="1" applyBorder="1" applyAlignment="1">
      <alignment vertical="center"/>
    </xf>
    <xf numFmtId="3" fontId="60" fillId="18" borderId="21" xfId="0" applyNumberFormat="1" applyFont="1" applyFill="1" applyBorder="1"/>
    <xf numFmtId="0" fontId="63" fillId="28" borderId="54" xfId="0" applyFont="1" applyFill="1" applyBorder="1" applyAlignment="1">
      <alignment horizontal="center" vertical="center" wrapText="1"/>
    </xf>
    <xf numFmtId="0" fontId="63" fillId="28" borderId="51" xfId="0" applyFont="1" applyFill="1" applyBorder="1"/>
    <xf numFmtId="168" fontId="63" fillId="28" borderId="51" xfId="0" applyNumberFormat="1" applyFont="1" applyFill="1" applyBorder="1"/>
    <xf numFmtId="168" fontId="63" fillId="28" borderId="68" xfId="0" applyNumberFormat="1" applyFont="1" applyFill="1" applyBorder="1"/>
    <xf numFmtId="0" fontId="59" fillId="0" borderId="53" xfId="0" applyFont="1" applyBorder="1"/>
    <xf numFmtId="3" fontId="60" fillId="18" borderId="48" xfId="0" applyNumberFormat="1" applyFont="1" applyFill="1" applyBorder="1" applyAlignment="1">
      <alignment vertical="center" wrapText="1"/>
    </xf>
    <xf numFmtId="4" fontId="60" fillId="18" borderId="37" xfId="0" applyNumberFormat="1" applyFont="1" applyFill="1" applyBorder="1" applyAlignment="1">
      <alignment vertical="center" wrapText="1"/>
    </xf>
    <xf numFmtId="4" fontId="60" fillId="18" borderId="33" xfId="0" applyNumberFormat="1" applyFont="1" applyFill="1" applyBorder="1" applyAlignment="1">
      <alignment vertical="center" wrapText="1"/>
    </xf>
    <xf numFmtId="4" fontId="59" fillId="18" borderId="21" xfId="0" applyNumberFormat="1" applyFont="1" applyFill="1" applyBorder="1"/>
    <xf numFmtId="0" fontId="60" fillId="0" borderId="45" xfId="0" applyFont="1" applyBorder="1" applyAlignment="1">
      <alignment vertical="center"/>
    </xf>
    <xf numFmtId="0" fontId="61" fillId="27" borderId="3" xfId="0" applyFont="1" applyFill="1" applyBorder="1" applyAlignment="1">
      <alignment horizontal="center" vertical="center" wrapText="1"/>
    </xf>
    <xf numFmtId="0" fontId="59" fillId="0" borderId="3" xfId="0" applyFont="1" applyBorder="1"/>
    <xf numFmtId="3" fontId="60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/>
    <xf numFmtId="0" fontId="60" fillId="0" borderId="0" xfId="0" applyFont="1" applyAlignment="1">
      <alignment vertical="center"/>
    </xf>
    <xf numFmtId="0" fontId="61" fillId="27" borderId="4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78" xfId="0" applyFont="1" applyFill="1" applyBorder="1"/>
    <xf numFmtId="3" fontId="62" fillId="27" borderId="78" xfId="0" applyNumberFormat="1" applyFont="1" applyFill="1" applyBorder="1"/>
    <xf numFmtId="3" fontId="59" fillId="28" borderId="78" xfId="0" applyNumberFormat="1" applyFont="1" applyFill="1" applyBorder="1"/>
    <xf numFmtId="3" fontId="59" fillId="28" borderId="38" xfId="0" applyNumberFormat="1" applyFont="1" applyFill="1" applyBorder="1"/>
    <xf numFmtId="3" fontId="59" fillId="28" borderId="39" xfId="0" applyNumberFormat="1" applyFont="1" applyFill="1" applyBorder="1"/>
    <xf numFmtId="3" fontId="59" fillId="28" borderId="61" xfId="0" applyNumberFormat="1" applyFont="1" applyFill="1" applyBorder="1"/>
    <xf numFmtId="168" fontId="59" fillId="28" borderId="38" xfId="0" applyNumberFormat="1" applyFont="1" applyFill="1" applyBorder="1"/>
    <xf numFmtId="168" fontId="59" fillId="28" borderId="39" xfId="0" applyNumberFormat="1" applyFont="1" applyFill="1" applyBorder="1"/>
    <xf numFmtId="168" fontId="59" fillId="28" borderId="51" xfId="0" applyNumberFormat="1" applyFont="1" applyFill="1" applyBorder="1"/>
    <xf numFmtId="168" fontId="59" fillId="28" borderId="28" xfId="0" applyNumberFormat="1" applyFont="1" applyFill="1" applyBorder="1"/>
    <xf numFmtId="0" fontId="63" fillId="11" borderId="78" xfId="0" applyFont="1" applyFill="1" applyBorder="1"/>
    <xf numFmtId="3" fontId="59" fillId="11" borderId="78" xfId="0" applyNumberFormat="1" applyFont="1" applyFill="1" applyBorder="1"/>
    <xf numFmtId="0" fontId="63" fillId="11" borderId="38" xfId="0" applyFont="1" applyFill="1" applyBorder="1"/>
    <xf numFmtId="3" fontId="59" fillId="11" borderId="38" xfId="0" applyNumberFormat="1" applyFont="1" applyFill="1" applyBorder="1"/>
    <xf numFmtId="3" fontId="59" fillId="11" borderId="39" xfId="0" applyNumberFormat="1" applyFont="1" applyFill="1" applyBorder="1"/>
    <xf numFmtId="3" fontId="59" fillId="11" borderId="61" xfId="0" applyNumberFormat="1" applyFont="1" applyFill="1" applyBorder="1"/>
    <xf numFmtId="168" fontId="59" fillId="11" borderId="38" xfId="0" applyNumberFormat="1" applyFont="1" applyFill="1" applyBorder="1"/>
    <xf numFmtId="168" fontId="59" fillId="11" borderId="39" xfId="0" applyNumberFormat="1" applyFont="1" applyFill="1" applyBorder="1"/>
    <xf numFmtId="0" fontId="63" fillId="11" borderId="51" xfId="0" applyFont="1" applyFill="1" applyBorder="1"/>
    <xf numFmtId="168" fontId="59" fillId="11" borderId="51" xfId="0" applyNumberFormat="1" applyFont="1" applyFill="1" applyBorder="1"/>
    <xf numFmtId="168" fontId="59" fillId="11" borderId="28" xfId="0" applyNumberFormat="1" applyFont="1" applyFill="1" applyBorder="1"/>
    <xf numFmtId="0" fontId="63" fillId="31" borderId="78" xfId="0" applyFont="1" applyFill="1" applyBorder="1"/>
    <xf numFmtId="3" fontId="59" fillId="31" borderId="67" xfId="0" applyNumberFormat="1" applyFont="1" applyFill="1" applyBorder="1"/>
    <xf numFmtId="0" fontId="63" fillId="31" borderId="38" xfId="0" applyFont="1" applyFill="1" applyBorder="1"/>
    <xf numFmtId="3" fontId="59" fillId="31" borderId="39" xfId="0" applyNumberFormat="1" applyFont="1" applyFill="1" applyBorder="1"/>
    <xf numFmtId="3" fontId="59" fillId="31" borderId="61" xfId="0" applyNumberFormat="1" applyFont="1" applyFill="1" applyBorder="1"/>
    <xf numFmtId="168" fontId="59" fillId="31" borderId="61" xfId="0" applyNumberFormat="1" applyFont="1" applyFill="1" applyBorder="1"/>
    <xf numFmtId="0" fontId="63" fillId="31" borderId="51" xfId="0" applyFont="1" applyFill="1" applyBorder="1"/>
    <xf numFmtId="168" fontId="59" fillId="31" borderId="51" xfId="0" applyNumberFormat="1" applyFont="1" applyFill="1" applyBorder="1"/>
    <xf numFmtId="168" fontId="59" fillId="31" borderId="28" xfId="0" applyNumberFormat="1" applyFont="1" applyFill="1" applyBorder="1"/>
    <xf numFmtId="0" fontId="59" fillId="30" borderId="63" xfId="0" applyFont="1" applyFill="1" applyBorder="1"/>
    <xf numFmtId="0" fontId="63" fillId="30" borderId="78" xfId="0" applyFont="1" applyFill="1" applyBorder="1"/>
    <xf numFmtId="1" fontId="59" fillId="30" borderId="78" xfId="0" applyNumberFormat="1" applyFont="1" applyFill="1" applyBorder="1"/>
    <xf numFmtId="0" fontId="59" fillId="30" borderId="59" xfId="0" applyFont="1" applyFill="1" applyBorder="1"/>
    <xf numFmtId="0" fontId="63" fillId="30" borderId="38" xfId="0" applyFont="1" applyFill="1" applyBorder="1"/>
    <xf numFmtId="1" fontId="59" fillId="30" borderId="38" xfId="0" applyNumberFormat="1" applyFont="1" applyFill="1" applyBorder="1"/>
    <xf numFmtId="1" fontId="59" fillId="30" borderId="61" xfId="0" applyNumberFormat="1" applyFont="1" applyFill="1" applyBorder="1"/>
    <xf numFmtId="0" fontId="59" fillId="30" borderId="17" xfId="0" applyFont="1" applyFill="1" applyBorder="1"/>
    <xf numFmtId="0" fontId="63" fillId="30" borderId="25" xfId="0" applyFont="1" applyFill="1" applyBorder="1"/>
    <xf numFmtId="1" fontId="59" fillId="30" borderId="25" xfId="0" applyNumberFormat="1" applyFont="1" applyFill="1" applyBorder="1"/>
    <xf numFmtId="1" fontId="59" fillId="30" borderId="27" xfId="0" applyNumberFormat="1" applyFont="1" applyFill="1" applyBorder="1"/>
    <xf numFmtId="0" fontId="59" fillId="16" borderId="73" xfId="0" applyFont="1" applyFill="1" applyBorder="1"/>
    <xf numFmtId="0" fontId="63" fillId="16" borderId="24" xfId="0" applyFont="1" applyFill="1" applyBorder="1"/>
    <xf numFmtId="1" fontId="59" fillId="16" borderId="38" xfId="0" applyNumberFormat="1" applyFont="1" applyFill="1" applyBorder="1"/>
    <xf numFmtId="0" fontId="59" fillId="16" borderId="59" xfId="0" applyFont="1" applyFill="1" applyBorder="1"/>
    <xf numFmtId="0" fontId="63" fillId="16" borderId="38" xfId="0" applyFont="1" applyFill="1" applyBorder="1"/>
    <xf numFmtId="1" fontId="59" fillId="16" borderId="61" xfId="0" applyNumberFormat="1" applyFont="1" applyFill="1" applyBorder="1"/>
    <xf numFmtId="0" fontId="59" fillId="16" borderId="17" xfId="0" applyFont="1" applyFill="1" applyBorder="1"/>
    <xf numFmtId="0" fontId="63" fillId="16" borderId="25" xfId="0" applyFont="1" applyFill="1" applyBorder="1"/>
    <xf numFmtId="1" fontId="59" fillId="16" borderId="25" xfId="0" applyNumberFormat="1" applyFont="1" applyFill="1" applyBorder="1"/>
    <xf numFmtId="1" fontId="59" fillId="16" borderId="27" xfId="0" applyNumberFormat="1" applyFont="1" applyFill="1" applyBorder="1"/>
    <xf numFmtId="0" fontId="63" fillId="33" borderId="24" xfId="0" applyFont="1" applyFill="1" applyBorder="1"/>
    <xf numFmtId="1" fontId="59" fillId="33" borderId="24" xfId="0" applyNumberFormat="1" applyFont="1" applyFill="1" applyBorder="1"/>
    <xf numFmtId="0" fontId="63" fillId="33" borderId="38" xfId="0" applyFont="1" applyFill="1" applyBorder="1"/>
    <xf numFmtId="1" fontId="59" fillId="33" borderId="38" xfId="0" applyNumberFormat="1" applyFont="1" applyFill="1" applyBorder="1"/>
    <xf numFmtId="1" fontId="59" fillId="33" borderId="39" xfId="0" applyNumberFormat="1" applyFont="1" applyFill="1" applyBorder="1"/>
    <xf numFmtId="0" fontId="63" fillId="33" borderId="51" xfId="0" applyFont="1" applyFill="1" applyBorder="1"/>
    <xf numFmtId="1" fontId="59" fillId="33" borderId="51" xfId="0" applyNumberFormat="1" applyFont="1" applyFill="1" applyBorder="1"/>
    <xf numFmtId="1" fontId="59" fillId="33" borderId="28" xfId="0" applyNumberFormat="1" applyFont="1" applyFill="1" applyBorder="1"/>
    <xf numFmtId="0" fontId="27" fillId="0" borderId="14" xfId="0" applyFont="1" applyBorder="1"/>
    <xf numFmtId="168" fontId="62" fillId="0" borderId="0" xfId="0" applyNumberFormat="1" applyFont="1"/>
    <xf numFmtId="3" fontId="60" fillId="0" borderId="0" xfId="0" applyNumberFormat="1" applyFont="1"/>
    <xf numFmtId="170" fontId="44" fillId="0" borderId="46" xfId="0" applyNumberFormat="1" applyFont="1" applyBorder="1" applyAlignment="1">
      <alignment horizontal="center"/>
    </xf>
    <xf numFmtId="9" fontId="34" fillId="0" borderId="46" xfId="8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3" fontId="32" fillId="0" borderId="34" xfId="0" applyNumberFormat="1" applyFont="1" applyBorder="1"/>
    <xf numFmtId="3" fontId="32" fillId="0" borderId="48" xfId="0" applyNumberFormat="1" applyFont="1" applyBorder="1" applyAlignment="1">
      <alignment horizontal="center"/>
    </xf>
    <xf numFmtId="3" fontId="36" fillId="0" borderId="49" xfId="0" applyNumberFormat="1" applyFont="1" applyBorder="1" applyAlignment="1">
      <alignment horizontal="center"/>
    </xf>
    <xf numFmtId="3" fontId="32" fillId="0" borderId="40" xfId="0" applyNumberFormat="1" applyFont="1" applyBorder="1" applyAlignment="1">
      <alignment horizontal="center"/>
    </xf>
    <xf numFmtId="3" fontId="36" fillId="0" borderId="33" xfId="0" applyNumberFormat="1" applyFont="1" applyBorder="1" applyAlignment="1">
      <alignment horizontal="center"/>
    </xf>
    <xf numFmtId="3" fontId="32" fillId="0" borderId="10" xfId="0" applyNumberFormat="1" applyFont="1" applyBorder="1"/>
    <xf numFmtId="3" fontId="36" fillId="0" borderId="27" xfId="0" applyNumberFormat="1" applyFont="1" applyBorder="1"/>
    <xf numFmtId="3" fontId="32" fillId="0" borderId="11" xfId="0" applyNumberFormat="1" applyFont="1" applyBorder="1"/>
    <xf numFmtId="3" fontId="32" fillId="0" borderId="12" xfId="0" applyNumberFormat="1" applyFont="1" applyBorder="1"/>
    <xf numFmtId="3" fontId="36" fillId="0" borderId="66" xfId="0" applyNumberFormat="1" applyFont="1" applyBorder="1"/>
    <xf numFmtId="0" fontId="53" fillId="0" borderId="0" xfId="0" applyFont="1"/>
    <xf numFmtId="3" fontId="53" fillId="0" borderId="0" xfId="0" applyNumberFormat="1" applyFont="1"/>
    <xf numFmtId="49" fontId="34" fillId="0" borderId="16" xfId="0" applyNumberFormat="1" applyFont="1" applyBorder="1" applyAlignment="1">
      <alignment horizontal="center"/>
    </xf>
    <xf numFmtId="0" fontId="40" fillId="3" borderId="25" xfId="0" applyFont="1" applyFill="1" applyBorder="1" applyAlignment="1">
      <alignment horizontal="center"/>
    </xf>
    <xf numFmtId="0" fontId="40" fillId="3" borderId="7" xfId="0" applyFont="1" applyFill="1" applyBorder="1" applyAlignment="1">
      <alignment wrapText="1"/>
    </xf>
    <xf numFmtId="3" fontId="43" fillId="0" borderId="11" xfId="0" applyNumberFormat="1" applyFont="1" applyBorder="1"/>
    <xf numFmtId="172" fontId="43" fillId="0" borderId="11" xfId="0" applyNumberFormat="1" applyFont="1" applyBorder="1" applyAlignment="1">
      <alignment horizontal="right"/>
    </xf>
    <xf numFmtId="3" fontId="40" fillId="0" borderId="19" xfId="0" applyNumberFormat="1" applyFont="1" applyBorder="1"/>
    <xf numFmtId="3" fontId="40" fillId="0" borderId="70" xfId="0" applyNumberFormat="1" applyFont="1" applyBorder="1"/>
    <xf numFmtId="3" fontId="40" fillId="0" borderId="14" xfId="0" applyNumberFormat="1" applyFont="1" applyBorder="1"/>
    <xf numFmtId="3" fontId="40" fillId="0" borderId="21" xfId="0" applyNumberFormat="1" applyFont="1" applyBorder="1"/>
    <xf numFmtId="3" fontId="40" fillId="6" borderId="58" xfId="0" applyNumberFormat="1" applyFont="1" applyFill="1" applyBorder="1"/>
    <xf numFmtId="3" fontId="40" fillId="0" borderId="8" xfId="0" applyNumberFormat="1" applyFont="1" applyBorder="1"/>
    <xf numFmtId="0" fontId="32" fillId="0" borderId="18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3" fontId="43" fillId="0" borderId="3" xfId="0" applyNumberFormat="1" applyFont="1" applyBorder="1"/>
    <xf numFmtId="3" fontId="43" fillId="0" borderId="22" xfId="0" applyNumberFormat="1" applyFont="1" applyBorder="1"/>
    <xf numFmtId="3" fontId="43" fillId="0" borderId="50" xfId="0" applyNumberFormat="1" applyFont="1" applyBorder="1"/>
    <xf numFmtId="3" fontId="43" fillId="0" borderId="1" xfId="0" applyNumberFormat="1" applyFont="1" applyBorder="1"/>
    <xf numFmtId="3" fontId="43" fillId="0" borderId="56" xfId="0" applyNumberFormat="1" applyFont="1" applyBorder="1"/>
    <xf numFmtId="9" fontId="36" fillId="0" borderId="0" xfId="8" applyFont="1"/>
    <xf numFmtId="0" fontId="34" fillId="0" borderId="0" xfId="5" applyFont="1"/>
    <xf numFmtId="0" fontId="36" fillId="14" borderId="40" xfId="0" applyFont="1" applyFill="1" applyBorder="1"/>
    <xf numFmtId="0" fontId="36" fillId="14" borderId="37" xfId="0" applyFont="1" applyFill="1" applyBorder="1" applyAlignment="1">
      <alignment horizontal="right" indent="5"/>
    </xf>
    <xf numFmtId="169" fontId="36" fillId="14" borderId="37" xfId="0" applyNumberFormat="1" applyFont="1" applyFill="1" applyBorder="1" applyAlignment="1">
      <alignment horizontal="right" indent="1"/>
    </xf>
    <xf numFmtId="169" fontId="36" fillId="14" borderId="51" xfId="0" applyNumberFormat="1" applyFont="1" applyFill="1" applyBorder="1" applyAlignment="1">
      <alignment horizontal="right" indent="1"/>
    </xf>
    <xf numFmtId="0" fontId="36" fillId="14" borderId="37" xfId="0" applyFont="1" applyFill="1" applyBorder="1" applyAlignment="1">
      <alignment horizontal="center"/>
    </xf>
    <xf numFmtId="0" fontId="36" fillId="14" borderId="34" xfId="0" applyFont="1" applyFill="1" applyBorder="1"/>
    <xf numFmtId="0" fontId="36" fillId="5" borderId="0" xfId="0" applyFont="1" applyFill="1"/>
    <xf numFmtId="0" fontId="36" fillId="14" borderId="23" xfId="0" applyFont="1" applyFill="1" applyBorder="1" applyAlignment="1">
      <alignment wrapText="1"/>
    </xf>
    <xf numFmtId="0" fontId="36" fillId="14" borderId="25" xfId="0" applyFont="1" applyFill="1" applyBorder="1" applyAlignment="1">
      <alignment horizontal="right" indent="5"/>
    </xf>
    <xf numFmtId="169" fontId="36" fillId="14" borderId="25" xfId="0" applyNumberFormat="1" applyFont="1" applyFill="1" applyBorder="1" applyAlignment="1">
      <alignment horizontal="right" indent="1"/>
    </xf>
    <xf numFmtId="169" fontId="36" fillId="4" borderId="25" xfId="0" applyNumberFormat="1" applyFont="1" applyFill="1" applyBorder="1" applyAlignment="1">
      <alignment horizontal="right" indent="1"/>
    </xf>
    <xf numFmtId="0" fontId="36" fillId="14" borderId="25" xfId="0" applyFont="1" applyFill="1" applyBorder="1" applyAlignment="1">
      <alignment horizontal="center"/>
    </xf>
    <xf numFmtId="0" fontId="36" fillId="14" borderId="10" xfId="0" applyFont="1" applyFill="1" applyBorder="1"/>
    <xf numFmtId="0" fontId="37" fillId="5" borderId="0" xfId="0" applyFont="1" applyFill="1"/>
    <xf numFmtId="0" fontId="52" fillId="5" borderId="0" xfId="0" applyFont="1" applyFill="1"/>
    <xf numFmtId="4" fontId="40" fillId="0" borderId="0" xfId="0" applyNumberFormat="1" applyFont="1"/>
    <xf numFmtId="0" fontId="48" fillId="0" borderId="0" xfId="0" applyFont="1"/>
    <xf numFmtId="0" fontId="48" fillId="0" borderId="0" xfId="0" applyFont="1" applyAlignment="1">
      <alignment horizontal="center"/>
    </xf>
    <xf numFmtId="167" fontId="48" fillId="0" borderId="0" xfId="8" applyNumberFormat="1" applyFont="1"/>
    <xf numFmtId="49" fontId="48" fillId="0" borderId="0" xfId="0" applyNumberFormat="1" applyFont="1"/>
    <xf numFmtId="0" fontId="32" fillId="0" borderId="25" xfId="0" applyFont="1" applyBorder="1" applyAlignment="1">
      <alignment horizontal="right"/>
    </xf>
    <xf numFmtId="0" fontId="36" fillId="0" borderId="59" xfId="0" applyFont="1" applyBorder="1"/>
    <xf numFmtId="0" fontId="32" fillId="0" borderId="59" xfId="0" applyFont="1" applyBorder="1"/>
    <xf numFmtId="0" fontId="40" fillId="0" borderId="59" xfId="0" applyFont="1" applyBorder="1"/>
    <xf numFmtId="3" fontId="32" fillId="0" borderId="33" xfId="0" applyNumberFormat="1" applyFont="1" applyBorder="1"/>
    <xf numFmtId="3" fontId="32" fillId="0" borderId="27" xfId="0" applyNumberFormat="1" applyFont="1" applyBorder="1"/>
    <xf numFmtId="0" fontId="34" fillId="0" borderId="59" xfId="0" applyFont="1" applyBorder="1"/>
    <xf numFmtId="0" fontId="32" fillId="0" borderId="59" xfId="0" applyFont="1" applyBorder="1" applyAlignment="1">
      <alignment vertical="center"/>
    </xf>
    <xf numFmtId="3" fontId="32" fillId="0" borderId="27" xfId="0" applyNumberFormat="1" applyFont="1" applyBorder="1" applyAlignment="1">
      <alignment vertical="center"/>
    </xf>
    <xf numFmtId="3" fontId="32" fillId="0" borderId="43" xfId="0" applyNumberFormat="1" applyFont="1" applyBorder="1" applyAlignment="1">
      <alignment vertical="center"/>
    </xf>
    <xf numFmtId="3" fontId="32" fillId="0" borderId="39" xfId="0" applyNumberFormat="1" applyFont="1" applyBorder="1"/>
    <xf numFmtId="0" fontId="43" fillId="0" borderId="80" xfId="0" applyFont="1" applyBorder="1"/>
    <xf numFmtId="0" fontId="43" fillId="0" borderId="80" xfId="0" applyFont="1" applyBorder="1" applyAlignment="1">
      <alignment horizontal="center"/>
    </xf>
    <xf numFmtId="3" fontId="43" fillId="0" borderId="80" xfId="0" applyNumberFormat="1" applyFont="1" applyBorder="1" applyAlignment="1">
      <alignment horizontal="center"/>
    </xf>
    <xf numFmtId="0" fontId="37" fillId="0" borderId="80" xfId="0" applyFont="1" applyBorder="1"/>
    <xf numFmtId="0" fontId="37" fillId="0" borderId="80" xfId="0" applyFont="1" applyBorder="1" applyAlignment="1">
      <alignment horizontal="center"/>
    </xf>
    <xf numFmtId="3" fontId="37" fillId="0" borderId="80" xfId="0" applyNumberFormat="1" applyFont="1" applyBorder="1"/>
    <xf numFmtId="10" fontId="37" fillId="0" borderId="80" xfId="8" applyNumberFormat="1" applyFont="1" applyBorder="1"/>
    <xf numFmtId="0" fontId="34" fillId="0" borderId="80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0" fontId="39" fillId="0" borderId="0" xfId="0" applyFont="1"/>
    <xf numFmtId="0" fontId="39" fillId="0" borderId="14" xfId="0" applyFont="1" applyBorder="1" applyAlignment="1">
      <alignment horizontal="center"/>
    </xf>
    <xf numFmtId="0" fontId="39" fillId="0" borderId="14" xfId="0" applyFont="1" applyBorder="1"/>
    <xf numFmtId="3" fontId="39" fillId="0" borderId="14" xfId="0" applyNumberFormat="1" applyFont="1" applyBorder="1"/>
    <xf numFmtId="3" fontId="39" fillId="0" borderId="14" xfId="0" applyNumberFormat="1" applyFont="1" applyBorder="1" applyAlignment="1">
      <alignment horizontal="right"/>
    </xf>
    <xf numFmtId="3" fontId="64" fillId="0" borderId="14" xfId="0" applyNumberFormat="1" applyFont="1" applyBorder="1"/>
    <xf numFmtId="0" fontId="65" fillId="0" borderId="14" xfId="0" applyFont="1" applyBorder="1" applyAlignment="1">
      <alignment horizontal="center"/>
    </xf>
    <xf numFmtId="0" fontId="65" fillId="0" borderId="14" xfId="0" applyFont="1" applyBorder="1"/>
    <xf numFmtId="3" fontId="65" fillId="0" borderId="14" xfId="0" applyNumberFormat="1" applyFont="1" applyBorder="1"/>
    <xf numFmtId="3" fontId="65" fillId="0" borderId="14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3" fontId="65" fillId="0" borderId="0" xfId="0" applyNumberFormat="1" applyFont="1"/>
    <xf numFmtId="0" fontId="65" fillId="0" borderId="0" xfId="0" applyFont="1"/>
    <xf numFmtId="3" fontId="39" fillId="4" borderId="14" xfId="0" applyNumberFormat="1" applyFont="1" applyFill="1" applyBorder="1"/>
    <xf numFmtId="0" fontId="39" fillId="0" borderId="0" xfId="0" applyFont="1" applyAlignment="1">
      <alignment horizontal="center"/>
    </xf>
    <xf numFmtId="0" fontId="66" fillId="0" borderId="14" xfId="0" applyFont="1" applyBorder="1" applyAlignment="1">
      <alignment horizontal="center"/>
    </xf>
    <xf numFmtId="3" fontId="65" fillId="4" borderId="0" xfId="0" applyNumberFormat="1" applyFont="1" applyFill="1"/>
    <xf numFmtId="3" fontId="66" fillId="0" borderId="14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4" xfId="0" applyFont="1" applyBorder="1"/>
    <xf numFmtId="3" fontId="52" fillId="0" borderId="14" xfId="0" applyNumberFormat="1" applyFont="1" applyBorder="1"/>
    <xf numFmtId="3" fontId="52" fillId="0" borderId="14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center"/>
    </xf>
    <xf numFmtId="3" fontId="52" fillId="4" borderId="0" xfId="0" applyNumberFormat="1" applyFont="1" applyFill="1"/>
    <xf numFmtId="0" fontId="52" fillId="0" borderId="0" xfId="0" applyFont="1"/>
    <xf numFmtId="9" fontId="52" fillId="0" borderId="0" xfId="0" applyNumberFormat="1" applyFont="1" applyAlignment="1">
      <alignment horizontal="center"/>
    </xf>
    <xf numFmtId="3" fontId="39" fillId="5" borderId="0" xfId="0" applyNumberFormat="1" applyFont="1" applyFill="1"/>
    <xf numFmtId="3" fontId="52" fillId="0" borderId="0" xfId="0" applyNumberFormat="1" applyFont="1"/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9" fillId="0" borderId="14" xfId="0" applyNumberFormat="1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5" borderId="0" xfId="0" applyNumberFormat="1" applyFont="1" applyFill="1"/>
    <xf numFmtId="0" fontId="68" fillId="0" borderId="0" xfId="0" applyFont="1"/>
    <xf numFmtId="3" fontId="68" fillId="0" borderId="0" xfId="0" applyNumberFormat="1" applyFont="1"/>
    <xf numFmtId="0" fontId="52" fillId="0" borderId="0" xfId="0" applyFont="1" applyAlignment="1">
      <alignment horizontal="center"/>
    </xf>
    <xf numFmtId="9" fontId="52" fillId="0" borderId="0" xfId="8" applyFont="1"/>
    <xf numFmtId="0" fontId="68" fillId="5" borderId="0" xfId="3" applyFont="1" applyFill="1"/>
    <xf numFmtId="164" fontId="68" fillId="5" borderId="0" xfId="1" applyFont="1" applyFill="1"/>
    <xf numFmtId="173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2" fillId="5" borderId="0" xfId="3" applyFont="1" applyFill="1"/>
    <xf numFmtId="0" fontId="39" fillId="23" borderId="0" xfId="3" applyFont="1" applyFill="1"/>
    <xf numFmtId="3" fontId="52" fillId="5" borderId="0" xfId="3" applyNumberFormat="1" applyFont="1" applyFill="1"/>
    <xf numFmtId="0" fontId="52" fillId="5" borderId="0" xfId="3" applyFont="1" applyFill="1" applyAlignment="1">
      <alignment horizontal="left"/>
    </xf>
    <xf numFmtId="3" fontId="68" fillId="5" borderId="0" xfId="3" applyNumberFormat="1" applyFont="1" applyFill="1"/>
    <xf numFmtId="0" fontId="52" fillId="23" borderId="0" xfId="3" applyFont="1" applyFill="1"/>
    <xf numFmtId="0" fontId="68" fillId="23" borderId="0" xfId="3" applyFont="1" applyFill="1"/>
    <xf numFmtId="3" fontId="39" fillId="5" borderId="0" xfId="3" applyNumberFormat="1" applyFont="1" applyFill="1"/>
    <xf numFmtId="3" fontId="39" fillId="23" borderId="0" xfId="3" applyNumberFormat="1" applyFont="1" applyFill="1"/>
    <xf numFmtId="0" fontId="39" fillId="5" borderId="0" xfId="0" applyFont="1" applyFill="1"/>
    <xf numFmtId="3" fontId="39" fillId="0" borderId="11" xfId="0" applyNumberFormat="1" applyFont="1" applyBorder="1"/>
    <xf numFmtId="3" fontId="67" fillId="22" borderId="0" xfId="0" applyNumberFormat="1" applyFont="1" applyFill="1" applyAlignment="1">
      <alignment horizontal="left" wrapText="1"/>
    </xf>
    <xf numFmtId="4" fontId="77" fillId="22" borderId="0" xfId="0" applyNumberFormat="1" applyFont="1" applyFill="1"/>
    <xf numFmtId="3" fontId="77" fillId="22" borderId="0" xfId="0" applyNumberFormat="1" applyFont="1" applyFill="1"/>
    <xf numFmtId="3" fontId="78" fillId="22" borderId="0" xfId="0" applyNumberFormat="1" applyFont="1" applyFill="1"/>
    <xf numFmtId="3" fontId="67" fillId="22" borderId="0" xfId="0" applyNumberFormat="1" applyFont="1" applyFill="1" applyAlignment="1">
      <alignment wrapText="1"/>
    </xf>
    <xf numFmtId="165" fontId="67" fillId="22" borderId="0" xfId="0" applyNumberFormat="1" applyFont="1" applyFill="1"/>
    <xf numFmtId="0" fontId="65" fillId="5" borderId="0" xfId="0" applyFont="1" applyFill="1"/>
    <xf numFmtId="3" fontId="52" fillId="0" borderId="43" xfId="0" applyNumberFormat="1" applyFont="1" applyBorder="1"/>
    <xf numFmtId="3" fontId="39" fillId="0" borderId="43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0" fontId="83" fillId="22" borderId="0" xfId="5" applyFont="1" applyFill="1"/>
    <xf numFmtId="0" fontId="83" fillId="22" borderId="0" xfId="0" applyFont="1" applyFill="1"/>
    <xf numFmtId="0" fontId="82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0" fontId="39" fillId="23" borderId="0" xfId="0" applyFont="1" applyFill="1"/>
    <xf numFmtId="3" fontId="39" fillId="23" borderId="0" xfId="0" applyNumberFormat="1" applyFont="1" applyFill="1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3" fontId="84" fillId="23" borderId="0" xfId="0" applyNumberFormat="1" applyFont="1" applyFill="1" applyAlignment="1">
      <alignment horizontal="center"/>
    </xf>
    <xf numFmtId="3" fontId="71" fillId="23" borderId="0" xfId="0" applyNumberFormat="1" applyFont="1" applyFill="1" applyAlignment="1">
      <alignment horizontal="center"/>
    </xf>
    <xf numFmtId="3" fontId="71" fillId="23" borderId="0" xfId="0" applyNumberFormat="1" applyFont="1" applyFill="1"/>
    <xf numFmtId="0" fontId="70" fillId="23" borderId="0" xfId="0" applyFont="1" applyFill="1"/>
    <xf numFmtId="3" fontId="70" fillId="23" borderId="0" xfId="0" applyNumberFormat="1" applyFont="1" applyFill="1"/>
    <xf numFmtId="0" fontId="66" fillId="0" borderId="18" xfId="0" applyFont="1" applyBorder="1"/>
    <xf numFmtId="0" fontId="66" fillId="0" borderId="0" xfId="0" applyFont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4" borderId="43" xfId="0" applyNumberFormat="1" applyFont="1" applyFill="1" applyBorder="1"/>
    <xf numFmtId="3" fontId="52" fillId="0" borderId="19" xfId="0" applyNumberFormat="1" applyFont="1" applyBorder="1"/>
    <xf numFmtId="3" fontId="52" fillId="0" borderId="21" xfId="0" applyNumberFormat="1" applyFont="1" applyBorder="1"/>
    <xf numFmtId="3" fontId="52" fillId="4" borderId="43" xfId="0" applyNumberFormat="1" applyFont="1" applyFill="1" applyBorder="1"/>
    <xf numFmtId="3" fontId="52" fillId="23" borderId="0" xfId="0" applyNumberFormat="1" applyFont="1" applyFill="1"/>
    <xf numFmtId="3" fontId="87" fillId="0" borderId="19" xfId="0" applyNumberFormat="1" applyFont="1" applyBorder="1"/>
    <xf numFmtId="3" fontId="87" fillId="0" borderId="21" xfId="0" applyNumberFormat="1" applyFont="1" applyBorder="1"/>
    <xf numFmtId="3" fontId="87" fillId="0" borderId="14" xfId="0" applyNumberFormat="1" applyFont="1" applyBorder="1"/>
    <xf numFmtId="3" fontId="87" fillId="0" borderId="43" xfId="0" applyNumberFormat="1" applyFont="1" applyBorder="1"/>
    <xf numFmtId="3" fontId="87" fillId="4" borderId="43" xfId="0" applyNumberFormat="1" applyFont="1" applyFill="1" applyBorder="1"/>
    <xf numFmtId="3" fontId="87" fillId="23" borderId="0" xfId="0" applyNumberFormat="1" applyFont="1" applyFill="1"/>
    <xf numFmtId="3" fontId="80" fillId="0" borderId="29" xfId="0" applyNumberFormat="1" applyFont="1" applyBorder="1"/>
    <xf numFmtId="3" fontId="80" fillId="0" borderId="75" xfId="0" applyNumberFormat="1" applyFont="1" applyBorder="1"/>
    <xf numFmtId="3" fontId="80" fillId="0" borderId="24" xfId="0" applyNumberFormat="1" applyFont="1" applyBorder="1"/>
    <xf numFmtId="3" fontId="80" fillId="0" borderId="66" xfId="0" applyNumberFormat="1" applyFont="1" applyBorder="1"/>
    <xf numFmtId="0" fontId="80" fillId="5" borderId="0" xfId="0" applyFont="1" applyFill="1"/>
    <xf numFmtId="3" fontId="80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0" fontId="68" fillId="5" borderId="0" xfId="0" applyFont="1" applyFill="1"/>
    <xf numFmtId="3" fontId="68" fillId="23" borderId="0" xfId="0" applyNumberFormat="1" applyFont="1" applyFill="1"/>
    <xf numFmtId="3" fontId="66" fillId="18" borderId="40" xfId="0" applyNumberFormat="1" applyFont="1" applyFill="1" applyBorder="1"/>
    <xf numFmtId="3" fontId="66" fillId="18" borderId="48" xfId="0" applyNumberFormat="1" applyFont="1" applyFill="1" applyBorder="1"/>
    <xf numFmtId="3" fontId="66" fillId="18" borderId="37" xfId="0" applyNumberFormat="1" applyFont="1" applyFill="1" applyBorder="1"/>
    <xf numFmtId="3" fontId="66" fillId="18" borderId="33" xfId="0" applyNumberFormat="1" applyFont="1" applyFill="1" applyBorder="1"/>
    <xf numFmtId="3" fontId="66" fillId="23" borderId="0" xfId="0" applyNumberFormat="1" applyFont="1" applyFill="1"/>
    <xf numFmtId="3" fontId="39" fillId="5" borderId="69" xfId="0" applyNumberFormat="1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75" xfId="0" applyNumberFormat="1" applyFont="1" applyBorder="1"/>
    <xf numFmtId="3" fontId="39" fillId="4" borderId="66" xfId="0" applyNumberFormat="1" applyFont="1" applyFill="1" applyBorder="1"/>
    <xf numFmtId="3" fontId="39" fillId="0" borderId="41" xfId="0" applyNumberFormat="1" applyFont="1" applyBorder="1"/>
    <xf numFmtId="3" fontId="39" fillId="0" borderId="57" xfId="0" applyNumberFormat="1" applyFont="1" applyBorder="1"/>
    <xf numFmtId="3" fontId="66" fillId="19" borderId="40" xfId="0" applyNumberFormat="1" applyFont="1" applyFill="1" applyBorder="1"/>
    <xf numFmtId="3" fontId="66" fillId="19" borderId="48" xfId="0" applyNumberFormat="1" applyFont="1" applyFill="1" applyBorder="1"/>
    <xf numFmtId="3" fontId="66" fillId="19" borderId="37" xfId="0" applyNumberFormat="1" applyFont="1" applyFill="1" applyBorder="1"/>
    <xf numFmtId="3" fontId="66" fillId="19" borderId="33" xfId="0" applyNumberFormat="1" applyFont="1" applyFill="1" applyBorder="1"/>
    <xf numFmtId="0" fontId="66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6" fillId="23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8" fillId="17" borderId="37" xfId="8" applyFont="1" applyFill="1" applyBorder="1"/>
    <xf numFmtId="9" fontId="88" fillId="17" borderId="33" xfId="8" applyFont="1" applyFill="1" applyBorder="1"/>
    <xf numFmtId="9" fontId="88" fillId="17" borderId="48" xfId="8" applyFont="1" applyFill="1" applyBorder="1"/>
    <xf numFmtId="9" fontId="88" fillId="17" borderId="54" xfId="8" applyFont="1" applyFill="1" applyBorder="1"/>
    <xf numFmtId="9" fontId="88" fillId="17" borderId="55" xfId="8" applyFont="1" applyFill="1" applyBorder="1"/>
    <xf numFmtId="9" fontId="88" fillId="17" borderId="51" xfId="8" applyFont="1" applyFill="1" applyBorder="1"/>
    <xf numFmtId="9" fontId="88" fillId="17" borderId="28" xfId="8" applyFont="1" applyFill="1" applyBorder="1"/>
    <xf numFmtId="9" fontId="88" fillId="17" borderId="0" xfId="8" applyFont="1" applyFill="1" applyBorder="1"/>
    <xf numFmtId="0" fontId="66" fillId="0" borderId="3" xfId="0" applyFont="1" applyBorder="1"/>
    <xf numFmtId="3" fontId="66" fillId="5" borderId="0" xfId="0" applyNumberFormat="1" applyFont="1" applyFill="1"/>
    <xf numFmtId="0" fontId="66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73" fillId="20" borderId="40" xfId="0" applyFont="1" applyFill="1" applyBorder="1"/>
    <xf numFmtId="9" fontId="85" fillId="20" borderId="37" xfId="8" applyFont="1" applyFill="1" applyBorder="1"/>
    <xf numFmtId="9" fontId="85" fillId="20" borderId="33" xfId="8" applyFont="1" applyFill="1" applyBorder="1"/>
    <xf numFmtId="9" fontId="85" fillId="20" borderId="48" xfId="8" applyFont="1" applyFill="1" applyBorder="1"/>
    <xf numFmtId="9" fontId="85" fillId="20" borderId="40" xfId="8" applyFont="1" applyFill="1" applyBorder="1"/>
    <xf numFmtId="9" fontId="85" fillId="20" borderId="0" xfId="8" applyFont="1" applyFill="1" applyBorder="1"/>
    <xf numFmtId="0" fontId="73" fillId="23" borderId="0" xfId="0" applyFont="1" applyFill="1"/>
    <xf numFmtId="3" fontId="65" fillId="5" borderId="3" xfId="0" applyNumberFormat="1" applyFont="1" applyFill="1" applyBorder="1" applyAlignment="1">
      <alignment horizontal="center"/>
    </xf>
    <xf numFmtId="0" fontId="65" fillId="5" borderId="2" xfId="0" applyFont="1" applyFill="1" applyBorder="1" applyAlignment="1">
      <alignment horizontal="center"/>
    </xf>
    <xf numFmtId="0" fontId="65" fillId="5" borderId="2" xfId="0" applyFont="1" applyFill="1" applyBorder="1"/>
    <xf numFmtId="0" fontId="65" fillId="5" borderId="30" xfId="0" applyFont="1" applyFill="1" applyBorder="1"/>
    <xf numFmtId="0" fontId="65" fillId="5" borderId="6" xfId="0" applyFont="1" applyFill="1" applyBorder="1"/>
    <xf numFmtId="0" fontId="65" fillId="23" borderId="0" xfId="0" applyFont="1" applyFill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2" xfId="0" applyFont="1" applyBorder="1"/>
    <xf numFmtId="164" fontId="79" fillId="0" borderId="53" xfId="1" applyFont="1" applyBorder="1"/>
    <xf numFmtId="164" fontId="79" fillId="0" borderId="65" xfId="1" applyFont="1" applyBorder="1"/>
    <xf numFmtId="164" fontId="79" fillId="0" borderId="0" xfId="1" applyFont="1" applyBorder="1"/>
    <xf numFmtId="0" fontId="74" fillId="0" borderId="16" xfId="0" applyFont="1" applyBorder="1" applyAlignment="1">
      <alignment horizontal="right"/>
    </xf>
    <xf numFmtId="3" fontId="81" fillId="0" borderId="10" xfId="0" applyNumberFormat="1" applyFont="1" applyBorder="1"/>
    <xf numFmtId="3" fontId="81" fillId="0" borderId="17" xfId="0" applyNumberFormat="1" applyFont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5" borderId="23" xfId="0" applyNumberFormat="1" applyFont="1" applyFill="1" applyBorder="1"/>
    <xf numFmtId="3" fontId="39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3" fontId="52" fillId="0" borderId="24" xfId="0" applyNumberFormat="1" applyFont="1" applyBorder="1"/>
    <xf numFmtId="3" fontId="32" fillId="0" borderId="66" xfId="0" applyNumberFormat="1" applyFont="1" applyBorder="1"/>
    <xf numFmtId="0" fontId="32" fillId="0" borderId="14" xfId="0" applyFont="1" applyBorder="1" applyAlignment="1">
      <alignment horizontal="right"/>
    </xf>
    <xf numFmtId="0" fontId="32" fillId="0" borderId="14" xfId="0" applyFont="1" applyBorder="1"/>
    <xf numFmtId="0" fontId="32" fillId="0" borderId="25" xfId="0" applyFont="1" applyBorder="1" applyAlignment="1">
      <alignment horizontal="right" vertical="center"/>
    </xf>
    <xf numFmtId="0" fontId="32" fillId="0" borderId="14" xfId="0" applyFont="1" applyBorder="1" applyAlignment="1">
      <alignment horizontal="right" vertical="center"/>
    </xf>
    <xf numFmtId="0" fontId="36" fillId="0" borderId="14" xfId="0" applyFont="1" applyBorder="1" applyAlignment="1">
      <alignment horizontal="right"/>
    </xf>
    <xf numFmtId="0" fontId="32" fillId="0" borderId="69" xfId="0" applyFont="1" applyBorder="1" applyAlignment="1">
      <alignment horizontal="right"/>
    </xf>
    <xf numFmtId="0" fontId="32" fillId="0" borderId="90" xfId="0" applyFont="1" applyBorder="1" applyAlignment="1">
      <alignment horizontal="right"/>
    </xf>
    <xf numFmtId="0" fontId="32" fillId="0" borderId="37" xfId="0" applyFont="1" applyBorder="1"/>
    <xf numFmtId="0" fontId="32" fillId="0" borderId="24" xfId="0" applyFont="1" applyBorder="1" applyAlignment="1">
      <alignment horizontal="right"/>
    </xf>
    <xf numFmtId="0" fontId="36" fillId="0" borderId="90" xfId="0" applyFont="1" applyBorder="1" applyAlignment="1">
      <alignment horizontal="right"/>
    </xf>
    <xf numFmtId="3" fontId="36" fillId="21" borderId="58" xfId="0" applyNumberFormat="1" applyFont="1" applyFill="1" applyBorder="1"/>
    <xf numFmtId="4" fontId="36" fillId="0" borderId="0" xfId="0" applyNumberFormat="1" applyFont="1"/>
    <xf numFmtId="3" fontId="34" fillId="5" borderId="47" xfId="0" applyNumberFormat="1" applyFont="1" applyFill="1" applyBorder="1"/>
    <xf numFmtId="3" fontId="34" fillId="5" borderId="25" xfId="0" applyNumberFormat="1" applyFont="1" applyFill="1" applyBorder="1"/>
    <xf numFmtId="3" fontId="34" fillId="5" borderId="27" xfId="0" applyNumberFormat="1" applyFont="1" applyFill="1" applyBorder="1"/>
    <xf numFmtId="3" fontId="37" fillId="5" borderId="47" xfId="0" applyNumberFormat="1" applyFont="1" applyFill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4" fillId="5" borderId="62" xfId="0" applyNumberFormat="1" applyFont="1" applyFill="1" applyBorder="1"/>
    <xf numFmtId="3" fontId="34" fillId="5" borderId="14" xfId="0" applyNumberFormat="1" applyFont="1" applyFill="1" applyBorder="1"/>
    <xf numFmtId="3" fontId="34" fillId="5" borderId="43" xfId="0" applyNumberFormat="1" applyFont="1" applyFill="1" applyBorder="1"/>
    <xf numFmtId="3" fontId="37" fillId="5" borderId="62" xfId="0" applyNumberFormat="1" applyFont="1" applyFill="1" applyBorder="1"/>
    <xf numFmtId="3" fontId="37" fillId="5" borderId="14" xfId="0" applyNumberFormat="1" applyFont="1" applyFill="1" applyBorder="1"/>
    <xf numFmtId="3" fontId="37" fillId="5" borderId="43" xfId="0" applyNumberFormat="1" applyFont="1" applyFill="1" applyBorder="1"/>
    <xf numFmtId="3" fontId="34" fillId="0" borderId="69" xfId="0" applyNumberFormat="1" applyFont="1" applyBorder="1"/>
    <xf numFmtId="3" fontId="34" fillId="0" borderId="46" xfId="0" applyNumberFormat="1" applyFont="1" applyBorder="1"/>
    <xf numFmtId="3" fontId="34" fillId="0" borderId="60" xfId="0" applyNumberFormat="1" applyFont="1" applyBorder="1"/>
    <xf numFmtId="3" fontId="34" fillId="0" borderId="62" xfId="0" applyNumberFormat="1" applyFont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3" fontId="37" fillId="0" borderId="62" xfId="0" applyNumberFormat="1" applyFont="1" applyBorder="1"/>
    <xf numFmtId="3" fontId="34" fillId="0" borderId="19" xfId="0" applyNumberFormat="1" applyFont="1" applyBorder="1"/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0" borderId="61" xfId="0" applyNumberFormat="1" applyFont="1" applyBorder="1"/>
    <xf numFmtId="3" fontId="34" fillId="0" borderId="30" xfId="0" applyNumberFormat="1" applyFont="1" applyBorder="1"/>
    <xf numFmtId="3" fontId="34" fillId="5" borderId="42" xfId="0" applyNumberFormat="1" applyFont="1" applyFill="1" applyBorder="1"/>
    <xf numFmtId="3" fontId="34" fillId="0" borderId="14" xfId="0" applyNumberFormat="1" applyFont="1" applyBorder="1"/>
    <xf numFmtId="3" fontId="37" fillId="5" borderId="42" xfId="0" applyNumberFormat="1" applyFont="1" applyFill="1" applyBorder="1"/>
    <xf numFmtId="3" fontId="34" fillId="5" borderId="21" xfId="0" applyNumberFormat="1" applyFont="1" applyFill="1" applyBorder="1"/>
    <xf numFmtId="3" fontId="37" fillId="5" borderId="21" xfId="0" applyNumberFormat="1" applyFont="1" applyFill="1" applyBorder="1"/>
    <xf numFmtId="3" fontId="34" fillId="0" borderId="57" xfId="0" applyNumberFormat="1" applyFont="1" applyBorder="1"/>
    <xf numFmtId="3" fontId="34" fillId="0" borderId="20" xfId="0" applyNumberFormat="1" applyFont="1" applyBorder="1"/>
    <xf numFmtId="3" fontId="34" fillId="0" borderId="21" xfId="0" applyNumberFormat="1" applyFont="1" applyBorder="1"/>
    <xf numFmtId="3" fontId="37" fillId="0" borderId="21" xfId="0" applyNumberFormat="1" applyFont="1" applyBorder="1"/>
    <xf numFmtId="3" fontId="37" fillId="0" borderId="14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4" fillId="7" borderId="16" xfId="0" applyNumberFormat="1" applyFont="1" applyFill="1" applyBorder="1"/>
    <xf numFmtId="3" fontId="34" fillId="0" borderId="58" xfId="0" applyNumberFormat="1" applyFont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4" borderId="10" xfId="0" applyNumberFormat="1" applyFont="1" applyFill="1" applyBorder="1"/>
    <xf numFmtId="3" fontId="37" fillId="4" borderId="10" xfId="0" applyNumberFormat="1" applyFont="1" applyFill="1" applyBorder="1"/>
    <xf numFmtId="3" fontId="34" fillId="4" borderId="11" xfId="0" applyNumberFormat="1" applyFont="1" applyFill="1" applyBorder="1"/>
    <xf numFmtId="3" fontId="37" fillId="4" borderId="11" xfId="0" applyNumberFormat="1" applyFont="1" applyFill="1" applyBorder="1"/>
    <xf numFmtId="3" fontId="34" fillId="4" borderId="16" xfId="0" applyNumberFormat="1" applyFont="1" applyFill="1" applyBorder="1"/>
    <xf numFmtId="3" fontId="34" fillId="4" borderId="36" xfId="0" applyNumberFormat="1" applyFont="1" applyFill="1" applyBorder="1"/>
    <xf numFmtId="3" fontId="34" fillId="0" borderId="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4" fillId="7" borderId="36" xfId="0" applyNumberFormat="1" applyFont="1" applyFill="1" applyBorder="1"/>
    <xf numFmtId="3" fontId="34" fillId="0" borderId="15" xfId="0" applyNumberFormat="1" applyFont="1" applyBorder="1"/>
    <xf numFmtId="3" fontId="37" fillId="0" borderId="58" xfId="0" applyNumberFormat="1" applyFont="1" applyBorder="1"/>
    <xf numFmtId="3" fontId="34" fillId="0" borderId="18" xfId="0" applyNumberFormat="1" applyFont="1" applyBorder="1"/>
    <xf numFmtId="3" fontId="37" fillId="0" borderId="19" xfId="0" applyNumberFormat="1" applyFont="1" applyBorder="1"/>
    <xf numFmtId="3" fontId="34" fillId="3" borderId="14" xfId="0" applyNumberFormat="1" applyFont="1" applyFill="1" applyBorder="1" applyAlignment="1">
      <alignment wrapText="1"/>
    </xf>
    <xf numFmtId="0" fontId="89" fillId="5" borderId="0" xfId="0" applyFont="1" applyFill="1"/>
    <xf numFmtId="0" fontId="89" fillId="12" borderId="0" xfId="0" applyFont="1" applyFill="1"/>
    <xf numFmtId="0" fontId="89" fillId="5" borderId="2" xfId="0" applyFont="1" applyFill="1" applyBorder="1"/>
    <xf numFmtId="0" fontId="89" fillId="5" borderId="30" xfId="0" applyFont="1" applyFill="1" applyBorder="1"/>
    <xf numFmtId="0" fontId="89" fillId="5" borderId="5" xfId="0" applyFont="1" applyFill="1" applyBorder="1"/>
    <xf numFmtId="0" fontId="89" fillId="5" borderId="50" xfId="0" applyFont="1" applyFill="1" applyBorder="1"/>
    <xf numFmtId="0" fontId="89" fillId="5" borderId="40" xfId="0" applyFont="1" applyFill="1" applyBorder="1"/>
    <xf numFmtId="0" fontId="89" fillId="5" borderId="37" xfId="0" applyFont="1" applyFill="1" applyBorder="1"/>
    <xf numFmtId="0" fontId="89" fillId="5" borderId="33" xfId="0" applyFont="1" applyFill="1" applyBorder="1"/>
    <xf numFmtId="0" fontId="89" fillId="0" borderId="16" xfId="0" applyFont="1" applyBorder="1"/>
    <xf numFmtId="0" fontId="89" fillId="0" borderId="18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89" fillId="0" borderId="47" xfId="0" applyFont="1" applyBorder="1" applyAlignment="1">
      <alignment horizontal="center"/>
    </xf>
    <xf numFmtId="0" fontId="89" fillId="5" borderId="23" xfId="0" applyFont="1" applyFill="1" applyBorder="1"/>
    <xf numFmtId="0" fontId="89" fillId="5" borderId="25" xfId="0" applyFont="1" applyFill="1" applyBorder="1"/>
    <xf numFmtId="0" fontId="89" fillId="5" borderId="27" xfId="0" applyFont="1" applyFill="1" applyBorder="1"/>
    <xf numFmtId="0" fontId="89" fillId="0" borderId="10" xfId="0" applyFont="1" applyBorder="1"/>
    <xf numFmtId="0" fontId="89" fillId="0" borderId="23" xfId="0" applyFont="1" applyBorder="1" applyAlignment="1">
      <alignment horizontal="center"/>
    </xf>
    <xf numFmtId="0" fontId="89" fillId="0" borderId="25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5" borderId="19" xfId="0" applyFont="1" applyFill="1" applyBorder="1"/>
    <xf numFmtId="0" fontId="89" fillId="5" borderId="14" xfId="0" applyFont="1" applyFill="1" applyBorder="1"/>
    <xf numFmtId="0" fontId="89" fillId="5" borderId="43" xfId="0" applyFont="1" applyFill="1" applyBorder="1"/>
    <xf numFmtId="0" fontId="89" fillId="0" borderId="11" xfId="0" applyFont="1" applyBorder="1"/>
    <xf numFmtId="0" fontId="89" fillId="0" borderId="19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58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34" xfId="0" applyFont="1" applyBorder="1"/>
    <xf numFmtId="0" fontId="89" fillId="0" borderId="40" xfId="0" applyFont="1" applyBorder="1" applyAlignment="1">
      <alignment horizontal="center"/>
    </xf>
    <xf numFmtId="0" fontId="89" fillId="0" borderId="37" xfId="0" applyFont="1" applyBorder="1" applyAlignment="1">
      <alignment horizontal="center"/>
    </xf>
    <xf numFmtId="0" fontId="89" fillId="0" borderId="49" xfId="0" applyFont="1" applyBorder="1" applyAlignment="1">
      <alignment horizontal="center"/>
    </xf>
    <xf numFmtId="0" fontId="89" fillId="0" borderId="44" xfId="0" applyFont="1" applyBorder="1" applyAlignment="1">
      <alignment horizontal="center"/>
    </xf>
    <xf numFmtId="0" fontId="91" fillId="12" borderId="0" xfId="0" applyFont="1" applyFill="1"/>
    <xf numFmtId="0" fontId="90" fillId="12" borderId="0" xfId="0" applyFont="1" applyFill="1"/>
    <xf numFmtId="0" fontId="90" fillId="12" borderId="0" xfId="0" applyFont="1" applyFill="1" applyAlignment="1">
      <alignment horizontal="right"/>
    </xf>
    <xf numFmtId="0" fontId="89" fillId="5" borderId="0" xfId="0" applyFont="1" applyFill="1" applyAlignment="1">
      <alignment horizontal="right" wrapText="1"/>
    </xf>
    <xf numFmtId="0" fontId="90" fillId="0" borderId="39" xfId="0" applyFont="1" applyBorder="1"/>
    <xf numFmtId="0" fontId="89" fillId="0" borderId="1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30" xfId="0" applyFont="1" applyBorder="1" applyAlignment="1">
      <alignment horizontal="center" vertical="center" wrapText="1"/>
    </xf>
    <xf numFmtId="0" fontId="89" fillId="5" borderId="18" xfId="0" applyFont="1" applyFill="1" applyBorder="1" applyAlignment="1">
      <alignment vertical="center"/>
    </xf>
    <xf numFmtId="0" fontId="89" fillId="5" borderId="13" xfId="0" applyFont="1" applyFill="1" applyBorder="1" applyAlignment="1">
      <alignment vertical="center"/>
    </xf>
    <xf numFmtId="0" fontId="89" fillId="5" borderId="67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2" fillId="0" borderId="72" xfId="0" applyNumberFormat="1" applyFont="1" applyBorder="1"/>
    <xf numFmtId="0" fontId="28" fillId="25" borderId="76" xfId="11" applyAlignment="1">
      <alignment horizontal="center"/>
    </xf>
    <xf numFmtId="0" fontId="28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5" fillId="26" borderId="70" xfId="12" applyNumberFormat="1" applyBorder="1"/>
    <xf numFmtId="0" fontId="5" fillId="26" borderId="62" xfId="12" applyBorder="1"/>
    <xf numFmtId="0" fontId="5" fillId="26" borderId="62" xfId="12" applyBorder="1" applyAlignment="1">
      <alignment horizontal="right" vertical="center"/>
    </xf>
    <xf numFmtId="0" fontId="5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5" fillId="4" borderId="70" xfId="12" applyNumberFormat="1" applyFill="1" applyBorder="1"/>
    <xf numFmtId="0" fontId="5" fillId="4" borderId="62" xfId="12" applyFill="1" applyBorder="1"/>
    <xf numFmtId="0" fontId="5" fillId="4" borderId="62" xfId="12" applyFill="1" applyBorder="1" applyAlignment="1">
      <alignment horizontal="right" vertical="center"/>
    </xf>
    <xf numFmtId="0" fontId="5" fillId="4" borderId="21" xfId="12" applyFill="1" applyBorder="1" applyAlignment="1">
      <alignment horizontal="right"/>
    </xf>
    <xf numFmtId="14" fontId="5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2" fillId="0" borderId="19" xfId="10" applyNumberFormat="1" applyFont="1" applyBorder="1" applyAlignment="1">
      <alignment horizontal="center" vertical="center"/>
    </xf>
    <xf numFmtId="3" fontId="32" fillId="0" borderId="7" xfId="10" applyNumberFormat="1" applyFont="1" applyBorder="1"/>
    <xf numFmtId="3" fontId="32" fillId="0" borderId="8" xfId="10" applyNumberFormat="1" applyFont="1" applyBorder="1"/>
    <xf numFmtId="0" fontId="32" fillId="3" borderId="8" xfId="3" applyFont="1" applyFill="1" applyBorder="1" applyAlignment="1">
      <alignment wrapText="1"/>
    </xf>
    <xf numFmtId="0" fontId="32" fillId="3" borderId="35" xfId="3" applyFont="1" applyFill="1" applyBorder="1" applyAlignment="1">
      <alignment wrapText="1"/>
    </xf>
    <xf numFmtId="3" fontId="93" fillId="9" borderId="1" xfId="10" applyNumberFormat="1" applyFont="1" applyFill="1" applyBorder="1"/>
    <xf numFmtId="3" fontId="93" fillId="9" borderId="22" xfId="10" applyNumberFormat="1" applyFont="1" applyFill="1" applyBorder="1"/>
    <xf numFmtId="3" fontId="93" fillId="9" borderId="30" xfId="10" applyNumberFormat="1" applyFont="1" applyFill="1" applyBorder="1"/>
    <xf numFmtId="3" fontId="93" fillId="9" borderId="5" xfId="10" applyNumberFormat="1" applyFont="1" applyFill="1" applyBorder="1"/>
    <xf numFmtId="3" fontId="93" fillId="9" borderId="50" xfId="10" applyNumberFormat="1" applyFont="1" applyFill="1" applyBorder="1"/>
    <xf numFmtId="0" fontId="36" fillId="5" borderId="0" xfId="3" applyFont="1" applyFill="1" applyAlignment="1">
      <alignment horizontal="center"/>
    </xf>
    <xf numFmtId="0" fontId="40" fillId="5" borderId="0" xfId="3" applyFont="1" applyFill="1" applyAlignment="1">
      <alignment horizontal="center"/>
    </xf>
    <xf numFmtId="0" fontId="40" fillId="5" borderId="0" xfId="3" applyFont="1" applyFill="1"/>
    <xf numFmtId="0" fontId="33" fillId="23" borderId="0" xfId="3" applyFont="1" applyFill="1"/>
    <xf numFmtId="3" fontId="36" fillId="5" borderId="0" xfId="3" applyNumberFormat="1" applyFont="1" applyFill="1"/>
    <xf numFmtId="3" fontId="95" fillId="5" borderId="23" xfId="10" applyNumberFormat="1" applyFont="1" applyFill="1" applyBorder="1" applyAlignment="1">
      <alignment horizontal="center" vertical="center"/>
    </xf>
    <xf numFmtId="3" fontId="32" fillId="0" borderId="42" xfId="10" applyNumberFormat="1" applyFont="1" applyBorder="1" applyAlignment="1">
      <alignment horizontal="right" vertical="center"/>
    </xf>
    <xf numFmtId="3" fontId="32" fillId="0" borderId="47" xfId="10" applyNumberFormat="1" applyFont="1" applyBorder="1" applyAlignment="1">
      <alignment horizontal="right" vertical="center"/>
    </xf>
    <xf numFmtId="3" fontId="32" fillId="0" borderId="25" xfId="10" applyNumberFormat="1" applyFont="1" applyBorder="1" applyAlignment="1">
      <alignment horizontal="right" vertical="center"/>
    </xf>
    <xf numFmtId="3" fontId="32" fillId="0" borderId="26" xfId="10" applyNumberFormat="1" applyFont="1" applyBorder="1" applyAlignment="1">
      <alignment horizontal="right" vertical="center"/>
    </xf>
    <xf numFmtId="3" fontId="40" fillId="5" borderId="0" xfId="3" applyNumberFormat="1" applyFont="1" applyFill="1"/>
    <xf numFmtId="0" fontId="32" fillId="23" borderId="0" xfId="3" applyFont="1" applyFill="1"/>
    <xf numFmtId="3" fontId="32" fillId="0" borderId="23" xfId="10" applyNumberFormat="1" applyFont="1" applyBorder="1" applyAlignment="1">
      <alignment horizontal="center" vertical="center"/>
    </xf>
    <xf numFmtId="3" fontId="32" fillId="0" borderId="41" xfId="10" applyNumberFormat="1" applyFont="1" applyBorder="1"/>
    <xf numFmtId="3" fontId="95" fillId="0" borderId="23" xfId="10" applyNumberFormat="1" applyFont="1" applyBorder="1" applyAlignment="1">
      <alignment horizontal="center" vertical="center"/>
    </xf>
    <xf numFmtId="3" fontId="32" fillId="0" borderId="23" xfId="10" applyNumberFormat="1" applyFont="1" applyBorder="1"/>
    <xf numFmtId="3" fontId="96" fillId="8" borderId="54" xfId="10" applyNumberFormat="1" applyFont="1" applyFill="1" applyBorder="1"/>
    <xf numFmtId="3" fontId="96" fillId="8" borderId="55" xfId="10" applyNumberFormat="1" applyFont="1" applyFill="1" applyBorder="1"/>
    <xf numFmtId="3" fontId="96" fillId="8" borderId="45" xfId="10" applyNumberFormat="1" applyFont="1" applyFill="1" applyBorder="1"/>
    <xf numFmtId="3" fontId="96" fillId="8" borderId="51" xfId="10" applyNumberFormat="1" applyFont="1" applyFill="1" applyBorder="1"/>
    <xf numFmtId="3" fontId="96" fillId="8" borderId="52" xfId="10" applyNumberFormat="1" applyFont="1" applyFill="1" applyBorder="1"/>
    <xf numFmtId="3" fontId="37" fillId="5" borderId="0" xfId="3" applyNumberFormat="1" applyFont="1" applyFill="1"/>
    <xf numFmtId="3" fontId="43" fillId="5" borderId="0" xfId="3" applyNumberFormat="1" applyFont="1" applyFill="1"/>
    <xf numFmtId="0" fontId="43" fillId="5" borderId="0" xfId="3" applyFont="1" applyFill="1"/>
    <xf numFmtId="0" fontId="34" fillId="23" borderId="0" xfId="3" applyFont="1" applyFill="1"/>
    <xf numFmtId="3" fontId="42" fillId="5" borderId="0" xfId="10" applyNumberFormat="1" applyFont="1" applyFill="1" applyAlignment="1">
      <alignment horizontal="left"/>
    </xf>
    <xf numFmtId="3" fontId="42" fillId="5" borderId="0" xfId="10" applyNumberFormat="1" applyFont="1" applyFill="1"/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3" fontId="32" fillId="0" borderId="77" xfId="10" applyNumberFormat="1" applyFont="1" applyBorder="1"/>
    <xf numFmtId="3" fontId="32" fillId="0" borderId="42" xfId="10" applyNumberFormat="1" applyFont="1" applyBorder="1"/>
    <xf numFmtId="3" fontId="32" fillId="0" borderId="47" xfId="10" applyNumberFormat="1" applyFont="1" applyBorder="1"/>
    <xf numFmtId="3" fontId="32" fillId="0" borderId="25" xfId="10" applyNumberFormat="1" applyFont="1" applyBorder="1"/>
    <xf numFmtId="3" fontId="32" fillId="0" borderId="26" xfId="10" applyNumberFormat="1" applyFont="1" applyBorder="1"/>
    <xf numFmtId="3" fontId="32" fillId="0" borderId="13" xfId="10" applyNumberFormat="1" applyFont="1" applyBorder="1"/>
    <xf numFmtId="3" fontId="32" fillId="0" borderId="19" xfId="10" applyNumberFormat="1" applyFont="1" applyBorder="1"/>
    <xf numFmtId="3" fontId="32" fillId="0" borderId="14" xfId="10" applyNumberFormat="1" applyFont="1" applyBorder="1"/>
    <xf numFmtId="3" fontId="32" fillId="0" borderId="70" xfId="10" applyNumberFormat="1" applyFont="1" applyBorder="1"/>
    <xf numFmtId="3" fontId="32" fillId="0" borderId="21" xfId="10" applyNumberFormat="1" applyFont="1" applyBorder="1"/>
    <xf numFmtId="3" fontId="32" fillId="0" borderId="62" xfId="10" applyNumberFormat="1" applyFont="1" applyBorder="1"/>
    <xf numFmtId="3" fontId="32" fillId="0" borderId="54" xfId="10" applyNumberFormat="1" applyFont="1" applyBorder="1"/>
    <xf numFmtId="3" fontId="32" fillId="0" borderId="40" xfId="10" applyNumberFormat="1" applyFont="1" applyBorder="1"/>
    <xf numFmtId="3" fontId="32" fillId="0" borderId="48" xfId="10" applyNumberFormat="1" applyFont="1" applyBorder="1"/>
    <xf numFmtId="3" fontId="32" fillId="0" borderId="37" xfId="10" applyNumberFormat="1" applyFont="1" applyBorder="1"/>
    <xf numFmtId="3" fontId="32" fillId="0" borderId="49" xfId="10" applyNumberFormat="1" applyFont="1" applyBorder="1"/>
    <xf numFmtId="3" fontId="32" fillId="0" borderId="44" xfId="10" applyNumberFormat="1" applyFont="1" applyBorder="1"/>
    <xf numFmtId="3" fontId="32" fillId="5" borderId="30" xfId="10" applyNumberFormat="1" applyFont="1" applyFill="1" applyBorder="1" applyAlignment="1">
      <alignment horizontal="left"/>
    </xf>
    <xf numFmtId="3" fontId="32" fillId="5" borderId="0" xfId="10" applyNumberFormat="1" applyFont="1" applyFill="1" applyAlignment="1">
      <alignment horizontal="left"/>
    </xf>
    <xf numFmtId="3" fontId="32" fillId="5" borderId="0" xfId="10" applyNumberFormat="1" applyFont="1" applyFill="1"/>
    <xf numFmtId="0" fontId="35" fillId="23" borderId="0" xfId="3" applyFont="1" applyFill="1"/>
    <xf numFmtId="0" fontId="32" fillId="3" borderId="9" xfId="3" applyFont="1" applyFill="1" applyBorder="1" applyAlignment="1">
      <alignment wrapText="1"/>
    </xf>
    <xf numFmtId="3" fontId="32" fillId="0" borderId="29" xfId="10" applyNumberFormat="1" applyFont="1" applyBorder="1"/>
    <xf numFmtId="3" fontId="32" fillId="0" borderId="75" xfId="10" applyNumberFormat="1" applyFont="1" applyBorder="1"/>
    <xf numFmtId="3" fontId="32" fillId="0" borderId="74" xfId="10" applyNumberFormat="1" applyFont="1" applyBorder="1"/>
    <xf numFmtId="3" fontId="32" fillId="0" borderId="24" xfId="10" applyNumberFormat="1" applyFont="1" applyBorder="1"/>
    <xf numFmtId="3" fontId="32" fillId="0" borderId="72" xfId="10" applyNumberFormat="1" applyFont="1" applyBorder="1"/>
    <xf numFmtId="0" fontId="34" fillId="0" borderId="0" xfId="3" applyFont="1" applyAlignment="1">
      <alignment vertical="center" textRotation="90"/>
    </xf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0" fontId="37" fillId="5" borderId="0" xfId="3" applyFont="1" applyFill="1"/>
    <xf numFmtId="0" fontId="37" fillId="23" borderId="0" xfId="3" applyFont="1" applyFill="1"/>
    <xf numFmtId="3" fontId="36" fillId="0" borderId="59" xfId="10" applyNumberFormat="1" applyFont="1" applyBorder="1" applyAlignment="1">
      <alignment horizontal="center"/>
    </xf>
    <xf numFmtId="3" fontId="36" fillId="18" borderId="43" xfId="10" applyNumberFormat="1" applyFont="1" applyFill="1" applyBorder="1" applyAlignment="1">
      <alignment horizontal="right"/>
    </xf>
    <xf numFmtId="3" fontId="36" fillId="0" borderId="19" xfId="10" applyNumberFormat="1" applyFont="1" applyBorder="1"/>
    <xf numFmtId="3" fontId="36" fillId="0" borderId="21" xfId="10" applyNumberFormat="1" applyFont="1" applyBorder="1"/>
    <xf numFmtId="3" fontId="36" fillId="0" borderId="62" xfId="10" applyNumberFormat="1" applyFont="1" applyBorder="1"/>
    <xf numFmtId="3" fontId="36" fillId="0" borderId="13" xfId="10" applyNumberFormat="1" applyFont="1" applyBorder="1"/>
    <xf numFmtId="3" fontId="36" fillId="0" borderId="70" xfId="10" applyNumberFormat="1" applyFont="1" applyBorder="1"/>
    <xf numFmtId="3" fontId="36" fillId="0" borderId="14" xfId="10" applyNumberFormat="1" applyFont="1" applyBorder="1"/>
    <xf numFmtId="0" fontId="36" fillId="23" borderId="0" xfId="3" applyFont="1" applyFill="1"/>
    <xf numFmtId="3" fontId="36" fillId="0" borderId="25" xfId="10" applyNumberFormat="1" applyFont="1" applyBorder="1"/>
    <xf numFmtId="3" fontId="36" fillId="18" borderId="66" xfId="10" applyNumberFormat="1" applyFont="1" applyFill="1" applyBorder="1" applyAlignment="1">
      <alignment horizontal="right"/>
    </xf>
    <xf numFmtId="3" fontId="36" fillId="0" borderId="29" xfId="10" applyNumberFormat="1" applyFont="1" applyBorder="1"/>
    <xf numFmtId="3" fontId="36" fillId="0" borderId="75" xfId="10" applyNumberFormat="1" applyFont="1" applyBorder="1"/>
    <xf numFmtId="3" fontId="36" fillId="0" borderId="74" xfId="10" applyNumberFormat="1" applyFont="1" applyBorder="1"/>
    <xf numFmtId="3" fontId="36" fillId="0" borderId="24" xfId="10" applyNumberFormat="1" applyFont="1" applyBorder="1"/>
    <xf numFmtId="3" fontId="36" fillId="0" borderId="72" xfId="10" applyNumberFormat="1" applyFont="1" applyBorder="1"/>
    <xf numFmtId="3" fontId="36" fillId="0" borderId="54" xfId="10" applyNumberFormat="1" applyFont="1" applyBorder="1" applyAlignment="1">
      <alignment horizontal="center"/>
    </xf>
    <xf numFmtId="0" fontId="32" fillId="3" borderId="43" xfId="3" applyFont="1" applyFill="1" applyBorder="1" applyAlignment="1">
      <alignment wrapText="1"/>
    </xf>
    <xf numFmtId="3" fontId="40" fillId="0" borderId="59" xfId="10" applyNumberFormat="1" applyFont="1" applyBorder="1" applyAlignment="1">
      <alignment horizontal="center"/>
    </xf>
    <xf numFmtId="0" fontId="40" fillId="3" borderId="43" xfId="3" applyFont="1" applyFill="1" applyBorder="1" applyAlignment="1">
      <alignment wrapText="1"/>
    </xf>
    <xf numFmtId="3" fontId="40" fillId="0" borderId="19" xfId="10" applyNumberFormat="1" applyFont="1" applyBorder="1"/>
    <xf numFmtId="3" fontId="40" fillId="0" borderId="21" xfId="10" applyNumberFormat="1" applyFont="1" applyBorder="1"/>
    <xf numFmtId="3" fontId="40" fillId="0" borderId="62" xfId="10" applyNumberFormat="1" applyFont="1" applyBorder="1"/>
    <xf numFmtId="3" fontId="40" fillId="0" borderId="14" xfId="10" applyNumberFormat="1" applyFont="1" applyBorder="1"/>
    <xf numFmtId="3" fontId="40" fillId="0" borderId="70" xfId="10" applyNumberFormat="1" applyFont="1" applyBorder="1"/>
    <xf numFmtId="0" fontId="40" fillId="23" borderId="0" xfId="3" applyFont="1" applyFill="1"/>
    <xf numFmtId="0" fontId="32" fillId="3" borderId="33" xfId="3" applyFont="1" applyFill="1" applyBorder="1" applyAlignment="1">
      <alignment wrapText="1"/>
    </xf>
    <xf numFmtId="0" fontId="33" fillId="0" borderId="4" xfId="3" applyFont="1" applyBorder="1"/>
    <xf numFmtId="3" fontId="93" fillId="10" borderId="1" xfId="3" applyNumberFormat="1" applyFont="1" applyFill="1" applyBorder="1" applyAlignment="1">
      <alignment vertical="center" wrapText="1"/>
    </xf>
    <xf numFmtId="3" fontId="93" fillId="10" borderId="22" xfId="3" applyNumberFormat="1" applyFont="1" applyFill="1" applyBorder="1" applyAlignment="1">
      <alignment vertical="center" wrapText="1"/>
    </xf>
    <xf numFmtId="3" fontId="93" fillId="10" borderId="30" xfId="3" applyNumberFormat="1" applyFont="1" applyFill="1" applyBorder="1" applyAlignment="1">
      <alignment vertical="center" wrapText="1"/>
    </xf>
    <xf numFmtId="3" fontId="93" fillId="10" borderId="5" xfId="3" applyNumberFormat="1" applyFont="1" applyFill="1" applyBorder="1" applyAlignment="1">
      <alignment vertical="center" wrapText="1"/>
    </xf>
    <xf numFmtId="3" fontId="93" fillId="10" borderId="50" xfId="3" applyNumberFormat="1" applyFont="1" applyFill="1" applyBorder="1" applyAlignment="1">
      <alignment vertical="center" wrapText="1"/>
    </xf>
    <xf numFmtId="0" fontId="36" fillId="0" borderId="36" xfId="3" applyFont="1" applyBorder="1"/>
    <xf numFmtId="0" fontId="36" fillId="0" borderId="2" xfId="3" applyFont="1" applyBorder="1"/>
    <xf numFmtId="0" fontId="36" fillId="0" borderId="6" xfId="3" applyFont="1" applyBorder="1"/>
    <xf numFmtId="3" fontId="36" fillId="0" borderId="59" xfId="3" applyNumberFormat="1" applyFont="1" applyBorder="1"/>
    <xf numFmtId="3" fontId="36" fillId="0" borderId="0" xfId="3" applyNumberFormat="1" applyFont="1"/>
    <xf numFmtId="3" fontId="36" fillId="0" borderId="69" xfId="3" applyNumberFormat="1" applyFont="1" applyBorder="1"/>
    <xf numFmtId="3" fontId="36" fillId="0" borderId="57" xfId="3" applyNumberFormat="1" applyFont="1" applyBorder="1"/>
    <xf numFmtId="0" fontId="33" fillId="0" borderId="53" xfId="3" applyFont="1" applyBorder="1"/>
    <xf numFmtId="0" fontId="34" fillId="2" borderId="41" xfId="5" applyFont="1" applyFill="1" applyBorder="1" applyAlignment="1">
      <alignment horizontal="center" vertical="center"/>
    </xf>
    <xf numFmtId="0" fontId="34" fillId="2" borderId="0" xfId="5" applyFont="1" applyFill="1" applyAlignment="1">
      <alignment horizontal="center" vertical="center"/>
    </xf>
    <xf numFmtId="0" fontId="34" fillId="2" borderId="69" xfId="5" applyFont="1" applyFill="1" applyBorder="1" applyAlignment="1">
      <alignment horizontal="center" vertical="center"/>
    </xf>
    <xf numFmtId="0" fontId="34" fillId="2" borderId="38" xfId="5" applyFont="1" applyFill="1" applyBorder="1" applyAlignment="1">
      <alignment horizontal="center" vertical="center"/>
    </xf>
    <xf numFmtId="49" fontId="34" fillId="4" borderId="1" xfId="5" applyNumberFormat="1" applyFont="1" applyFill="1" applyBorder="1" applyAlignment="1">
      <alignment horizontal="center" vertical="center"/>
    </xf>
    <xf numFmtId="49" fontId="34" fillId="4" borderId="5" xfId="5" applyNumberFormat="1" applyFont="1" applyFill="1" applyBorder="1" applyAlignment="1">
      <alignment horizontal="center" vertical="center"/>
    </xf>
    <xf numFmtId="49" fontId="34" fillId="7" borderId="5" xfId="5" applyNumberFormat="1" applyFont="1" applyFill="1" applyBorder="1" applyAlignment="1">
      <alignment horizontal="center" vertical="center"/>
    </xf>
    <xf numFmtId="49" fontId="36" fillId="5" borderId="0" xfId="3" applyNumberFormat="1" applyFont="1" applyFill="1" applyAlignment="1">
      <alignment horizontal="center"/>
    </xf>
    <xf numFmtId="49" fontId="40" fillId="5" borderId="0" xfId="3" applyNumberFormat="1" applyFont="1" applyFill="1" applyAlignment="1">
      <alignment horizontal="center"/>
    </xf>
    <xf numFmtId="49" fontId="32" fillId="23" borderId="0" xfId="3" applyNumberFormat="1" applyFont="1" applyFill="1" applyAlignment="1">
      <alignment horizontal="center"/>
    </xf>
    <xf numFmtId="0" fontId="34" fillId="5" borderId="4" xfId="5" applyFont="1" applyFill="1" applyBorder="1" applyAlignment="1">
      <alignment vertical="center"/>
    </xf>
    <xf numFmtId="0" fontId="34" fillId="5" borderId="0" xfId="10" applyFont="1" applyFill="1"/>
    <xf numFmtId="168" fontId="34" fillId="5" borderId="0" xfId="3" applyNumberFormat="1" applyFont="1" applyFill="1"/>
    <xf numFmtId="3" fontId="32" fillId="0" borderId="35" xfId="10" applyNumberFormat="1" applyFont="1" applyBorder="1"/>
    <xf numFmtId="3" fontId="32" fillId="0" borderId="54" xfId="10" applyNumberFormat="1" applyFont="1" applyBorder="1" applyAlignment="1">
      <alignment horizontal="center" vertical="center"/>
    </xf>
    <xf numFmtId="3" fontId="32" fillId="0" borderId="55" xfId="10" applyNumberFormat="1" applyFont="1" applyBorder="1" applyAlignment="1">
      <alignment horizontal="right" vertical="center"/>
    </xf>
    <xf numFmtId="3" fontId="32" fillId="0" borderId="45" xfId="10" applyNumberFormat="1" applyFont="1" applyBorder="1" applyAlignment="1">
      <alignment horizontal="right" vertical="center"/>
    </xf>
    <xf numFmtId="3" fontId="32" fillId="0" borderId="51" xfId="10" applyNumberFormat="1" applyFont="1" applyBorder="1" applyAlignment="1">
      <alignment horizontal="right" vertical="center"/>
    </xf>
    <xf numFmtId="3" fontId="32" fillId="0" borderId="52" xfId="10" applyNumberFormat="1" applyFont="1" applyBorder="1" applyAlignment="1">
      <alignment horizontal="right" vertical="center"/>
    </xf>
    <xf numFmtId="3" fontId="40" fillId="0" borderId="18" xfId="10" applyNumberFormat="1" applyFont="1" applyBorder="1" applyAlignment="1">
      <alignment horizontal="center" vertical="center"/>
    </xf>
    <xf numFmtId="3" fontId="40" fillId="0" borderId="31" xfId="10" applyNumberFormat="1" applyFont="1" applyBorder="1" applyAlignment="1">
      <alignment horizontal="left" vertical="center"/>
    </xf>
    <xf numFmtId="3" fontId="40" fillId="0" borderId="20" xfId="10" applyNumberFormat="1" applyFont="1" applyBorder="1" applyAlignment="1">
      <alignment horizontal="right" vertical="center"/>
    </xf>
    <xf numFmtId="3" fontId="40" fillId="0" borderId="46" xfId="10" applyNumberFormat="1" applyFont="1" applyBorder="1" applyAlignment="1">
      <alignment horizontal="right" vertical="center"/>
    </xf>
    <xf numFmtId="3" fontId="40" fillId="0" borderId="13" xfId="10" applyNumberFormat="1" applyFont="1" applyBorder="1" applyAlignment="1">
      <alignment horizontal="right" vertical="center"/>
    </xf>
    <xf numFmtId="3" fontId="40" fillId="5" borderId="0" xfId="3" applyNumberFormat="1" applyFont="1" applyFill="1" applyAlignment="1">
      <alignment horizontal="right" vertical="center"/>
    </xf>
    <xf numFmtId="9" fontId="40" fillId="5" borderId="0" xfId="8" applyFont="1" applyFill="1" applyAlignment="1">
      <alignment horizontal="center" vertical="center" wrapText="1"/>
    </xf>
    <xf numFmtId="0" fontId="40" fillId="23" borderId="0" xfId="3" applyFont="1" applyFill="1" applyAlignment="1">
      <alignment horizontal="center" vertical="center"/>
    </xf>
    <xf numFmtId="3" fontId="40" fillId="0" borderId="19" xfId="10" applyNumberFormat="1" applyFont="1" applyBorder="1" applyAlignment="1">
      <alignment horizontal="center" vertical="center"/>
    </xf>
    <xf numFmtId="3" fontId="40" fillId="0" borderId="7" xfId="10" applyNumberFormat="1" applyFont="1" applyBorder="1" applyAlignment="1">
      <alignment horizontal="left" vertical="center"/>
    </xf>
    <xf numFmtId="3" fontId="40" fillId="0" borderId="23" xfId="10" applyNumberFormat="1" applyFont="1" applyBorder="1" applyAlignment="1">
      <alignment horizontal="center" vertical="center"/>
    </xf>
    <xf numFmtId="3" fontId="40" fillId="0" borderId="42" xfId="10" applyNumberFormat="1" applyFont="1" applyBorder="1" applyAlignment="1">
      <alignment horizontal="right" vertical="center"/>
    </xf>
    <xf numFmtId="3" fontId="40" fillId="0" borderId="47" xfId="10" applyNumberFormat="1" applyFont="1" applyBorder="1" applyAlignment="1">
      <alignment horizontal="right" vertical="center"/>
    </xf>
    <xf numFmtId="3" fontId="40" fillId="0" borderId="25" xfId="10" applyNumberFormat="1" applyFont="1" applyBorder="1" applyAlignment="1">
      <alignment horizontal="right" vertical="center"/>
    </xf>
    <xf numFmtId="0" fontId="32" fillId="0" borderId="14" xfId="0" applyFont="1" applyBorder="1" applyAlignment="1">
      <alignment horizontal="right" wrapText="1"/>
    </xf>
    <xf numFmtId="3" fontId="42" fillId="5" borderId="57" xfId="10" applyNumberFormat="1" applyFont="1" applyFill="1" applyBorder="1"/>
    <xf numFmtId="3" fontId="32" fillId="5" borderId="57" xfId="10" applyNumberFormat="1" applyFont="1" applyFill="1" applyBorder="1"/>
    <xf numFmtId="3" fontId="52" fillId="0" borderId="29" xfId="0" applyNumberFormat="1" applyFont="1" applyBorder="1"/>
    <xf numFmtId="3" fontId="52" fillId="0" borderId="75" xfId="0" applyNumberFormat="1" applyFont="1" applyBorder="1"/>
    <xf numFmtId="3" fontId="52" fillId="0" borderId="66" xfId="0" applyNumberFormat="1" applyFont="1" applyBorder="1"/>
    <xf numFmtId="49" fontId="40" fillId="0" borderId="0" xfId="0" applyNumberFormat="1" applyFont="1" applyAlignment="1">
      <alignment vertical="center" wrapText="1"/>
    </xf>
    <xf numFmtId="49" fontId="40" fillId="0" borderId="0" xfId="0" applyNumberFormat="1" applyFont="1" applyAlignment="1">
      <alignment horizontal="left" vertical="center" wrapText="1"/>
    </xf>
    <xf numFmtId="49" fontId="40" fillId="0" borderId="0" xfId="0" applyNumberFormat="1" applyFont="1" applyAlignment="1">
      <alignment vertical="center"/>
    </xf>
    <xf numFmtId="49" fontId="40" fillId="10" borderId="0" xfId="0" applyNumberFormat="1" applyFont="1" applyFill="1"/>
    <xf numFmtId="49" fontId="40" fillId="0" borderId="46" xfId="0" applyNumberFormat="1" applyFont="1" applyBorder="1"/>
    <xf numFmtId="12" fontId="40" fillId="0" borderId="0" xfId="0" applyNumberFormat="1" applyFont="1" applyAlignment="1">
      <alignment wrapText="1"/>
    </xf>
    <xf numFmtId="49" fontId="43" fillId="5" borderId="0" xfId="0" applyNumberFormat="1" applyFont="1" applyFill="1"/>
    <xf numFmtId="49" fontId="40" fillId="22" borderId="0" xfId="0" applyNumberFormat="1" applyFont="1" applyFill="1"/>
    <xf numFmtId="49" fontId="40" fillId="0" borderId="0" xfId="0" applyNumberFormat="1" applyFont="1" applyAlignment="1">
      <alignment wrapText="1"/>
    </xf>
    <xf numFmtId="3" fontId="32" fillId="0" borderId="19" xfId="0" applyNumberFormat="1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0" fontId="59" fillId="0" borderId="0" xfId="0" applyFont="1" applyAlignment="1" applyProtection="1">
      <alignment wrapText="1"/>
      <protection locked="0"/>
    </xf>
    <xf numFmtId="0" fontId="59" fillId="0" borderId="70" xfId="0" applyFont="1" applyBorder="1" applyAlignment="1" applyProtection="1">
      <alignment wrapText="1"/>
      <protection locked="0"/>
    </xf>
    <xf numFmtId="0" fontId="34" fillId="8" borderId="85" xfId="0" applyFont="1" applyFill="1" applyBorder="1"/>
    <xf numFmtId="0" fontId="34" fillId="8" borderId="86" xfId="0" applyFont="1" applyFill="1" applyBorder="1"/>
    <xf numFmtId="0" fontId="34" fillId="8" borderId="86" xfId="0" applyFont="1" applyFill="1" applyBorder="1" applyAlignment="1">
      <alignment horizontal="center"/>
    </xf>
    <xf numFmtId="3" fontId="34" fillId="8" borderId="87" xfId="0" applyNumberFormat="1" applyFont="1" applyFill="1" applyBorder="1"/>
    <xf numFmtId="0" fontId="34" fillId="8" borderId="83" xfId="0" applyFont="1" applyFill="1" applyBorder="1"/>
    <xf numFmtId="0" fontId="34" fillId="8" borderId="81" xfId="0" applyFont="1" applyFill="1" applyBorder="1"/>
    <xf numFmtId="0" fontId="34" fillId="8" borderId="81" xfId="0" applyFont="1" applyFill="1" applyBorder="1" applyAlignment="1">
      <alignment horizontal="center"/>
    </xf>
    <xf numFmtId="3" fontId="34" fillId="8" borderId="82" xfId="0" applyNumberFormat="1" applyFont="1" applyFill="1" applyBorder="1"/>
    <xf numFmtId="0" fontId="34" fillId="4" borderId="2" xfId="0" applyFont="1" applyFill="1" applyBorder="1" applyAlignment="1">
      <alignment vertical="center"/>
    </xf>
    <xf numFmtId="0" fontId="32" fillId="4" borderId="30" xfId="0" applyFont="1" applyFill="1" applyBorder="1" applyAlignment="1">
      <alignment vertical="center"/>
    </xf>
    <xf numFmtId="3" fontId="34" fillId="4" borderId="56" xfId="0" applyNumberFormat="1" applyFont="1" applyFill="1" applyBorder="1" applyAlignment="1">
      <alignment horizontal="center" vertical="center" wrapText="1"/>
    </xf>
    <xf numFmtId="0" fontId="34" fillId="8" borderId="2" xfId="0" applyFont="1" applyFill="1" applyBorder="1"/>
    <xf numFmtId="0" fontId="34" fillId="8" borderId="30" xfId="0" applyFont="1" applyFill="1" applyBorder="1"/>
    <xf numFmtId="0" fontId="34" fillId="8" borderId="30" xfId="0" applyFont="1" applyFill="1" applyBorder="1" applyAlignment="1">
      <alignment horizontal="center"/>
    </xf>
    <xf numFmtId="3" fontId="34" fillId="8" borderId="56" xfId="0" applyNumberFormat="1" applyFont="1" applyFill="1" applyBorder="1"/>
    <xf numFmtId="0" fontId="34" fillId="8" borderId="88" xfId="0" applyFont="1" applyFill="1" applyBorder="1"/>
    <xf numFmtId="0" fontId="34" fillId="8" borderId="80" xfId="0" applyFont="1" applyFill="1" applyBorder="1" applyAlignment="1">
      <alignment horizontal="center"/>
    </xf>
    <xf numFmtId="3" fontId="34" fillId="8" borderId="84" xfId="0" applyNumberFormat="1" applyFont="1" applyFill="1" applyBorder="1"/>
    <xf numFmtId="0" fontId="34" fillId="8" borderId="89" xfId="0" applyFont="1" applyFill="1" applyBorder="1"/>
    <xf numFmtId="0" fontId="34" fillId="8" borderId="81" xfId="0" applyFont="1" applyFill="1" applyBorder="1" applyAlignment="1">
      <alignment horizontal="left"/>
    </xf>
    <xf numFmtId="0" fontId="34" fillId="4" borderId="83" xfId="0" applyFont="1" applyFill="1" applyBorder="1"/>
    <xf numFmtId="0" fontId="34" fillId="4" borderId="81" xfId="0" applyFont="1" applyFill="1" applyBorder="1"/>
    <xf numFmtId="3" fontId="34" fillId="4" borderId="82" xfId="0" applyNumberFormat="1" applyFont="1" applyFill="1" applyBorder="1"/>
    <xf numFmtId="0" fontId="34" fillId="0" borderId="47" xfId="0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6" fillId="0" borderId="0" xfId="0" applyNumberFormat="1" applyFont="1" applyAlignment="1">
      <alignment horizontal="right"/>
    </xf>
    <xf numFmtId="164" fontId="34" fillId="0" borderId="0" xfId="1" applyFont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4" fillId="22" borderId="80" xfId="0" applyNumberFormat="1" applyFont="1" applyFill="1" applyBorder="1" applyAlignment="1">
      <alignment horizontal="right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3" fontId="32" fillId="8" borderId="0" xfId="0" applyNumberFormat="1" applyFont="1" applyFill="1"/>
    <xf numFmtId="3" fontId="36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3" fontId="41" fillId="8" borderId="0" xfId="0" applyNumberFormat="1" applyFont="1" applyFill="1" applyAlignment="1">
      <alignment horizontal="center"/>
    </xf>
    <xf numFmtId="49" fontId="40" fillId="8" borderId="0" xfId="0" applyNumberFormat="1" applyFont="1" applyFill="1"/>
    <xf numFmtId="0" fontId="32" fillId="8" borderId="0" xfId="0" applyFont="1" applyFill="1"/>
    <xf numFmtId="3" fontId="34" fillId="8" borderId="0" xfId="0" applyNumberFormat="1" applyFont="1" applyFill="1" applyAlignment="1">
      <alignment horizontal="center"/>
    </xf>
    <xf numFmtId="0" fontId="95" fillId="0" borderId="14" xfId="0" applyFont="1" applyBorder="1" applyAlignment="1">
      <alignment horizontal="right"/>
    </xf>
    <xf numFmtId="3" fontId="95" fillId="0" borderId="43" xfId="0" applyNumberFormat="1" applyFont="1" applyBorder="1"/>
    <xf numFmtId="0" fontId="95" fillId="0" borderId="14" xfId="0" applyFont="1" applyBorder="1" applyAlignment="1">
      <alignment horizontal="right" wrapText="1"/>
    </xf>
    <xf numFmtId="3" fontId="65" fillId="0" borderId="0" xfId="0" applyNumberFormat="1" applyFont="1" applyAlignment="1">
      <alignment horizontal="center" vertical="center" wrapText="1"/>
    </xf>
    <xf numFmtId="3" fontId="43" fillId="8" borderId="0" xfId="0" applyNumberFormat="1" applyFont="1" applyFill="1" applyAlignment="1">
      <alignment horizontal="center"/>
    </xf>
    <xf numFmtId="3" fontId="44" fillId="8" borderId="0" xfId="0" applyNumberFormat="1" applyFont="1" applyFill="1" applyAlignment="1">
      <alignment horizontal="center"/>
    </xf>
    <xf numFmtId="0" fontId="99" fillId="5" borderId="0" xfId="0" applyFont="1" applyFill="1"/>
    <xf numFmtId="0" fontId="0" fillId="5" borderId="0" xfId="0" applyFill="1"/>
    <xf numFmtId="0" fontId="100" fillId="5" borderId="0" xfId="0" applyFont="1" applyFill="1"/>
    <xf numFmtId="0" fontId="101" fillId="5" borderId="0" xfId="0" applyFont="1" applyFill="1"/>
    <xf numFmtId="0" fontId="0" fillId="13" borderId="0" xfId="0" applyFill="1"/>
    <xf numFmtId="0" fontId="12" fillId="13" borderId="0" xfId="0" applyFont="1" applyFill="1" applyAlignment="1">
      <alignment horizontal="center"/>
    </xf>
    <xf numFmtId="0" fontId="12" fillId="13" borderId="0" xfId="0" applyFont="1" applyFill="1"/>
    <xf numFmtId="0" fontId="12" fillId="5" borderId="5" xfId="0" applyFont="1" applyFill="1" applyBorder="1"/>
    <xf numFmtId="0" fontId="12" fillId="5" borderId="5" xfId="0" applyFont="1" applyFill="1" applyBorder="1" applyAlignment="1">
      <alignment horizontal="center"/>
    </xf>
    <xf numFmtId="0" fontId="12" fillId="5" borderId="56" xfId="0" applyFont="1" applyFill="1" applyBorder="1"/>
    <xf numFmtId="0" fontId="12" fillId="5" borderId="0" xfId="0" applyFont="1" applyFill="1"/>
    <xf numFmtId="0" fontId="102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3" fillId="5" borderId="0" xfId="0" applyNumberFormat="1" applyFont="1" applyFill="1" applyAlignment="1">
      <alignment horizontal="left" vertical="center"/>
    </xf>
    <xf numFmtId="0" fontId="12" fillId="5" borderId="1" xfId="0" applyFont="1" applyFill="1" applyBorder="1"/>
    <xf numFmtId="0" fontId="12" fillId="5" borderId="3" xfId="0" applyFont="1" applyFill="1" applyBorder="1"/>
    <xf numFmtId="0" fontId="12" fillId="5" borderId="22" xfId="0" applyFont="1" applyFill="1" applyBorder="1"/>
    <xf numFmtId="0" fontId="12" fillId="5" borderId="0" xfId="0" applyFont="1" applyFill="1" applyAlignment="1">
      <alignment horizontal="center"/>
    </xf>
    <xf numFmtId="0" fontId="102" fillId="5" borderId="0" xfId="0" applyFont="1" applyFill="1" applyAlignment="1">
      <alignment horizontal="right"/>
    </xf>
    <xf numFmtId="169" fontId="102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2" fillId="5" borderId="0" xfId="0" applyNumberFormat="1" applyFont="1" applyFill="1" applyAlignment="1">
      <alignment horizontal="right"/>
    </xf>
    <xf numFmtId="0" fontId="20" fillId="5" borderId="0" xfId="0" applyFont="1" applyFill="1"/>
    <xf numFmtId="0" fontId="104" fillId="5" borderId="0" xfId="0" applyFont="1" applyFill="1"/>
    <xf numFmtId="0" fontId="12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0" fillId="0" borderId="43" xfId="0" applyNumberFormat="1" applyFont="1" applyBorder="1"/>
    <xf numFmtId="49" fontId="36" fillId="0" borderId="0" xfId="0" applyNumberFormat="1" applyFont="1"/>
    <xf numFmtId="0" fontId="34" fillId="0" borderId="49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4" borderId="50" xfId="0" applyFont="1" applyFill="1" applyBorder="1" applyAlignment="1">
      <alignment horizontal="center" vertical="center"/>
    </xf>
    <xf numFmtId="3" fontId="34" fillId="0" borderId="2" xfId="0" applyNumberFormat="1" applyFont="1" applyBorder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/>
    </xf>
    <xf numFmtId="49" fontId="40" fillId="0" borderId="31" xfId="0" applyNumberFormat="1" applyFont="1" applyBorder="1"/>
    <xf numFmtId="3" fontId="34" fillId="8" borderId="92" xfId="0" applyNumberFormat="1" applyFont="1" applyFill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95" fillId="0" borderId="11" xfId="0" applyNumberFormat="1" applyFont="1" applyBorder="1"/>
    <xf numFmtId="3" fontId="34" fillId="8" borderId="93" xfId="0" applyNumberFormat="1" applyFont="1" applyFill="1" applyBorder="1"/>
    <xf numFmtId="3" fontId="36" fillId="0" borderId="59" xfId="0" applyNumberFormat="1" applyFont="1" applyBorder="1"/>
    <xf numFmtId="3" fontId="36" fillId="0" borderId="39" xfId="0" applyNumberFormat="1" applyFont="1" applyBorder="1"/>
    <xf numFmtId="9" fontId="32" fillId="0" borderId="59" xfId="8" applyFont="1" applyBorder="1"/>
    <xf numFmtId="9" fontId="32" fillId="0" borderId="0" xfId="8" applyFont="1" applyBorder="1"/>
    <xf numFmtId="9" fontId="32" fillId="0" borderId="39" xfId="8" applyFont="1" applyBorder="1"/>
    <xf numFmtId="3" fontId="34" fillId="4" borderId="3" xfId="0" applyNumberFormat="1" applyFont="1" applyFill="1" applyBorder="1" applyAlignment="1">
      <alignment horizontal="center" vertical="center" wrapText="1"/>
    </xf>
    <xf numFmtId="3" fontId="34" fillId="8" borderId="3" xfId="0" applyNumberFormat="1" applyFont="1" applyFill="1" applyBorder="1"/>
    <xf numFmtId="3" fontId="34" fillId="8" borderId="94" xfId="0" applyNumberFormat="1" applyFont="1" applyFill="1" applyBorder="1"/>
    <xf numFmtId="3" fontId="32" fillId="0" borderId="10" xfId="0" applyNumberFormat="1" applyFont="1" applyBorder="1" applyAlignment="1">
      <alignment vertical="center"/>
    </xf>
    <xf numFmtId="3" fontId="32" fillId="0" borderId="11" xfId="0" applyNumberFormat="1" applyFont="1" applyBorder="1" applyAlignment="1">
      <alignment vertical="center"/>
    </xf>
    <xf numFmtId="3" fontId="32" fillId="0" borderId="36" xfId="0" applyNumberFormat="1" applyFont="1" applyBorder="1"/>
    <xf numFmtId="0" fontId="105" fillId="22" borderId="23" xfId="0" applyFont="1" applyFill="1" applyBorder="1"/>
    <xf numFmtId="0" fontId="105" fillId="22" borderId="25" xfId="0" applyFont="1" applyFill="1" applyBorder="1" applyAlignment="1">
      <alignment horizontal="right" indent="5"/>
    </xf>
    <xf numFmtId="169" fontId="105" fillId="22" borderId="25" xfId="0" applyNumberFormat="1" applyFont="1" applyFill="1" applyBorder="1" applyAlignment="1">
      <alignment horizontal="right" indent="1"/>
    </xf>
    <xf numFmtId="0" fontId="105" fillId="22" borderId="25" xfId="0" applyFont="1" applyFill="1" applyBorder="1"/>
    <xf numFmtId="0" fontId="105" fillId="22" borderId="25" xfId="0" applyFont="1" applyFill="1" applyBorder="1" applyAlignment="1">
      <alignment horizontal="center"/>
    </xf>
    <xf numFmtId="0" fontId="105" fillId="22" borderId="27" xfId="0" applyFont="1" applyFill="1" applyBorder="1"/>
    <xf numFmtId="0" fontId="105" fillId="22" borderId="23" xfId="0" applyFont="1" applyFill="1" applyBorder="1" applyAlignment="1">
      <alignment wrapText="1"/>
    </xf>
    <xf numFmtId="0" fontId="105" fillId="22" borderId="14" xfId="0" applyFont="1" applyFill="1" applyBorder="1"/>
    <xf numFmtId="0" fontId="106" fillId="22" borderId="25" xfId="0" applyFont="1" applyFill="1" applyBorder="1" applyAlignment="1">
      <alignment horizontal="center"/>
    </xf>
    <xf numFmtId="0" fontId="105" fillId="22" borderId="27" xfId="0" applyFont="1" applyFill="1" applyBorder="1" applyAlignment="1">
      <alignment horizontal="center"/>
    </xf>
    <xf numFmtId="0" fontId="105" fillId="22" borderId="25" xfId="0" applyFont="1" applyFill="1" applyBorder="1" applyAlignment="1">
      <alignment horizontal="left"/>
    </xf>
    <xf numFmtId="0" fontId="105" fillId="22" borderId="19" xfId="0" applyFont="1" applyFill="1" applyBorder="1"/>
    <xf numFmtId="0" fontId="105" fillId="22" borderId="14" xfId="0" applyFont="1" applyFill="1" applyBorder="1" applyAlignment="1">
      <alignment horizontal="right" indent="5"/>
    </xf>
    <xf numFmtId="0" fontId="105" fillId="22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center"/>
    </xf>
    <xf numFmtId="0" fontId="105" fillId="22" borderId="43" xfId="0" applyFont="1" applyFill="1" applyBorder="1" applyAlignment="1">
      <alignment horizontal="center"/>
    </xf>
    <xf numFmtId="0" fontId="105" fillId="22" borderId="43" xfId="0" applyFont="1" applyFill="1" applyBorder="1"/>
    <xf numFmtId="0" fontId="105" fillId="22" borderId="24" xfId="0" applyFont="1" applyFill="1" applyBorder="1" applyAlignment="1">
      <alignment horizontal="right" indent="5"/>
    </xf>
    <xf numFmtId="169" fontId="105" fillId="22" borderId="14" xfId="0" applyNumberFormat="1" applyFont="1" applyFill="1" applyBorder="1" applyAlignment="1">
      <alignment horizontal="right" indent="1"/>
    </xf>
    <xf numFmtId="169" fontId="105" fillId="22" borderId="38" xfId="0" applyNumberFormat="1" applyFont="1" applyFill="1" applyBorder="1" applyAlignment="1">
      <alignment horizontal="right" indent="1"/>
    </xf>
    <xf numFmtId="0" fontId="105" fillId="22" borderId="24" xfId="0" applyFont="1" applyFill="1" applyBorder="1" applyAlignment="1">
      <alignment horizontal="center"/>
    </xf>
    <xf numFmtId="0" fontId="106" fillId="22" borderId="24" xfId="0" applyFont="1" applyFill="1" applyBorder="1" applyAlignment="1">
      <alignment horizontal="center"/>
    </xf>
    <xf numFmtId="0" fontId="105" fillId="22" borderId="24" xfId="0" applyFont="1" applyFill="1" applyBorder="1"/>
    <xf numFmtId="0" fontId="105" fillId="22" borderId="40" xfId="0" applyFont="1" applyFill="1" applyBorder="1"/>
    <xf numFmtId="0" fontId="105" fillId="22" borderId="37" xfId="0" applyFont="1" applyFill="1" applyBorder="1" applyAlignment="1">
      <alignment horizontal="right" indent="5"/>
    </xf>
    <xf numFmtId="169" fontId="105" fillId="22" borderId="37" xfId="0" applyNumberFormat="1" applyFont="1" applyFill="1" applyBorder="1" applyAlignment="1">
      <alignment horizontal="right" indent="1"/>
    </xf>
    <xf numFmtId="169" fontId="105" fillId="22" borderId="51" xfId="0" applyNumberFormat="1" applyFont="1" applyFill="1" applyBorder="1" applyAlignment="1">
      <alignment horizontal="right" indent="1"/>
    </xf>
    <xf numFmtId="0" fontId="105" fillId="22" borderId="37" xfId="0" applyFont="1" applyFill="1" applyBorder="1"/>
    <xf numFmtId="0" fontId="105" fillId="22" borderId="37" xfId="0" applyFont="1" applyFill="1" applyBorder="1" applyAlignment="1">
      <alignment horizontal="center"/>
    </xf>
    <xf numFmtId="0" fontId="106" fillId="22" borderId="37" xfId="0" applyFont="1" applyFill="1" applyBorder="1" applyAlignment="1">
      <alignment horizontal="center"/>
    </xf>
    <xf numFmtId="0" fontId="105" fillId="22" borderId="33" xfId="0" applyFont="1" applyFill="1" applyBorder="1" applyAlignment="1">
      <alignment horizontal="center"/>
    </xf>
    <xf numFmtId="0" fontId="105" fillId="22" borderId="33" xfId="0" applyFont="1" applyFill="1" applyBorder="1"/>
    <xf numFmtId="0" fontId="105" fillId="5" borderId="0" xfId="0" applyFont="1" applyFill="1"/>
    <xf numFmtId="0" fontId="106" fillId="5" borderId="0" xfId="0" applyFont="1" applyFill="1"/>
    <xf numFmtId="3" fontId="105" fillId="5" borderId="0" xfId="0" applyNumberFormat="1" applyFont="1" applyFill="1" applyAlignment="1">
      <alignment horizontal="right" indent="5"/>
    </xf>
    <xf numFmtId="169" fontId="105" fillId="5" borderId="0" xfId="0" applyNumberFormat="1" applyFont="1" applyFill="1"/>
    <xf numFmtId="0" fontId="106" fillId="5" borderId="1" xfId="0" applyFont="1" applyFill="1" applyBorder="1"/>
    <xf numFmtId="0" fontId="106" fillId="5" borderId="56" xfId="0" applyFont="1" applyFill="1" applyBorder="1"/>
    <xf numFmtId="0" fontId="106" fillId="5" borderId="5" xfId="0" applyFont="1" applyFill="1" applyBorder="1"/>
    <xf numFmtId="0" fontId="105" fillId="35" borderId="18" xfId="0" applyFont="1" applyFill="1" applyBorder="1"/>
    <xf numFmtId="0" fontId="105" fillId="35" borderId="60" xfId="0" applyFont="1" applyFill="1" applyBorder="1" applyAlignment="1">
      <alignment horizontal="right" indent="5"/>
    </xf>
    <xf numFmtId="169" fontId="105" fillId="35" borderId="23" xfId="0" applyNumberFormat="1" applyFont="1" applyFill="1" applyBorder="1" applyAlignment="1">
      <alignment horizontal="right" indent="1"/>
    </xf>
    <xf numFmtId="169" fontId="105" fillId="35" borderId="25" xfId="0" applyNumberFormat="1" applyFont="1" applyFill="1" applyBorder="1" applyAlignment="1">
      <alignment horizontal="right" indent="1"/>
    </xf>
    <xf numFmtId="169" fontId="105" fillId="35" borderId="14" xfId="0" applyNumberFormat="1" applyFont="1" applyFill="1" applyBorder="1" applyAlignment="1">
      <alignment horizontal="right" indent="1"/>
    </xf>
    <xf numFmtId="0" fontId="105" fillId="35" borderId="25" xfId="0" applyFont="1" applyFill="1" applyBorder="1"/>
    <xf numFmtId="0" fontId="105" fillId="35" borderId="27" xfId="0" applyFont="1" applyFill="1" applyBorder="1"/>
    <xf numFmtId="0" fontId="107" fillId="5" borderId="0" xfId="0" applyFont="1" applyFill="1"/>
    <xf numFmtId="0" fontId="105" fillId="35" borderId="23" xfId="0" applyFont="1" applyFill="1" applyBorder="1"/>
    <xf numFmtId="0" fontId="105" fillId="35" borderId="27" xfId="0" applyFont="1" applyFill="1" applyBorder="1" applyAlignment="1">
      <alignment horizontal="right" indent="5"/>
    </xf>
    <xf numFmtId="0" fontId="105" fillId="0" borderId="0" xfId="0" applyFont="1"/>
    <xf numFmtId="0" fontId="105" fillId="35" borderId="14" xfId="0" applyFont="1" applyFill="1" applyBorder="1"/>
    <xf numFmtId="0" fontId="105" fillId="35" borderId="14" xfId="0" applyFont="1" applyFill="1" applyBorder="1" applyAlignment="1">
      <alignment horizontal="right" indent="5"/>
    </xf>
    <xf numFmtId="0" fontId="106" fillId="5" borderId="3" xfId="0" applyFont="1" applyFill="1" applyBorder="1"/>
    <xf numFmtId="0" fontId="106" fillId="5" borderId="22" xfId="0" applyFont="1" applyFill="1" applyBorder="1"/>
    <xf numFmtId="0" fontId="105" fillId="20" borderId="10" xfId="0" applyFont="1" applyFill="1" applyBorder="1"/>
    <xf numFmtId="169" fontId="105" fillId="20" borderId="19" xfId="0" applyNumberFormat="1" applyFont="1" applyFill="1" applyBorder="1" applyAlignment="1">
      <alignment horizontal="right" indent="1"/>
    </xf>
    <xf numFmtId="169" fontId="105" fillId="20" borderId="42" xfId="0" applyNumberFormat="1" applyFont="1" applyFill="1" applyBorder="1" applyAlignment="1">
      <alignment horizontal="right" indent="1"/>
    </xf>
    <xf numFmtId="169" fontId="105" fillId="20" borderId="25" xfId="0" applyNumberFormat="1" applyFont="1" applyFill="1" applyBorder="1" applyAlignment="1">
      <alignment horizontal="right" indent="1"/>
    </xf>
    <xf numFmtId="0" fontId="105" fillId="20" borderId="25" xfId="0" applyFont="1" applyFill="1" applyBorder="1"/>
    <xf numFmtId="0" fontId="105" fillId="20" borderId="14" xfId="0" applyFont="1" applyFill="1" applyBorder="1"/>
    <xf numFmtId="0" fontId="105" fillId="20" borderId="27" xfId="0" applyFont="1" applyFill="1" applyBorder="1"/>
    <xf numFmtId="0" fontId="105" fillId="20" borderId="34" xfId="0" applyFont="1" applyFill="1" applyBorder="1"/>
    <xf numFmtId="169" fontId="105" fillId="20" borderId="40" xfId="0" applyNumberFormat="1" applyFont="1" applyFill="1" applyBorder="1" applyAlignment="1">
      <alignment horizontal="right" indent="1"/>
    </xf>
    <xf numFmtId="169" fontId="105" fillId="20" borderId="48" xfId="0" applyNumberFormat="1" applyFont="1" applyFill="1" applyBorder="1" applyAlignment="1">
      <alignment horizontal="right" indent="1"/>
    </xf>
    <xf numFmtId="169" fontId="105" fillId="20" borderId="37" xfId="0" applyNumberFormat="1" applyFont="1" applyFill="1" applyBorder="1" applyAlignment="1">
      <alignment horizontal="right" indent="1"/>
    </xf>
    <xf numFmtId="0" fontId="105" fillId="20" borderId="37" xfId="0" applyFont="1" applyFill="1" applyBorder="1"/>
    <xf numFmtId="0" fontId="105" fillId="20" borderId="51" xfId="0" applyFont="1" applyFill="1" applyBorder="1"/>
    <xf numFmtId="0" fontId="105" fillId="20" borderId="28" xfId="0" applyFont="1" applyFill="1" applyBorder="1"/>
    <xf numFmtId="0" fontId="105" fillId="28" borderId="10" xfId="0" applyFont="1" applyFill="1" applyBorder="1"/>
    <xf numFmtId="169" fontId="105" fillId="28" borderId="23" xfId="0" applyNumberFormat="1" applyFont="1" applyFill="1" applyBorder="1" applyAlignment="1">
      <alignment horizontal="right" indent="1"/>
    </xf>
    <xf numFmtId="169" fontId="105" fillId="28" borderId="42" xfId="0" applyNumberFormat="1" applyFont="1" applyFill="1" applyBorder="1" applyAlignment="1">
      <alignment horizontal="right" indent="1"/>
    </xf>
    <xf numFmtId="169" fontId="105" fillId="28" borderId="25" xfId="0" applyNumberFormat="1" applyFont="1" applyFill="1" applyBorder="1" applyAlignment="1">
      <alignment horizontal="right" indent="1"/>
    </xf>
    <xf numFmtId="0" fontId="105" fillId="28" borderId="27" xfId="0" applyFont="1" applyFill="1" applyBorder="1"/>
    <xf numFmtId="0" fontId="105" fillId="28" borderId="25" xfId="0" applyFont="1" applyFill="1" applyBorder="1"/>
    <xf numFmtId="169" fontId="105" fillId="28" borderId="19" xfId="0" applyNumberFormat="1" applyFont="1" applyFill="1" applyBorder="1" applyAlignment="1">
      <alignment horizontal="right" indent="1"/>
    </xf>
    <xf numFmtId="169" fontId="105" fillId="28" borderId="21" xfId="0" applyNumberFormat="1" applyFont="1" applyFill="1" applyBorder="1" applyAlignment="1">
      <alignment horizontal="right" indent="1"/>
    </xf>
    <xf numFmtId="169" fontId="105" fillId="28" borderId="14" xfId="0" applyNumberFormat="1" applyFont="1" applyFill="1" applyBorder="1" applyAlignment="1">
      <alignment horizontal="right" indent="1"/>
    </xf>
    <xf numFmtId="0" fontId="105" fillId="28" borderId="43" xfId="0" applyFont="1" applyFill="1" applyBorder="1"/>
    <xf numFmtId="0" fontId="105" fillId="28" borderId="34" xfId="0" applyFont="1" applyFill="1" applyBorder="1"/>
    <xf numFmtId="169" fontId="105" fillId="28" borderId="54" xfId="0" applyNumberFormat="1" applyFont="1" applyFill="1" applyBorder="1" applyAlignment="1">
      <alignment horizontal="right" indent="1"/>
    </xf>
    <xf numFmtId="169" fontId="105" fillId="28" borderId="55" xfId="0" applyNumberFormat="1" applyFont="1" applyFill="1" applyBorder="1" applyAlignment="1">
      <alignment horizontal="right" indent="1"/>
    </xf>
    <xf numFmtId="169" fontId="105" fillId="28" borderId="51" xfId="0" applyNumberFormat="1" applyFont="1" applyFill="1" applyBorder="1" applyAlignment="1">
      <alignment horizontal="right" indent="1"/>
    </xf>
    <xf numFmtId="0" fontId="105" fillId="28" borderId="28" xfId="0" applyFont="1" applyFill="1" applyBorder="1"/>
    <xf numFmtId="0" fontId="105" fillId="8" borderId="10" xfId="0" applyFont="1" applyFill="1" applyBorder="1"/>
    <xf numFmtId="169" fontId="105" fillId="8" borderId="23" xfId="0" applyNumberFormat="1" applyFont="1" applyFill="1" applyBorder="1" applyAlignment="1">
      <alignment horizontal="right" indent="1"/>
    </xf>
    <xf numFmtId="169" fontId="105" fillId="8" borderId="42" xfId="0" applyNumberFormat="1" applyFont="1" applyFill="1" applyBorder="1" applyAlignment="1">
      <alignment horizontal="right" indent="1"/>
    </xf>
    <xf numFmtId="169" fontId="105" fillId="8" borderId="25" xfId="0" applyNumberFormat="1" applyFont="1" applyFill="1" applyBorder="1" applyAlignment="1">
      <alignment horizontal="right" indent="1"/>
    </xf>
    <xf numFmtId="0" fontId="105" fillId="8" borderId="27" xfId="0" applyFont="1" applyFill="1" applyBorder="1"/>
    <xf numFmtId="0" fontId="105" fillId="8" borderId="25" xfId="0" applyFont="1" applyFill="1" applyBorder="1"/>
    <xf numFmtId="0" fontId="105" fillId="8" borderId="14" xfId="0" applyFont="1" applyFill="1" applyBorder="1"/>
    <xf numFmtId="169" fontId="105" fillId="8" borderId="14" xfId="0" applyNumberFormat="1" applyFont="1" applyFill="1" applyBorder="1" applyAlignment="1">
      <alignment horizontal="right" indent="1"/>
    </xf>
    <xf numFmtId="0" fontId="106" fillId="5" borderId="0" xfId="0" applyFont="1" applyFill="1" applyAlignment="1">
      <alignment horizontal="center"/>
    </xf>
    <xf numFmtId="0" fontId="107" fillId="5" borderId="0" xfId="0" applyFont="1" applyFill="1" applyAlignment="1">
      <alignment horizontal="right"/>
    </xf>
    <xf numFmtId="169" fontId="107" fillId="5" borderId="0" xfId="0" applyNumberFormat="1" applyFont="1" applyFill="1"/>
    <xf numFmtId="169" fontId="106" fillId="5" borderId="0" xfId="0" applyNumberFormat="1" applyFont="1" applyFill="1"/>
    <xf numFmtId="0" fontId="108" fillId="5" borderId="0" xfId="0" applyFont="1" applyFill="1"/>
    <xf numFmtId="6" fontId="108" fillId="5" borderId="0" xfId="0" applyNumberFormat="1" applyFont="1" applyFill="1"/>
    <xf numFmtId="6" fontId="105" fillId="5" borderId="0" xfId="0" applyNumberFormat="1" applyFont="1" applyFill="1"/>
    <xf numFmtId="0" fontId="105" fillId="4" borderId="0" xfId="0" applyFont="1" applyFill="1"/>
    <xf numFmtId="169" fontId="105" fillId="4" borderId="0" xfId="0" applyNumberFormat="1" applyFont="1" applyFill="1"/>
    <xf numFmtId="0" fontId="108" fillId="4" borderId="0" xfId="0" applyFont="1" applyFill="1"/>
    <xf numFmtId="6" fontId="108" fillId="4" borderId="0" xfId="0" applyNumberFormat="1" applyFont="1" applyFill="1"/>
    <xf numFmtId="0" fontId="107" fillId="4" borderId="0" xfId="0" applyFont="1" applyFill="1" applyAlignment="1">
      <alignment horizontal="right"/>
    </xf>
    <xf numFmtId="169" fontId="107" fillId="4" borderId="0" xfId="0" applyNumberFormat="1" applyFont="1" applyFill="1"/>
    <xf numFmtId="0" fontId="106" fillId="4" borderId="0" xfId="0" applyFont="1" applyFill="1"/>
    <xf numFmtId="0" fontId="109" fillId="5" borderId="0" xfId="0" applyFont="1" applyFill="1"/>
    <xf numFmtId="0" fontId="110" fillId="5" borderId="0" xfId="0" applyFont="1" applyFill="1"/>
    <xf numFmtId="0" fontId="110" fillId="5" borderId="63" xfId="0" applyFont="1" applyFill="1" applyBorder="1"/>
    <xf numFmtId="0" fontId="106" fillId="5" borderId="64" xfId="0" applyFont="1" applyFill="1" applyBorder="1"/>
    <xf numFmtId="0" fontId="106" fillId="5" borderId="64" xfId="0" applyFont="1" applyFill="1" applyBorder="1" applyAlignment="1">
      <alignment horizontal="center"/>
    </xf>
    <xf numFmtId="0" fontId="106" fillId="5" borderId="67" xfId="0" applyFont="1" applyFill="1" applyBorder="1"/>
    <xf numFmtId="0" fontId="107" fillId="5" borderId="0" xfId="0" applyFont="1" applyFill="1" applyAlignment="1">
      <alignment horizontal="left" indent="8"/>
    </xf>
    <xf numFmtId="169" fontId="105" fillId="35" borderId="54" xfId="0" applyNumberFormat="1" applyFont="1" applyFill="1" applyBorder="1" applyAlignment="1">
      <alignment horizontal="right" indent="1"/>
    </xf>
    <xf numFmtId="169" fontId="105" fillId="35" borderId="51" xfId="0" applyNumberFormat="1" applyFont="1" applyFill="1" applyBorder="1" applyAlignment="1">
      <alignment horizontal="right" indent="1"/>
    </xf>
    <xf numFmtId="169" fontId="111" fillId="5" borderId="0" xfId="0" applyNumberFormat="1" applyFont="1" applyFill="1"/>
    <xf numFmtId="0" fontId="105" fillId="28" borderId="70" xfId="0" applyFont="1" applyFill="1" applyBorder="1"/>
    <xf numFmtId="0" fontId="105" fillId="28" borderId="14" xfId="0" applyFont="1" applyFill="1" applyBorder="1"/>
    <xf numFmtId="0" fontId="106" fillId="5" borderId="77" xfId="0" applyFont="1" applyFill="1" applyBorder="1"/>
    <xf numFmtId="0" fontId="106" fillId="5" borderId="95" xfId="0" applyFont="1" applyFill="1" applyBorder="1"/>
    <xf numFmtId="0" fontId="106" fillId="5" borderId="78" xfId="0" applyFont="1" applyFill="1" applyBorder="1"/>
    <xf numFmtId="0" fontId="106" fillId="5" borderId="79" xfId="0" applyFont="1" applyFill="1" applyBorder="1"/>
    <xf numFmtId="0" fontId="105" fillId="8" borderId="21" xfId="0" applyFont="1" applyFill="1" applyBorder="1"/>
    <xf numFmtId="169" fontId="105" fillId="8" borderId="19" xfId="0" applyNumberFormat="1" applyFont="1" applyFill="1" applyBorder="1" applyAlignment="1">
      <alignment horizontal="right" indent="1"/>
    </xf>
    <xf numFmtId="169" fontId="105" fillId="8" borderId="21" xfId="0" applyNumberFormat="1" applyFont="1" applyFill="1" applyBorder="1" applyAlignment="1">
      <alignment horizontal="right" indent="1"/>
    </xf>
    <xf numFmtId="0" fontId="105" fillId="8" borderId="43" xfId="0" applyFont="1" applyFill="1" applyBorder="1"/>
    <xf numFmtId="0" fontId="105" fillId="8" borderId="53" xfId="0" applyFont="1" applyFill="1" applyBorder="1"/>
    <xf numFmtId="169" fontId="105" fillId="8" borderId="54" xfId="0" applyNumberFormat="1" applyFont="1" applyFill="1" applyBorder="1" applyAlignment="1">
      <alignment horizontal="right" indent="1"/>
    </xf>
    <xf numFmtId="169" fontId="105" fillId="8" borderId="55" xfId="0" applyNumberFormat="1" applyFont="1" applyFill="1" applyBorder="1" applyAlignment="1">
      <alignment horizontal="right" indent="1"/>
    </xf>
    <xf numFmtId="169" fontId="105" fillId="8" borderId="51" xfId="0" applyNumberFormat="1" applyFont="1" applyFill="1" applyBorder="1" applyAlignment="1">
      <alignment horizontal="right" indent="1"/>
    </xf>
    <xf numFmtId="0" fontId="105" fillId="8" borderId="28" xfId="0" applyFont="1" applyFill="1" applyBorder="1"/>
    <xf numFmtId="0" fontId="105" fillId="8" borderId="51" xfId="0" applyFont="1" applyFill="1" applyBorder="1"/>
    <xf numFmtId="169" fontId="105" fillId="0" borderId="0" xfId="0" applyNumberFormat="1" applyFont="1" applyAlignment="1">
      <alignment horizontal="right" indent="1"/>
    </xf>
    <xf numFmtId="0" fontId="105" fillId="8" borderId="42" xfId="0" applyFont="1" applyFill="1" applyBorder="1"/>
    <xf numFmtId="0" fontId="105" fillId="8" borderId="55" xfId="0" applyFont="1" applyFill="1" applyBorder="1"/>
    <xf numFmtId="169" fontId="104" fillId="4" borderId="0" xfId="0" applyNumberFormat="1" applyFont="1" applyFill="1"/>
    <xf numFmtId="0" fontId="12" fillId="5" borderId="6" xfId="0" applyFont="1" applyFill="1" applyBorder="1"/>
    <xf numFmtId="0" fontId="105" fillId="22" borderId="7" xfId="0" applyFont="1" applyFill="1" applyBorder="1"/>
    <xf numFmtId="0" fontId="105" fillId="22" borderId="8" xfId="0" applyFont="1" applyFill="1" applyBorder="1"/>
    <xf numFmtId="0" fontId="105" fillId="22" borderId="9" xfId="0" applyFont="1" applyFill="1" applyBorder="1"/>
    <xf numFmtId="0" fontId="105" fillId="22" borderId="35" xfId="0" applyFont="1" applyFill="1" applyBorder="1"/>
    <xf numFmtId="0" fontId="105" fillId="22" borderId="23" xfId="0" applyFont="1" applyFill="1" applyBorder="1" applyAlignment="1">
      <alignment horizontal="right" indent="5"/>
    </xf>
    <xf numFmtId="0" fontId="105" fillId="22" borderId="19" xfId="0" applyFont="1" applyFill="1" applyBorder="1" applyAlignment="1">
      <alignment horizontal="right" indent="5"/>
    </xf>
    <xf numFmtId="0" fontId="105" fillId="22" borderId="29" xfId="0" applyFont="1" applyFill="1" applyBorder="1" applyAlignment="1">
      <alignment horizontal="right" indent="5"/>
    </xf>
    <xf numFmtId="0" fontId="105" fillId="22" borderId="66" xfId="0" applyFont="1" applyFill="1" applyBorder="1" applyAlignment="1">
      <alignment horizontal="center"/>
    </xf>
    <xf numFmtId="0" fontId="10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5" fillId="22" borderId="10" xfId="0" applyFont="1" applyFill="1" applyBorder="1"/>
    <xf numFmtId="0" fontId="105" fillId="22" borderId="10" xfId="0" applyFont="1" applyFill="1" applyBorder="1" applyAlignment="1">
      <alignment wrapText="1"/>
    </xf>
    <xf numFmtId="0" fontId="105" fillId="22" borderId="11" xfId="0" applyFont="1" applyFill="1" applyBorder="1"/>
    <xf numFmtId="0" fontId="105" fillId="22" borderId="12" xfId="0" applyFont="1" applyFill="1" applyBorder="1"/>
    <xf numFmtId="0" fontId="105" fillId="22" borderId="34" xfId="0" applyFont="1" applyFill="1" applyBorder="1"/>
    <xf numFmtId="0" fontId="105" fillId="35" borderId="70" xfId="0" applyFont="1" applyFill="1" applyBorder="1"/>
    <xf numFmtId="3" fontId="105" fillId="35" borderId="53" xfId="0" applyNumberFormat="1" applyFont="1" applyFill="1" applyBorder="1" applyAlignment="1">
      <alignment horizontal="right" indent="5"/>
    </xf>
    <xf numFmtId="0" fontId="105" fillId="35" borderId="21" xfId="0" applyFont="1" applyFill="1" applyBorder="1"/>
    <xf numFmtId="0" fontId="105" fillId="35" borderId="28" xfId="0" applyFont="1" applyFill="1" applyBorder="1"/>
    <xf numFmtId="3" fontId="63" fillId="0" borderId="0" xfId="0" applyNumberFormat="1" applyFont="1"/>
    <xf numFmtId="3" fontId="63" fillId="0" borderId="0" xfId="0" applyNumberFormat="1" applyFont="1" applyAlignment="1">
      <alignment horizontal="center"/>
    </xf>
    <xf numFmtId="3" fontId="112" fillId="0" borderId="0" xfId="0" applyNumberFormat="1" applyFont="1"/>
    <xf numFmtId="3" fontId="113" fillId="0" borderId="0" xfId="0" applyNumberFormat="1" applyFont="1"/>
    <xf numFmtId="3" fontId="62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0" xfId="0" applyNumberFormat="1" applyFont="1" applyAlignment="1">
      <alignment horizontal="right"/>
    </xf>
    <xf numFmtId="3" fontId="113" fillId="0" borderId="0" xfId="0" applyNumberFormat="1" applyFont="1" applyAlignment="1">
      <alignment horizontal="right"/>
    </xf>
    <xf numFmtId="3" fontId="115" fillId="0" borderId="0" xfId="0" applyNumberFormat="1" applyFont="1" applyAlignment="1">
      <alignment horizontal="center"/>
    </xf>
    <xf numFmtId="3" fontId="116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3" fontId="61" fillId="0" borderId="0" xfId="0" applyNumberFormat="1" applyFont="1" applyAlignment="1">
      <alignment horizontal="right"/>
    </xf>
    <xf numFmtId="175" fontId="63" fillId="0" borderId="0" xfId="0" applyNumberFormat="1" applyFont="1"/>
    <xf numFmtId="3" fontId="1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7" fillId="0" borderId="0" xfId="0" applyNumberFormat="1" applyFont="1"/>
    <xf numFmtId="9" fontId="17" fillId="0" borderId="0" xfId="8" applyFont="1"/>
    <xf numFmtId="3" fontId="15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9" fontId="17" fillId="0" borderId="0" xfId="8" applyFont="1" applyAlignment="1">
      <alignment horizontal="center"/>
    </xf>
    <xf numFmtId="0" fontId="36" fillId="5" borderId="27" xfId="0" applyFont="1" applyFill="1" applyBorder="1" applyAlignment="1">
      <alignment horizontal="left" wrapText="1"/>
    </xf>
    <xf numFmtId="0" fontId="32" fillId="5" borderId="7" xfId="0" applyFont="1" applyFill="1" applyBorder="1" applyAlignment="1">
      <alignment horizontal="left" wrapText="1"/>
    </xf>
    <xf numFmtId="0" fontId="36" fillId="5" borderId="7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wrapText="1"/>
    </xf>
    <xf numFmtId="3" fontId="34" fillId="7" borderId="48" xfId="0" applyNumberFormat="1" applyFont="1" applyFill="1" applyBorder="1"/>
    <xf numFmtId="3" fontId="34" fillId="7" borderId="40" xfId="0" applyNumberFormat="1" applyFont="1" applyFill="1" applyBorder="1"/>
    <xf numFmtId="3" fontId="34" fillId="7" borderId="49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3" fontId="34" fillId="7" borderId="42" xfId="0" applyNumberFormat="1" applyFont="1" applyFill="1" applyBorder="1" applyAlignment="1">
      <alignment wrapText="1"/>
    </xf>
    <xf numFmtId="3" fontId="34" fillId="7" borderId="25" xfId="0" applyNumberFormat="1" applyFont="1" applyFill="1" applyBorder="1" applyAlignment="1">
      <alignment wrapText="1"/>
    </xf>
    <xf numFmtId="3" fontId="34" fillId="7" borderId="47" xfId="0" applyNumberFormat="1" applyFont="1" applyFill="1" applyBorder="1" applyAlignment="1">
      <alignment wrapText="1"/>
    </xf>
    <xf numFmtId="3" fontId="34" fillId="7" borderId="23" xfId="0" applyNumberFormat="1" applyFont="1" applyFill="1" applyBorder="1" applyAlignment="1">
      <alignment wrapText="1"/>
    </xf>
    <xf numFmtId="3" fontId="34" fillId="7" borderId="26" xfId="0" applyNumberFormat="1" applyFont="1" applyFill="1" applyBorder="1" applyAlignment="1">
      <alignment wrapText="1"/>
    </xf>
    <xf numFmtId="3" fontId="34" fillId="7" borderId="27" xfId="0" applyNumberFormat="1" applyFont="1" applyFill="1" applyBorder="1" applyAlignment="1">
      <alignment wrapText="1"/>
    </xf>
    <xf numFmtId="3" fontId="34" fillId="7" borderId="22" xfId="0" applyNumberFormat="1" applyFont="1" applyFill="1" applyBorder="1"/>
    <xf numFmtId="3" fontId="34" fillId="7" borderId="5" xfId="0" applyNumberFormat="1" applyFont="1" applyFill="1" applyBorder="1"/>
    <xf numFmtId="3" fontId="34" fillId="7" borderId="30" xfId="0" applyNumberFormat="1" applyFont="1" applyFill="1" applyBorder="1"/>
    <xf numFmtId="3" fontId="34" fillId="7" borderId="1" xfId="0" applyNumberFormat="1" applyFont="1" applyFill="1" applyBorder="1"/>
    <xf numFmtId="3" fontId="34" fillId="7" borderId="50" xfId="0" applyNumberFormat="1" applyFont="1" applyFill="1" applyBorder="1"/>
    <xf numFmtId="3" fontId="34" fillId="7" borderId="56" xfId="0" applyNumberFormat="1" applyFont="1" applyFill="1" applyBorder="1"/>
    <xf numFmtId="0" fontId="34" fillId="7" borderId="25" xfId="0" applyFont="1" applyFill="1" applyBorder="1" applyAlignment="1">
      <alignment horizontal="center"/>
    </xf>
    <xf numFmtId="0" fontId="34" fillId="7" borderId="7" xfId="0" applyFont="1" applyFill="1" applyBorder="1" applyAlignment="1">
      <alignment wrapText="1"/>
    </xf>
    <xf numFmtId="0" fontId="34" fillId="7" borderId="18" xfId="0" applyFont="1" applyFill="1" applyBorder="1" applyAlignment="1">
      <alignment horizontal="center"/>
    </xf>
    <xf numFmtId="0" fontId="34" fillId="7" borderId="31" xfId="0" applyFont="1" applyFill="1" applyBorder="1" applyAlignment="1">
      <alignment wrapText="1"/>
    </xf>
    <xf numFmtId="3" fontId="34" fillId="7" borderId="20" xfId="0" applyNumberFormat="1" applyFont="1" applyFill="1" applyBorder="1" applyAlignment="1">
      <alignment wrapText="1"/>
    </xf>
    <xf numFmtId="3" fontId="34" fillId="7" borderId="15" xfId="0" applyNumberFormat="1" applyFont="1" applyFill="1" applyBorder="1" applyAlignment="1">
      <alignment wrapText="1"/>
    </xf>
    <xf numFmtId="3" fontId="34" fillId="7" borderId="13" xfId="0" applyNumberFormat="1" applyFont="1" applyFill="1" applyBorder="1" applyAlignment="1">
      <alignment wrapText="1"/>
    </xf>
    <xf numFmtId="3" fontId="34" fillId="7" borderId="60" xfId="0" applyNumberFormat="1" applyFont="1" applyFill="1" applyBorder="1" applyAlignment="1">
      <alignment wrapText="1"/>
    </xf>
    <xf numFmtId="3" fontId="34" fillId="7" borderId="46" xfId="0" applyNumberFormat="1" applyFont="1" applyFill="1" applyBorder="1" applyAlignment="1">
      <alignment wrapText="1"/>
    </xf>
    <xf numFmtId="9" fontId="17" fillId="4" borderId="0" xfId="8" applyFont="1" applyFill="1" applyAlignment="1">
      <alignment horizontal="center"/>
    </xf>
    <xf numFmtId="3" fontId="19" fillId="0" borderId="0" xfId="0" applyNumberFormat="1" applyFont="1"/>
    <xf numFmtId="3" fontId="15" fillId="4" borderId="0" xfId="0" applyNumberFormat="1" applyFont="1" applyFill="1"/>
    <xf numFmtId="3" fontId="14" fillId="4" borderId="0" xfId="0" applyNumberFormat="1" applyFont="1" applyFill="1"/>
    <xf numFmtId="3" fontId="15" fillId="0" borderId="0" xfId="0" applyNumberFormat="1" applyFont="1" applyAlignment="1">
      <alignment horizontal="left"/>
    </xf>
    <xf numFmtId="3" fontId="39" fillId="0" borderId="0" xfId="0" applyNumberFormat="1" applyFont="1" applyAlignment="1">
      <alignment horizontal="right"/>
    </xf>
    <xf numFmtId="0" fontId="31" fillId="5" borderId="0" xfId="10" applyFont="1" applyFill="1"/>
    <xf numFmtId="168" fontId="31" fillId="5" borderId="0" xfId="0" applyNumberFormat="1" applyFont="1" applyFill="1"/>
    <xf numFmtId="0" fontId="117" fillId="11" borderId="14" xfId="0" applyFont="1" applyFill="1" applyBorder="1" applyAlignment="1">
      <alignment horizontal="center"/>
    </xf>
    <xf numFmtId="0" fontId="117" fillId="11" borderId="14" xfId="0" applyFont="1" applyFill="1" applyBorder="1"/>
    <xf numFmtId="0" fontId="65" fillId="11" borderId="14" xfId="0" applyFont="1" applyFill="1" applyBorder="1"/>
    <xf numFmtId="3" fontId="65" fillId="11" borderId="14" xfId="0" applyNumberFormat="1" applyFont="1" applyFill="1" applyBorder="1"/>
    <xf numFmtId="0" fontId="65" fillId="11" borderId="14" xfId="0" applyFont="1" applyFill="1" applyBorder="1" applyAlignment="1">
      <alignment horizontal="center"/>
    </xf>
    <xf numFmtId="3" fontId="52" fillId="11" borderId="29" xfId="0" applyNumberFormat="1" applyFont="1" applyFill="1" applyBorder="1"/>
    <xf numFmtId="3" fontId="52" fillId="11" borderId="75" xfId="0" applyNumberFormat="1" applyFont="1" applyFill="1" applyBorder="1"/>
    <xf numFmtId="3" fontId="52" fillId="11" borderId="24" xfId="0" applyNumberFormat="1" applyFont="1" applyFill="1" applyBorder="1"/>
    <xf numFmtId="3" fontId="52" fillId="11" borderId="66" xfId="0" applyNumberFormat="1" applyFont="1" applyFill="1" applyBorder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19" xfId="0" applyNumberFormat="1" applyFont="1" applyBorder="1"/>
    <xf numFmtId="3" fontId="52" fillId="11" borderId="19" xfId="0" applyNumberFormat="1" applyFont="1" applyFill="1" applyBorder="1"/>
    <xf numFmtId="3" fontId="52" fillId="11" borderId="21" xfId="0" applyNumberFormat="1" applyFont="1" applyFill="1" applyBorder="1"/>
    <xf numFmtId="3" fontId="52" fillId="11" borderId="38" xfId="0" applyNumberFormat="1" applyFont="1" applyFill="1" applyBorder="1"/>
    <xf numFmtId="3" fontId="52" fillId="4" borderId="66" xfId="0" applyNumberFormat="1" applyFont="1" applyFill="1" applyBorder="1"/>
    <xf numFmtId="3" fontId="39" fillId="0" borderId="25" xfId="0" applyNumberFormat="1" applyFont="1" applyBorder="1"/>
    <xf numFmtId="3" fontId="39" fillId="0" borderId="27" xfId="0" applyNumberFormat="1" applyFont="1" applyBorder="1"/>
    <xf numFmtId="3" fontId="39" fillId="4" borderId="27" xfId="0" applyNumberFormat="1" applyFont="1" applyFill="1" applyBorder="1"/>
    <xf numFmtId="0" fontId="66" fillId="0" borderId="1" xfId="0" applyFont="1" applyBorder="1"/>
    <xf numFmtId="0" fontId="66" fillId="0" borderId="22" xfId="0" applyFont="1" applyBorder="1" applyAlignment="1">
      <alignment horizontal="center"/>
    </xf>
    <xf numFmtId="0" fontId="66" fillId="0" borderId="5" xfId="0" applyFont="1" applyBorder="1"/>
    <xf numFmtId="0" fontId="85" fillId="4" borderId="56" xfId="0" applyFont="1" applyFill="1" applyBorder="1"/>
    <xf numFmtId="0" fontId="85" fillId="4" borderId="22" xfId="0" applyFont="1" applyFill="1" applyBorder="1"/>
    <xf numFmtId="0" fontId="85" fillId="4" borderId="5" xfId="0" applyFont="1" applyFill="1" applyBorder="1"/>
    <xf numFmtId="0" fontId="86" fillId="11" borderId="22" xfId="0" applyFont="1" applyFill="1" applyBorder="1"/>
    <xf numFmtId="0" fontId="86" fillId="11" borderId="5" xfId="0" applyFont="1" applyFill="1" applyBorder="1"/>
    <xf numFmtId="0" fontId="75" fillId="0" borderId="5" xfId="0" applyFont="1" applyBorder="1"/>
    <xf numFmtId="0" fontId="66" fillId="0" borderId="50" xfId="0" applyFont="1" applyBorder="1"/>
    <xf numFmtId="3" fontId="39" fillId="0" borderId="26" xfId="0" applyNumberFormat="1" applyFont="1" applyBorder="1"/>
    <xf numFmtId="3" fontId="39" fillId="0" borderId="70" xfId="0" applyNumberFormat="1" applyFont="1" applyBorder="1"/>
    <xf numFmtId="3" fontId="52" fillId="0" borderId="70" xfId="0" applyNumberFormat="1" applyFont="1" applyBorder="1"/>
    <xf numFmtId="3" fontId="87" fillId="0" borderId="70" xfId="0" applyNumberFormat="1" applyFont="1" applyBorder="1"/>
    <xf numFmtId="3" fontId="80" fillId="0" borderId="72" xfId="0" applyNumberFormat="1" applyFont="1" applyBorder="1"/>
    <xf numFmtId="3" fontId="52" fillId="11" borderId="72" xfId="0" applyNumberFormat="1" applyFont="1" applyFill="1" applyBorder="1"/>
    <xf numFmtId="3" fontId="68" fillId="11" borderId="72" xfId="0" applyNumberFormat="1" applyFont="1" applyFill="1" applyBorder="1"/>
    <xf numFmtId="3" fontId="68" fillId="0" borderId="72" xfId="0" applyNumberFormat="1" applyFont="1" applyBorder="1"/>
    <xf numFmtId="3" fontId="66" fillId="18" borderId="44" xfId="0" applyNumberFormat="1" applyFont="1" applyFill="1" applyBorder="1"/>
    <xf numFmtId="3" fontId="39" fillId="0" borderId="10" xfId="0" applyNumberFormat="1" applyFont="1" applyBorder="1"/>
    <xf numFmtId="3" fontId="52" fillId="0" borderId="11" xfId="0" applyNumberFormat="1" applyFont="1" applyBorder="1"/>
    <xf numFmtId="3" fontId="87" fillId="0" borderId="11" xfId="0" applyNumberFormat="1" applyFont="1" applyBorder="1"/>
    <xf numFmtId="3" fontId="80" fillId="0" borderId="12" xfId="0" applyNumberFormat="1" applyFont="1" applyBorder="1"/>
    <xf numFmtId="3" fontId="52" fillId="11" borderId="12" xfId="0" applyNumberFormat="1" applyFont="1" applyFill="1" applyBorder="1"/>
    <xf numFmtId="3" fontId="68" fillId="11" borderId="12" xfId="0" applyNumberFormat="1" applyFont="1" applyFill="1" applyBorder="1"/>
    <xf numFmtId="3" fontId="68" fillId="0" borderId="12" xfId="0" applyNumberFormat="1" applyFont="1" applyBorder="1"/>
    <xf numFmtId="3" fontId="66" fillId="18" borderId="34" xfId="0" applyNumberFormat="1" applyFont="1" applyFill="1" applyBorder="1"/>
    <xf numFmtId="3" fontId="39" fillId="0" borderId="71" xfId="0" applyNumberFormat="1" applyFont="1" applyBorder="1"/>
    <xf numFmtId="3" fontId="39" fillId="0" borderId="72" xfId="0" applyNumberFormat="1" applyFont="1" applyBorder="1"/>
    <xf numFmtId="3" fontId="52" fillId="0" borderId="72" xfId="0" applyNumberFormat="1" applyFont="1" applyBorder="1"/>
    <xf numFmtId="3" fontId="66" fillId="19" borderId="44" xfId="0" applyNumberFormat="1" applyFont="1" applyFill="1" applyBorder="1"/>
    <xf numFmtId="3" fontId="39" fillId="0" borderId="16" xfId="0" applyNumberFormat="1" applyFont="1" applyBorder="1"/>
    <xf numFmtId="3" fontId="39" fillId="0" borderId="12" xfId="0" applyNumberFormat="1" applyFont="1" applyBorder="1"/>
    <xf numFmtId="3" fontId="52" fillId="0" borderId="12" xfId="0" applyNumberFormat="1" applyFont="1" applyBorder="1"/>
    <xf numFmtId="3" fontId="66" fillId="19" borderId="34" xfId="0" applyNumberFormat="1" applyFont="1" applyFill="1" applyBorder="1"/>
    <xf numFmtId="3" fontId="39" fillId="0" borderId="46" xfId="0" applyNumberFormat="1" applyFont="1" applyBorder="1"/>
    <xf numFmtId="3" fontId="39" fillId="0" borderId="62" xfId="0" applyNumberFormat="1" applyFont="1" applyBorder="1"/>
    <xf numFmtId="3" fontId="39" fillId="0" borderId="74" xfId="0" applyNumberFormat="1" applyFont="1" applyBorder="1"/>
    <xf numFmtId="3" fontId="52" fillId="0" borderId="74" xfId="0" applyNumberFormat="1" applyFont="1" applyBorder="1"/>
    <xf numFmtId="3" fontId="68" fillId="0" borderId="74" xfId="0" applyNumberFormat="1" applyFont="1" applyBorder="1"/>
    <xf numFmtId="0" fontId="66" fillId="0" borderId="6" xfId="0" applyFont="1" applyBorder="1"/>
    <xf numFmtId="3" fontId="39" fillId="0" borderId="7" xfId="0" applyNumberFormat="1" applyFont="1" applyBorder="1"/>
    <xf numFmtId="3" fontId="39" fillId="0" borderId="8" xfId="0" applyNumberFormat="1" applyFont="1" applyBorder="1"/>
    <xf numFmtId="3" fontId="52" fillId="0" borderId="8" xfId="0" applyNumberFormat="1" applyFont="1" applyBorder="1"/>
    <xf numFmtId="3" fontId="87" fillId="0" borderId="8" xfId="0" applyNumberFormat="1" applyFont="1" applyBorder="1"/>
    <xf numFmtId="3" fontId="80" fillId="0" borderId="9" xfId="0" applyNumberFormat="1" applyFont="1" applyBorder="1"/>
    <xf numFmtId="3" fontId="52" fillId="11" borderId="9" xfId="0" applyNumberFormat="1" applyFont="1" applyFill="1" applyBorder="1"/>
    <xf numFmtId="3" fontId="68" fillId="11" borderId="9" xfId="0" applyNumberFormat="1" applyFont="1" applyFill="1" applyBorder="1"/>
    <xf numFmtId="3" fontId="68" fillId="0" borderId="9" xfId="0" applyNumberFormat="1" applyFont="1" applyBorder="1"/>
    <xf numFmtId="3" fontId="75" fillId="0" borderId="71" xfId="0" applyNumberFormat="1" applyFont="1" applyBorder="1"/>
    <xf numFmtId="9" fontId="88" fillId="17" borderId="49" xfId="8" applyFont="1" applyFill="1" applyBorder="1"/>
    <xf numFmtId="3" fontId="66" fillId="19" borderId="49" xfId="0" applyNumberFormat="1" applyFont="1" applyFill="1" applyBorder="1"/>
    <xf numFmtId="3" fontId="75" fillId="0" borderId="31" xfId="0" applyNumberFormat="1" applyFont="1" applyBorder="1"/>
    <xf numFmtId="9" fontId="88" fillId="17" borderId="35" xfId="8" applyFont="1" applyFill="1" applyBorder="1"/>
    <xf numFmtId="0" fontId="68" fillId="4" borderId="0" xfId="0" applyFont="1" applyFill="1"/>
    <xf numFmtId="3" fontId="68" fillId="4" borderId="0" xfId="0" applyNumberFormat="1" applyFont="1" applyFill="1"/>
    <xf numFmtId="3" fontId="112" fillId="4" borderId="0" xfId="0" applyNumberFormat="1" applyFont="1" applyFill="1" applyAlignment="1">
      <alignment horizontal="right"/>
    </xf>
    <xf numFmtId="4" fontId="62" fillId="0" borderId="0" xfId="0" applyNumberFormat="1" applyFont="1" applyAlignment="1">
      <alignment horizontal="center"/>
    </xf>
    <xf numFmtId="3" fontId="37" fillId="0" borderId="8" xfId="0" applyNumberFormat="1" applyFont="1" applyBorder="1"/>
    <xf numFmtId="3" fontId="34" fillId="0" borderId="71" xfId="0" applyNumberFormat="1" applyFont="1" applyBorder="1"/>
    <xf numFmtId="0" fontId="36" fillId="5" borderId="27" xfId="0" applyFont="1" applyFill="1" applyBorder="1" applyAlignment="1">
      <alignment horizontal="left" vertical="top" wrapText="1"/>
    </xf>
    <xf numFmtId="0" fontId="32" fillId="5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left" vertical="top" wrapText="1"/>
    </xf>
    <xf numFmtId="10" fontId="63" fillId="0" borderId="0" xfId="8" applyNumberFormat="1" applyFont="1" applyAlignment="1">
      <alignment horizontal="center"/>
    </xf>
    <xf numFmtId="0" fontId="0" fillId="5" borderId="2" xfId="0" applyFill="1" applyBorder="1"/>
    <xf numFmtId="0" fontId="12" fillId="5" borderId="50" xfId="0" applyFont="1" applyFill="1" applyBorder="1"/>
    <xf numFmtId="0" fontId="105" fillId="22" borderId="26" xfId="0" applyFont="1" applyFill="1" applyBorder="1" applyAlignment="1">
      <alignment horizontal="center"/>
    </xf>
    <xf numFmtId="0" fontId="105" fillId="22" borderId="70" xfId="0" applyFont="1" applyFill="1" applyBorder="1" applyAlignment="1">
      <alignment horizontal="center"/>
    </xf>
    <xf numFmtId="0" fontId="105" fillId="22" borderId="29" xfId="0" applyFont="1" applyFill="1" applyBorder="1"/>
    <xf numFmtId="0" fontId="105" fillId="22" borderId="70" xfId="0" applyFont="1" applyFill="1" applyBorder="1"/>
    <xf numFmtId="0" fontId="105" fillId="22" borderId="66" xfId="0" applyFont="1" applyFill="1" applyBorder="1"/>
    <xf numFmtId="0" fontId="105" fillId="22" borderId="72" xfId="0" applyFont="1" applyFill="1" applyBorder="1" applyAlignment="1">
      <alignment horizontal="center"/>
    </xf>
    <xf numFmtId="0" fontId="105" fillId="22" borderId="49" xfId="0" applyFont="1" applyFill="1" applyBorder="1" applyAlignment="1">
      <alignment horizontal="center"/>
    </xf>
    <xf numFmtId="0" fontId="106" fillId="5" borderId="50" xfId="0" applyFont="1" applyFill="1" applyBorder="1"/>
    <xf numFmtId="0" fontId="105" fillId="35" borderId="26" xfId="0" applyFont="1" applyFill="1" applyBorder="1"/>
    <xf numFmtId="0" fontId="105" fillId="35" borderId="19" xfId="0" applyFont="1" applyFill="1" applyBorder="1"/>
    <xf numFmtId="0" fontId="105" fillId="35" borderId="43" xfId="0" applyFont="1" applyFill="1" applyBorder="1" applyAlignment="1">
      <alignment horizontal="right" indent="5"/>
    </xf>
    <xf numFmtId="0" fontId="105" fillId="35" borderId="43" xfId="0" applyFont="1" applyFill="1" applyBorder="1"/>
    <xf numFmtId="0" fontId="105" fillId="35" borderId="29" xfId="0" applyFont="1" applyFill="1" applyBorder="1"/>
    <xf numFmtId="0" fontId="105" fillId="35" borderId="66" xfId="0" applyFont="1" applyFill="1" applyBorder="1" applyAlignment="1">
      <alignment horizontal="right" indent="5"/>
    </xf>
    <xf numFmtId="169" fontId="105" fillId="35" borderId="19" xfId="0" applyNumberFormat="1" applyFont="1" applyFill="1" applyBorder="1" applyAlignment="1">
      <alignment horizontal="right" indent="1"/>
    </xf>
    <xf numFmtId="0" fontId="105" fillId="35" borderId="40" xfId="0" applyFont="1" applyFill="1" applyBorder="1"/>
    <xf numFmtId="0" fontId="105" fillId="35" borderId="33" xfId="0" applyFont="1" applyFill="1" applyBorder="1" applyAlignment="1">
      <alignment horizontal="right" indent="5"/>
    </xf>
    <xf numFmtId="0" fontId="105" fillId="35" borderId="51" xfId="0" applyFont="1" applyFill="1" applyBorder="1"/>
    <xf numFmtId="0" fontId="105" fillId="35" borderId="52" xfId="0" applyFont="1" applyFill="1" applyBorder="1"/>
    <xf numFmtId="0" fontId="105" fillId="20" borderId="70" xfId="0" applyFont="1" applyFill="1" applyBorder="1"/>
    <xf numFmtId="0" fontId="105" fillId="20" borderId="49" xfId="0" applyFont="1" applyFill="1" applyBorder="1"/>
    <xf numFmtId="169" fontId="105" fillId="28" borderId="18" xfId="0" applyNumberFormat="1" applyFont="1" applyFill="1" applyBorder="1" applyAlignment="1">
      <alignment horizontal="right" indent="1"/>
    </xf>
    <xf numFmtId="169" fontId="105" fillId="28" borderId="13" xfId="0" applyNumberFormat="1" applyFont="1" applyFill="1" applyBorder="1" applyAlignment="1">
      <alignment horizontal="right" indent="1"/>
    </xf>
    <xf numFmtId="0" fontId="105" fillId="28" borderId="13" xfId="0" applyFont="1" applyFill="1" applyBorder="1"/>
    <xf numFmtId="0" fontId="105" fillId="8" borderId="13" xfId="0" applyFont="1" applyFill="1" applyBorder="1"/>
    <xf numFmtId="0" fontId="105" fillId="8" borderId="26" xfId="0" applyFont="1" applyFill="1" applyBorder="1"/>
    <xf numFmtId="169" fontId="105" fillId="8" borderId="41" xfId="0" applyNumberFormat="1" applyFont="1" applyFill="1" applyBorder="1" applyAlignment="1">
      <alignment horizontal="right" indent="1"/>
    </xf>
    <xf numFmtId="169" fontId="105" fillId="8" borderId="57" xfId="0" applyNumberFormat="1" applyFont="1" applyFill="1" applyBorder="1" applyAlignment="1">
      <alignment horizontal="right" indent="1"/>
    </xf>
    <xf numFmtId="169" fontId="105" fillId="8" borderId="38" xfId="0" applyNumberFormat="1" applyFont="1" applyFill="1" applyBorder="1" applyAlignment="1">
      <alignment horizontal="right" indent="1"/>
    </xf>
    <xf numFmtId="0" fontId="105" fillId="8" borderId="38" xfId="0" applyFont="1" applyFill="1" applyBorder="1"/>
    <xf numFmtId="0" fontId="105" fillId="8" borderId="57" xfId="0" applyFont="1" applyFill="1" applyBorder="1"/>
    <xf numFmtId="0" fontId="105" fillId="8" borderId="69" xfId="0" applyFont="1" applyFill="1" applyBorder="1"/>
    <xf numFmtId="0" fontId="105" fillId="8" borderId="11" xfId="0" applyFont="1" applyFill="1" applyBorder="1"/>
    <xf numFmtId="0" fontId="110" fillId="5" borderId="18" xfId="0" applyFont="1" applyFill="1" applyBorder="1"/>
    <xf numFmtId="0" fontId="106" fillId="5" borderId="13" xfId="0" applyFont="1" applyFill="1" applyBorder="1"/>
    <xf numFmtId="0" fontId="106" fillId="5" borderId="13" xfId="0" applyFont="1" applyFill="1" applyBorder="1" applyAlignment="1">
      <alignment horizontal="center"/>
    </xf>
    <xf numFmtId="0" fontId="106" fillId="5" borderId="60" xfId="0" applyFont="1" applyFill="1" applyBorder="1"/>
    <xf numFmtId="0" fontId="105" fillId="35" borderId="3" xfId="0" applyFont="1" applyFill="1" applyBorder="1"/>
    <xf numFmtId="0" fontId="105" fillId="28" borderId="53" xfId="0" applyFont="1" applyFill="1" applyBorder="1"/>
    <xf numFmtId="169" fontId="105" fillId="28" borderId="40" xfId="0" applyNumberFormat="1" applyFont="1" applyFill="1" applyBorder="1" applyAlignment="1">
      <alignment horizontal="right" indent="1"/>
    </xf>
    <xf numFmtId="169" fontId="105" fillId="28" borderId="48" xfId="0" applyNumberFormat="1" applyFont="1" applyFill="1" applyBorder="1" applyAlignment="1">
      <alignment horizontal="right" indent="1"/>
    </xf>
    <xf numFmtId="169" fontId="105" fillId="28" borderId="37" xfId="0" applyNumberFormat="1" applyFont="1" applyFill="1" applyBorder="1" applyAlignment="1">
      <alignment horizontal="right" indent="1"/>
    </xf>
    <xf numFmtId="0" fontId="105" fillId="28" borderId="33" xfId="0" applyFont="1" applyFill="1" applyBorder="1"/>
    <xf numFmtId="0" fontId="105" fillId="28" borderId="21" xfId="0" applyFont="1" applyFill="1" applyBorder="1"/>
    <xf numFmtId="0" fontId="105" fillId="8" borderId="19" xfId="0" applyFont="1" applyFill="1" applyBorder="1"/>
    <xf numFmtId="0" fontId="105" fillId="8" borderId="23" xfId="0" applyFont="1" applyFill="1" applyBorder="1"/>
    <xf numFmtId="0" fontId="105" fillId="8" borderId="54" xfId="0" applyFont="1" applyFill="1" applyBorder="1"/>
    <xf numFmtId="3" fontId="65" fillId="0" borderId="2" xfId="0" applyNumberFormat="1" applyFont="1" applyBorder="1" applyAlignment="1">
      <alignment horizontal="center" vertical="center" wrapText="1"/>
    </xf>
    <xf numFmtId="3" fontId="65" fillId="0" borderId="3" xfId="0" applyNumberFormat="1" applyFont="1" applyBorder="1" applyAlignment="1">
      <alignment horizontal="center" vertical="center" wrapText="1"/>
    </xf>
    <xf numFmtId="3" fontId="65" fillId="0" borderId="30" xfId="0" applyNumberFormat="1" applyFont="1" applyBorder="1" applyAlignment="1">
      <alignment horizontal="center" vertical="center" wrapText="1"/>
    </xf>
    <xf numFmtId="3" fontId="65" fillId="0" borderId="6" xfId="0" applyNumberFormat="1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95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8" borderId="81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2" fillId="4" borderId="81" xfId="0" applyFont="1" applyFill="1" applyBorder="1" applyAlignment="1">
      <alignment horizontal="center"/>
    </xf>
    <xf numFmtId="0" fontId="34" fillId="0" borderId="80" xfId="0" applyFont="1" applyBorder="1"/>
    <xf numFmtId="49" fontId="32" fillId="0" borderId="0" xfId="0" applyNumberFormat="1" applyFont="1"/>
    <xf numFmtId="14" fontId="12" fillId="0" borderId="0" xfId="0" applyNumberFormat="1" applyFont="1" applyAlignment="1">
      <alignment horizontal="center"/>
    </xf>
    <xf numFmtId="0" fontId="118" fillId="0" borderId="0" xfId="0" applyFont="1"/>
    <xf numFmtId="4" fontId="118" fillId="0" borderId="0" xfId="0" applyNumberFormat="1" applyFont="1"/>
    <xf numFmtId="0" fontId="119" fillId="25" borderId="76" xfId="11" applyFont="1" applyAlignment="1">
      <alignment horizontal="center"/>
    </xf>
    <xf numFmtId="0" fontId="119" fillId="25" borderId="76" xfId="1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4" fontId="118" fillId="4" borderId="0" xfId="0" applyNumberFormat="1" applyFont="1" applyFill="1"/>
    <xf numFmtId="0" fontId="118" fillId="0" borderId="0" xfId="0" applyFont="1" applyAlignment="1">
      <alignment horizontal="right"/>
    </xf>
    <xf numFmtId="0" fontId="118" fillId="27" borderId="62" xfId="0" applyFont="1" applyFill="1" applyBorder="1"/>
    <xf numFmtId="0" fontId="118" fillId="27" borderId="62" xfId="0" applyFont="1" applyFill="1" applyBorder="1" applyAlignment="1">
      <alignment horizontal="right"/>
    </xf>
    <xf numFmtId="0" fontId="118" fillId="4" borderId="62" xfId="0" applyFont="1" applyFill="1" applyBorder="1"/>
    <xf numFmtId="0" fontId="118" fillId="4" borderId="62" xfId="0" applyFont="1" applyFill="1" applyBorder="1" applyAlignment="1">
      <alignment horizontal="right"/>
    </xf>
    <xf numFmtId="0" fontId="118" fillId="28" borderId="0" xfId="0" applyFont="1" applyFill="1"/>
    <xf numFmtId="0" fontId="118" fillId="28" borderId="0" xfId="0" applyFont="1" applyFill="1" applyAlignment="1">
      <alignment horizontal="right"/>
    </xf>
    <xf numFmtId="14" fontId="118" fillId="28" borderId="62" xfId="0" applyNumberFormat="1" applyFont="1" applyFill="1" applyBorder="1"/>
    <xf numFmtId="0" fontId="118" fillId="28" borderId="62" xfId="0" applyFont="1" applyFill="1" applyBorder="1"/>
    <xf numFmtId="0" fontId="118" fillId="28" borderId="62" xfId="0" applyFont="1" applyFill="1" applyBorder="1" applyAlignment="1">
      <alignment horizontal="right"/>
    </xf>
    <xf numFmtId="4" fontId="118" fillId="29" borderId="0" xfId="0" applyNumberFormat="1" applyFont="1" applyFill="1"/>
    <xf numFmtId="0" fontId="59" fillId="0" borderId="0" xfId="0" applyFont="1" applyAlignment="1">
      <alignment horizontal="right"/>
    </xf>
    <xf numFmtId="3" fontId="118" fillId="0" borderId="0" xfId="0" applyNumberFormat="1" applyFont="1"/>
    <xf numFmtId="0" fontId="62" fillId="0" borderId="0" xfId="0" applyFont="1" applyAlignment="1">
      <alignment horizontal="right"/>
    </xf>
    <xf numFmtId="3" fontId="118" fillId="4" borderId="0" xfId="0" applyNumberFormat="1" applyFont="1" applyFill="1"/>
    <xf numFmtId="174" fontId="118" fillId="28" borderId="0" xfId="0" applyNumberFormat="1" applyFont="1" applyFill="1" applyAlignment="1">
      <alignment horizontal="right"/>
    </xf>
    <xf numFmtId="2" fontId="118" fillId="0" borderId="0" xfId="0" applyNumberFormat="1" applyFont="1" applyAlignment="1">
      <alignment horizontal="right"/>
    </xf>
    <xf numFmtId="174" fontId="118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74" fontId="118" fillId="27" borderId="62" xfId="0" applyNumberFormat="1" applyFont="1" applyFill="1" applyBorder="1" applyAlignment="1">
      <alignment horizontal="right"/>
    </xf>
    <xf numFmtId="3" fontId="120" fillId="0" borderId="0" xfId="0" applyNumberFormat="1" applyFont="1"/>
    <xf numFmtId="3" fontId="15" fillId="4" borderId="0" xfId="0" applyNumberFormat="1" applyFont="1" applyFill="1" applyAlignment="1">
      <alignment horizontal="right"/>
    </xf>
    <xf numFmtId="4" fontId="120" fillId="0" borderId="0" xfId="0" applyNumberFormat="1" applyFont="1" applyAlignment="1">
      <alignment horizontal="center"/>
    </xf>
    <xf numFmtId="3" fontId="121" fillId="0" borderId="0" xfId="0" applyNumberFormat="1" applyFont="1"/>
    <xf numFmtId="3" fontId="120" fillId="0" borderId="0" xfId="0" applyNumberFormat="1" applyFont="1" applyAlignment="1">
      <alignment horizontal="center"/>
    </xf>
    <xf numFmtId="3" fontId="121" fillId="0" borderId="0" xfId="0" applyNumberFormat="1" applyFont="1" applyAlignment="1">
      <alignment horizontal="right"/>
    </xf>
    <xf numFmtId="3" fontId="122" fillId="0" borderId="0" xfId="0" applyNumberFormat="1" applyFont="1"/>
    <xf numFmtId="3" fontId="19" fillId="0" borderId="0" xfId="0" applyNumberFormat="1" applyFont="1" applyAlignment="1">
      <alignment horizontal="right"/>
    </xf>
    <xf numFmtId="3" fontId="123" fillId="4" borderId="0" xfId="0" applyNumberFormat="1" applyFont="1" applyFill="1" applyAlignment="1">
      <alignment horizontal="right"/>
    </xf>
    <xf numFmtId="0" fontId="124" fillId="23" borderId="0" xfId="0" applyFont="1" applyFill="1"/>
    <xf numFmtId="9" fontId="54" fillId="17" borderId="54" xfId="8" applyFont="1" applyFill="1" applyBorder="1"/>
    <xf numFmtId="9" fontId="54" fillId="17" borderId="51" xfId="8" applyFont="1" applyFill="1" applyBorder="1"/>
    <xf numFmtId="9" fontId="54" fillId="17" borderId="28" xfId="8" applyFont="1" applyFill="1" applyBorder="1"/>
    <xf numFmtId="9" fontId="54" fillId="17" borderId="55" xfId="8" applyFont="1" applyFill="1" applyBorder="1"/>
    <xf numFmtId="9" fontId="54" fillId="17" borderId="0" xfId="8" applyFont="1" applyFill="1" applyBorder="1"/>
    <xf numFmtId="0" fontId="65" fillId="0" borderId="2" xfId="0" applyFont="1" applyBorder="1"/>
    <xf numFmtId="164" fontId="72" fillId="0" borderId="53" xfId="1" applyFont="1" applyBorder="1"/>
    <xf numFmtId="164" fontId="72" fillId="0" borderId="0" xfId="1" applyFont="1" applyBorder="1"/>
    <xf numFmtId="0" fontId="39" fillId="0" borderId="16" xfId="0" applyFont="1" applyBorder="1" applyAlignment="1">
      <alignment horizontal="right"/>
    </xf>
    <xf numFmtId="3" fontId="52" fillId="0" borderId="17" xfId="0" applyNumberFormat="1" applyFont="1" applyBorder="1"/>
    <xf numFmtId="0" fontId="39" fillId="0" borderId="34" xfId="0" applyFont="1" applyBorder="1" applyAlignment="1">
      <alignment horizontal="right"/>
    </xf>
    <xf numFmtId="3" fontId="39" fillId="0" borderId="32" xfId="0" applyNumberFormat="1" applyFont="1" applyBorder="1"/>
    <xf numFmtId="3" fontId="37" fillId="0" borderId="60" xfId="0" applyNumberFormat="1" applyFont="1" applyBorder="1"/>
    <xf numFmtId="9" fontId="43" fillId="20" borderId="37" xfId="8" applyFont="1" applyFill="1" applyBorder="1"/>
    <xf numFmtId="9" fontId="43" fillId="20" borderId="33" xfId="8" applyFont="1" applyFill="1" applyBorder="1"/>
    <xf numFmtId="9" fontId="43" fillId="20" borderId="40" xfId="8" applyFont="1" applyFill="1" applyBorder="1"/>
    <xf numFmtId="0" fontId="43" fillId="23" borderId="0" xfId="0" applyFont="1" applyFill="1"/>
    <xf numFmtId="3" fontId="53" fillId="36" borderId="40" xfId="0" applyNumberFormat="1" applyFont="1" applyFill="1" applyBorder="1"/>
    <xf numFmtId="3" fontId="53" fillId="36" borderId="37" xfId="0" applyNumberFormat="1" applyFont="1" applyFill="1" applyBorder="1"/>
    <xf numFmtId="3" fontId="53" fillId="23" borderId="0" xfId="0" applyNumberFormat="1" applyFont="1" applyFill="1"/>
    <xf numFmtId="3" fontId="53" fillId="18" borderId="40" xfId="0" applyNumberFormat="1" applyFont="1" applyFill="1" applyBorder="1"/>
    <xf numFmtId="3" fontId="53" fillId="18" borderId="37" xfId="0" applyNumberFormat="1" applyFont="1" applyFill="1" applyBorder="1"/>
    <xf numFmtId="3" fontId="36" fillId="4" borderId="29" xfId="0" applyNumberFormat="1" applyFont="1" applyFill="1" applyBorder="1"/>
    <xf numFmtId="3" fontId="36" fillId="4" borderId="24" xfId="0" applyNumberFormat="1" applyFont="1" applyFill="1" applyBorder="1"/>
    <xf numFmtId="3" fontId="36" fillId="4" borderId="72" xfId="0" applyNumberFormat="1" applyFont="1" applyFill="1" applyBorder="1"/>
    <xf numFmtId="3" fontId="36" fillId="4" borderId="9" xfId="0" applyNumberFormat="1" applyFont="1" applyFill="1" applyBorder="1"/>
    <xf numFmtId="3" fontId="36" fillId="4" borderId="12" xfId="0" applyNumberFormat="1" applyFont="1" applyFill="1" applyBorder="1"/>
    <xf numFmtId="3" fontId="36" fillId="23" borderId="0" xfId="0" applyNumberFormat="1" applyFont="1" applyFill="1"/>
    <xf numFmtId="3" fontId="36" fillId="0" borderId="9" xfId="0" applyNumberFormat="1" applyFont="1" applyBorder="1"/>
    <xf numFmtId="3" fontId="36" fillId="0" borderId="12" xfId="0" applyNumberFormat="1" applyFont="1" applyBorder="1"/>
    <xf numFmtId="3" fontId="36" fillId="37" borderId="29" xfId="0" applyNumberFormat="1" applyFont="1" applyFill="1" applyBorder="1"/>
    <xf numFmtId="3" fontId="36" fillId="37" borderId="24" xfId="0" applyNumberFormat="1" applyFont="1" applyFill="1" applyBorder="1"/>
    <xf numFmtId="3" fontId="36" fillId="37" borderId="72" xfId="0" applyNumberFormat="1" applyFont="1" applyFill="1" applyBorder="1"/>
    <xf numFmtId="3" fontId="36" fillId="37" borderId="9" xfId="0" applyNumberFormat="1" applyFont="1" applyFill="1" applyBorder="1"/>
    <xf numFmtId="3" fontId="36" fillId="37" borderId="12" xfId="0" applyNumberFormat="1" applyFont="1" applyFill="1" applyBorder="1"/>
    <xf numFmtId="3" fontId="36" fillId="5" borderId="72" xfId="0" applyNumberFormat="1" applyFont="1" applyFill="1" applyBorder="1"/>
    <xf numFmtId="3" fontId="36" fillId="38" borderId="24" xfId="0" applyNumberFormat="1" applyFont="1" applyFill="1" applyBorder="1"/>
    <xf numFmtId="3" fontId="36" fillId="38" borderId="72" xfId="0" applyNumberFormat="1" applyFont="1" applyFill="1" applyBorder="1"/>
    <xf numFmtId="3" fontId="36" fillId="38" borderId="9" xfId="0" applyNumberFormat="1" applyFont="1" applyFill="1" applyBorder="1"/>
    <xf numFmtId="3" fontId="36" fillId="38" borderId="12" xfId="0" applyNumberFormat="1" applyFont="1" applyFill="1" applyBorder="1"/>
    <xf numFmtId="3" fontId="32" fillId="4" borderId="29" xfId="0" applyNumberFormat="1" applyFont="1" applyFill="1" applyBorder="1"/>
    <xf numFmtId="3" fontId="32" fillId="4" borderId="24" xfId="0" applyNumberFormat="1" applyFont="1" applyFill="1" applyBorder="1"/>
    <xf numFmtId="3" fontId="32" fillId="4" borderId="72" xfId="0" applyNumberFormat="1" applyFont="1" applyFill="1" applyBorder="1"/>
    <xf numFmtId="3" fontId="32" fillId="4" borderId="9" xfId="0" applyNumberFormat="1" applyFont="1" applyFill="1" applyBorder="1"/>
    <xf numFmtId="3" fontId="32" fillId="4" borderId="12" xfId="0" applyNumberFormat="1" applyFont="1" applyFill="1" applyBorder="1"/>
    <xf numFmtId="3" fontId="32" fillId="37" borderId="29" xfId="0" applyNumberFormat="1" applyFont="1" applyFill="1" applyBorder="1"/>
    <xf numFmtId="3" fontId="32" fillId="37" borderId="24" xfId="0" applyNumberFormat="1" applyFont="1" applyFill="1" applyBorder="1"/>
    <xf numFmtId="3" fontId="32" fillId="37" borderId="72" xfId="0" applyNumberFormat="1" applyFont="1" applyFill="1" applyBorder="1"/>
    <xf numFmtId="3" fontId="32" fillId="5" borderId="72" xfId="0" applyNumberFormat="1" applyFont="1" applyFill="1" applyBorder="1"/>
    <xf numFmtId="3" fontId="32" fillId="38" borderId="24" xfId="0" applyNumberFormat="1" applyFont="1" applyFill="1" applyBorder="1"/>
    <xf numFmtId="3" fontId="32" fillId="38" borderId="72" xfId="0" applyNumberFormat="1" applyFont="1" applyFill="1" applyBorder="1"/>
    <xf numFmtId="3" fontId="32" fillId="38" borderId="9" xfId="0" applyNumberFormat="1" applyFont="1" applyFill="1" applyBorder="1"/>
    <xf numFmtId="3" fontId="32" fillId="38" borderId="12" xfId="0" applyNumberFormat="1" applyFont="1" applyFill="1" applyBorder="1"/>
    <xf numFmtId="0" fontId="53" fillId="36" borderId="5" xfId="0" applyFont="1" applyFill="1" applyBorder="1"/>
    <xf numFmtId="0" fontId="53" fillId="36" borderId="56" xfId="0" applyFont="1" applyFill="1" applyBorder="1"/>
    <xf numFmtId="0" fontId="53" fillId="36" borderId="22" xfId="0" applyFont="1" applyFill="1" applyBorder="1"/>
    <xf numFmtId="0" fontId="53" fillId="36" borderId="50" xfId="0" applyFont="1" applyFill="1" applyBorder="1"/>
    <xf numFmtId="0" fontId="53" fillId="36" borderId="6" xfId="0" applyFont="1" applyFill="1" applyBorder="1"/>
    <xf numFmtId="0" fontId="53" fillId="36" borderId="3" xfId="0" applyFont="1" applyFill="1" applyBorder="1"/>
    <xf numFmtId="0" fontId="95" fillId="23" borderId="0" xfId="0" applyFont="1" applyFill="1"/>
    <xf numFmtId="0" fontId="40" fillId="5" borderId="0" xfId="0" applyFont="1" applyFill="1"/>
    <xf numFmtId="3" fontId="40" fillId="5" borderId="14" xfId="0" applyNumberFormat="1" applyFont="1" applyFill="1" applyBorder="1"/>
    <xf numFmtId="3" fontId="40" fillId="38" borderId="12" xfId="0" applyNumberFormat="1" applyFont="1" applyFill="1" applyBorder="1"/>
    <xf numFmtId="3" fontId="53" fillId="19" borderId="40" xfId="0" applyNumberFormat="1" applyFont="1" applyFill="1" applyBorder="1"/>
    <xf numFmtId="3" fontId="53" fillId="19" borderId="37" xfId="0" applyNumberFormat="1" applyFont="1" applyFill="1" applyBorder="1"/>
    <xf numFmtId="3" fontId="40" fillId="0" borderId="18" xfId="0" applyNumberFormat="1" applyFont="1" applyBorder="1"/>
    <xf numFmtId="3" fontId="40" fillId="0" borderId="13" xfId="0" applyNumberFormat="1" applyFont="1" applyBorder="1"/>
    <xf numFmtId="3" fontId="36" fillId="0" borderId="29" xfId="0" applyNumberFormat="1" applyFont="1" applyBorder="1"/>
    <xf numFmtId="3" fontId="40" fillId="4" borderId="19" xfId="0" applyNumberFormat="1" applyFont="1" applyFill="1" applyBorder="1"/>
    <xf numFmtId="3" fontId="40" fillId="4" borderId="14" xfId="0" applyNumberFormat="1" applyFont="1" applyFill="1" applyBorder="1"/>
    <xf numFmtId="0" fontId="53" fillId="0" borderId="3" xfId="0" applyFont="1" applyBorder="1"/>
    <xf numFmtId="3" fontId="53" fillId="5" borderId="0" xfId="0" applyNumberFormat="1" applyFont="1" applyFill="1"/>
    <xf numFmtId="0" fontId="53" fillId="23" borderId="0" xfId="0" applyFont="1" applyFill="1"/>
    <xf numFmtId="3" fontId="37" fillId="0" borderId="18" xfId="0" applyNumberFormat="1" applyFont="1" applyBorder="1"/>
    <xf numFmtId="3" fontId="40" fillId="37" borderId="14" xfId="0" applyNumberFormat="1" applyFont="1" applyFill="1" applyBorder="1"/>
    <xf numFmtId="3" fontId="40" fillId="38" borderId="14" xfId="0" applyNumberFormat="1" applyFont="1" applyFill="1" applyBorder="1"/>
    <xf numFmtId="3" fontId="40" fillId="0" borderId="60" xfId="0" applyNumberFormat="1" applyFont="1" applyBorder="1"/>
    <xf numFmtId="3" fontId="40" fillId="4" borderId="43" xfId="0" applyNumberFormat="1" applyFont="1" applyFill="1" applyBorder="1"/>
    <xf numFmtId="3" fontId="40" fillId="37" borderId="19" xfId="0" applyNumberFormat="1" applyFont="1" applyFill="1" applyBorder="1"/>
    <xf numFmtId="3" fontId="40" fillId="5" borderId="19" xfId="0" applyNumberFormat="1" applyFont="1" applyFill="1" applyBorder="1"/>
    <xf numFmtId="3" fontId="40" fillId="38" borderId="43" xfId="0" applyNumberFormat="1" applyFont="1" applyFill="1" applyBorder="1"/>
    <xf numFmtId="3" fontId="53" fillId="19" borderId="33" xfId="0" applyNumberFormat="1" applyFont="1" applyFill="1" applyBorder="1"/>
    <xf numFmtId="0" fontId="53" fillId="36" borderId="1" xfId="0" applyFont="1" applyFill="1" applyBorder="1"/>
    <xf numFmtId="3" fontId="32" fillId="37" borderId="66" xfId="0" applyNumberFormat="1" applyFont="1" applyFill="1" applyBorder="1"/>
    <xf numFmtId="3" fontId="32" fillId="5" borderId="29" xfId="0" applyNumberFormat="1" applyFont="1" applyFill="1" applyBorder="1"/>
    <xf numFmtId="3" fontId="53" fillId="36" borderId="33" xfId="0" applyNumberFormat="1" applyFont="1" applyFill="1" applyBorder="1"/>
    <xf numFmtId="3" fontId="36" fillId="5" borderId="29" xfId="0" applyNumberFormat="1" applyFont="1" applyFill="1" applyBorder="1"/>
    <xf numFmtId="3" fontId="53" fillId="18" borderId="33" xfId="0" applyNumberFormat="1" applyFont="1" applyFill="1" applyBorder="1"/>
    <xf numFmtId="3" fontId="32" fillId="37" borderId="12" xfId="0" applyNumberFormat="1" applyFont="1" applyFill="1" applyBorder="1"/>
    <xf numFmtId="3" fontId="53" fillId="36" borderId="34" xfId="0" applyNumberFormat="1" applyFont="1" applyFill="1" applyBorder="1"/>
    <xf numFmtId="3" fontId="53" fillId="18" borderId="34" xfId="0" applyNumberFormat="1" applyFont="1" applyFill="1" applyBorder="1"/>
    <xf numFmtId="3" fontId="40" fillId="0" borderId="16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3" fontId="40" fillId="4" borderId="11" xfId="0" applyNumberFormat="1" applyFont="1" applyFill="1" applyBorder="1"/>
    <xf numFmtId="3" fontId="40" fillId="37" borderId="12" xfId="0" applyNumberFormat="1" applyFont="1" applyFill="1" applyBorder="1"/>
    <xf numFmtId="3" fontId="53" fillId="19" borderId="34" xfId="0" applyNumberFormat="1" applyFont="1" applyFill="1" applyBorder="1"/>
    <xf numFmtId="0" fontId="37" fillId="0" borderId="16" xfId="0" applyFont="1" applyBorder="1"/>
    <xf numFmtId="0" fontId="43" fillId="20" borderId="34" xfId="0" applyFont="1" applyFill="1" applyBorder="1"/>
    <xf numFmtId="3" fontId="125" fillId="10" borderId="0" xfId="0" applyNumberFormat="1" applyFont="1" applyFill="1"/>
    <xf numFmtId="4" fontId="67" fillId="22" borderId="0" xfId="0" applyNumberFormat="1" applyFont="1" applyFill="1"/>
    <xf numFmtId="3" fontId="126" fillId="22" borderId="0" xfId="0" applyNumberFormat="1" applyFont="1" applyFill="1"/>
    <xf numFmtId="0" fontId="126" fillId="22" borderId="0" xfId="0" applyFont="1" applyFill="1"/>
    <xf numFmtId="0" fontId="127" fillId="5" borderId="0" xfId="5" applyFont="1" applyFill="1" applyAlignment="1">
      <alignment horizontal="left"/>
    </xf>
    <xf numFmtId="0" fontId="127" fillId="5" borderId="0" xfId="5" applyFont="1" applyFill="1" applyAlignment="1">
      <alignment horizontal="center"/>
    </xf>
    <xf numFmtId="0" fontId="128" fillId="5" borderId="0" xfId="5" applyFont="1" applyFill="1"/>
    <xf numFmtId="3" fontId="127" fillId="5" borderId="0" xfId="5" applyNumberFormat="1" applyFont="1" applyFill="1"/>
    <xf numFmtId="3" fontId="67" fillId="22" borderId="0" xfId="5" applyNumberFormat="1" applyFont="1" applyFill="1"/>
    <xf numFmtId="0" fontId="67" fillId="22" borderId="0" xfId="5" applyFont="1" applyFill="1"/>
    <xf numFmtId="4" fontId="67" fillId="22" borderId="0" xfId="5" applyNumberFormat="1" applyFont="1" applyFill="1"/>
    <xf numFmtId="3" fontId="126" fillId="22" borderId="0" xfId="5" applyNumberFormat="1" applyFont="1" applyFill="1"/>
    <xf numFmtId="0" fontId="126" fillId="22" borderId="0" xfId="5" applyFont="1" applyFill="1"/>
    <xf numFmtId="0" fontId="127" fillId="5" borderId="0" xfId="0" applyFont="1" applyFill="1"/>
    <xf numFmtId="0" fontId="127" fillId="5" borderId="0" xfId="0" applyFont="1" applyFill="1" applyAlignment="1">
      <alignment horizontal="center"/>
    </xf>
    <xf numFmtId="0" fontId="127" fillId="5" borderId="0" xfId="5" applyFont="1" applyFill="1" applyAlignment="1">
      <alignment wrapText="1"/>
    </xf>
    <xf numFmtId="3" fontId="127" fillId="5" borderId="0" xfId="0" applyNumberFormat="1" applyFont="1" applyFill="1"/>
    <xf numFmtId="0" fontId="128" fillId="5" borderId="0" xfId="0" applyFont="1" applyFill="1" applyAlignment="1">
      <alignment wrapText="1"/>
    </xf>
    <xf numFmtId="3" fontId="127" fillId="5" borderId="0" xfId="0" applyNumberFormat="1" applyFont="1" applyFill="1" applyAlignment="1">
      <alignment horizontal="right"/>
    </xf>
    <xf numFmtId="49" fontId="126" fillId="22" borderId="0" xfId="0" applyNumberFormat="1" applyFont="1" applyFill="1" applyAlignment="1">
      <alignment horizontal="center"/>
    </xf>
    <xf numFmtId="4" fontId="126" fillId="22" borderId="0" xfId="0" applyNumberFormat="1" applyFont="1" applyFill="1" applyAlignment="1">
      <alignment horizontal="center"/>
    </xf>
    <xf numFmtId="3" fontId="127" fillId="2" borderId="4" xfId="5" applyNumberFormat="1" applyFont="1" applyFill="1" applyBorder="1" applyAlignment="1">
      <alignment horizontal="center" vertical="center" wrapText="1"/>
    </xf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7" fillId="22" borderId="0" xfId="0" applyFont="1" applyFill="1"/>
    <xf numFmtId="0" fontId="127" fillId="0" borderId="1" xfId="0" applyFont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6" xfId="0" applyFont="1" applyBorder="1" applyAlignment="1">
      <alignment wrapText="1"/>
    </xf>
    <xf numFmtId="3" fontId="127" fillId="0" borderId="3" xfId="0" applyNumberFormat="1" applyFont="1" applyBorder="1"/>
    <xf numFmtId="3" fontId="82" fillId="4" borderId="0" xfId="0" applyNumberFormat="1" applyFont="1" applyFill="1"/>
    <xf numFmtId="4" fontId="78" fillId="22" borderId="0" xfId="0" applyNumberFormat="1" applyFont="1" applyFill="1"/>
    <xf numFmtId="0" fontId="128" fillId="4" borderId="25" xfId="0" applyFont="1" applyFill="1" applyBorder="1" applyAlignment="1">
      <alignment horizontal="center"/>
    </xf>
    <xf numFmtId="0" fontId="128" fillId="4" borderId="7" xfId="0" applyFont="1" applyFill="1" applyBorder="1" applyAlignment="1">
      <alignment wrapText="1"/>
    </xf>
    <xf numFmtId="3" fontId="128" fillId="4" borderId="11" xfId="0" applyNumberFormat="1" applyFont="1" applyFill="1" applyBorder="1"/>
    <xf numFmtId="3" fontId="77" fillId="22" borderId="0" xfId="8" applyNumberFormat="1" applyFont="1" applyFill="1"/>
    <xf numFmtId="3" fontId="77" fillId="7" borderId="0" xfId="8" applyNumberFormat="1" applyFont="1" applyFill="1"/>
    <xf numFmtId="4" fontId="126" fillId="22" borderId="0" xfId="0" applyNumberFormat="1" applyFont="1" applyFill="1"/>
    <xf numFmtId="0" fontId="128" fillId="4" borderId="14" xfId="0" applyFont="1" applyFill="1" applyBorder="1" applyAlignment="1">
      <alignment horizontal="center"/>
    </xf>
    <xf numFmtId="0" fontId="128" fillId="4" borderId="8" xfId="0" applyFont="1" applyFill="1" applyBorder="1" applyAlignment="1">
      <alignment wrapText="1"/>
    </xf>
    <xf numFmtId="3" fontId="77" fillId="7" borderId="0" xfId="0" applyNumberFormat="1" applyFont="1" applyFill="1"/>
    <xf numFmtId="0" fontId="128" fillId="0" borderId="19" xfId="0" applyFont="1" applyBorder="1" applyAlignment="1">
      <alignment horizontal="center"/>
    </xf>
    <xf numFmtId="0" fontId="128" fillId="0" borderId="14" xfId="0" applyFont="1" applyBorder="1" applyAlignment="1">
      <alignment horizontal="center"/>
    </xf>
    <xf numFmtId="0" fontId="128" fillId="0" borderId="8" xfId="0" applyFont="1" applyBorder="1" applyAlignment="1">
      <alignment wrapText="1"/>
    </xf>
    <xf numFmtId="3" fontId="128" fillId="5" borderId="11" xfId="0" applyNumberFormat="1" applyFont="1" applyFill="1" applyBorder="1"/>
    <xf numFmtId="10" fontId="77" fillId="22" borderId="0" xfId="8" applyNumberFormat="1" applyFont="1" applyFill="1"/>
    <xf numFmtId="0" fontId="50" fillId="0" borderId="19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8" xfId="0" applyFont="1" applyBorder="1" applyAlignment="1">
      <alignment wrapText="1"/>
    </xf>
    <xf numFmtId="3" fontId="50" fillId="5" borderId="11" xfId="0" applyNumberFormat="1" applyFont="1" applyFill="1" applyBorder="1"/>
    <xf numFmtId="0" fontId="128" fillId="5" borderId="14" xfId="0" applyFont="1" applyFill="1" applyBorder="1" applyAlignment="1">
      <alignment horizontal="center"/>
    </xf>
    <xf numFmtId="0" fontId="128" fillId="5" borderId="8" xfId="0" applyFont="1" applyFill="1" applyBorder="1" applyAlignment="1">
      <alignment wrapText="1"/>
    </xf>
    <xf numFmtId="3" fontId="128" fillId="0" borderId="11" xfId="0" applyNumberFormat="1" applyFont="1" applyBorder="1"/>
    <xf numFmtId="0" fontId="128" fillId="4" borderId="19" xfId="0" applyFont="1" applyFill="1" applyBorder="1" applyAlignment="1">
      <alignment horizontal="center"/>
    </xf>
    <xf numFmtId="3" fontId="128" fillId="9" borderId="11" xfId="0" applyNumberFormat="1" applyFont="1" applyFill="1" applyBorder="1"/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67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7" fillId="22" borderId="0" xfId="0" applyNumberFormat="1" applyFont="1" applyFill="1" applyAlignment="1">
      <alignment horizontal="right"/>
    </xf>
    <xf numFmtId="3" fontId="77" fillId="4" borderId="0" xfId="0" applyNumberFormat="1" applyFont="1" applyFill="1"/>
    <xf numFmtId="0" fontId="128" fillId="0" borderId="29" xfId="0" applyFont="1" applyBorder="1" applyAlignment="1">
      <alignment horizontal="center"/>
    </xf>
    <xf numFmtId="0" fontId="128" fillId="0" borderId="24" xfId="0" applyFont="1" applyBorder="1" applyAlignment="1">
      <alignment horizontal="center"/>
    </xf>
    <xf numFmtId="0" fontId="128" fillId="0" borderId="9" xfId="0" applyFont="1" applyBorder="1" applyAlignment="1">
      <alignment wrapText="1"/>
    </xf>
    <xf numFmtId="0" fontId="128" fillId="34" borderId="29" xfId="0" applyFont="1" applyFill="1" applyBorder="1" applyAlignment="1">
      <alignment horizontal="center"/>
    </xf>
    <xf numFmtId="0" fontId="128" fillId="34" borderId="14" xfId="0" applyFont="1" applyFill="1" applyBorder="1" applyAlignment="1">
      <alignment horizontal="center"/>
    </xf>
    <xf numFmtId="0" fontId="128" fillId="34" borderId="8" xfId="0" applyFont="1" applyFill="1" applyBorder="1" applyAlignment="1">
      <alignment wrapText="1"/>
    </xf>
    <xf numFmtId="3" fontId="128" fillId="34" borderId="11" xfId="0" applyNumberFormat="1" applyFont="1" applyFill="1" applyBorder="1"/>
    <xf numFmtId="0" fontId="128" fillId="34" borderId="19" xfId="0" applyFont="1" applyFill="1" applyBorder="1" applyAlignment="1">
      <alignment horizontal="center"/>
    </xf>
    <xf numFmtId="0" fontId="129" fillId="3" borderId="2" xfId="0" applyFont="1" applyFill="1" applyBorder="1"/>
    <xf numFmtId="0" fontId="129" fillId="3" borderId="30" xfId="0" applyFont="1" applyFill="1" applyBorder="1"/>
    <xf numFmtId="0" fontId="129" fillId="3" borderId="6" xfId="0" applyFont="1" applyFill="1" applyBorder="1"/>
    <xf numFmtId="3" fontId="129" fillId="3" borderId="3" xfId="0" applyNumberFormat="1" applyFont="1" applyFill="1" applyBorder="1"/>
    <xf numFmtId="0" fontId="130" fillId="22" borderId="0" xfId="0" applyFont="1" applyFill="1"/>
    <xf numFmtId="0" fontId="127" fillId="0" borderId="0" xfId="0" applyFont="1" applyAlignment="1">
      <alignment horizontal="center"/>
    </xf>
    <xf numFmtId="0" fontId="128" fillId="0" borderId="0" xfId="0" applyFont="1" applyAlignment="1">
      <alignment wrapText="1"/>
    </xf>
    <xf numFmtId="3" fontId="127" fillId="0" borderId="0" xfId="0" applyNumberFormat="1" applyFont="1" applyAlignment="1">
      <alignment horizontal="right"/>
    </xf>
    <xf numFmtId="49" fontId="67" fillId="22" borderId="0" xfId="0" applyNumberFormat="1" applyFont="1" applyFill="1" applyAlignment="1">
      <alignment horizontal="center"/>
    </xf>
    <xf numFmtId="4" fontId="67" fillId="22" borderId="0" xfId="0" applyNumberFormat="1" applyFont="1" applyFill="1" applyAlignment="1">
      <alignment horizontal="center"/>
    </xf>
    <xf numFmtId="0" fontId="131" fillId="0" borderId="1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/>
    </xf>
    <xf numFmtId="0" fontId="50" fillId="0" borderId="7" xfId="0" applyFont="1" applyBorder="1" applyAlignment="1">
      <alignment vertical="center" wrapText="1"/>
    </xf>
    <xf numFmtId="3" fontId="50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4" fontId="77" fillId="22" borderId="0" xfId="0" applyNumberFormat="1" applyFont="1" applyFill="1" applyAlignment="1">
      <alignment vertical="center"/>
    </xf>
    <xf numFmtId="0" fontId="129" fillId="0" borderId="73" xfId="0" applyFont="1" applyBorder="1" applyAlignment="1">
      <alignment horizontal="center" vertical="center"/>
    </xf>
    <xf numFmtId="0" fontId="129" fillId="0" borderId="24" xfId="0" applyFont="1" applyBorder="1" applyAlignment="1">
      <alignment horizontal="center" vertical="center"/>
    </xf>
    <xf numFmtId="0" fontId="129" fillId="0" borderId="14" xfId="0" applyFont="1" applyBorder="1" applyAlignment="1">
      <alignment horizontal="center"/>
    </xf>
    <xf numFmtId="0" fontId="132" fillId="0" borderId="9" xfId="0" applyFont="1" applyBorder="1" applyAlignment="1">
      <alignment vertical="center" wrapText="1"/>
    </xf>
    <xf numFmtId="3" fontId="132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130" fillId="22" borderId="0" xfId="0" applyFont="1" applyFill="1" applyAlignment="1">
      <alignment vertical="center"/>
    </xf>
    <xf numFmtId="0" fontId="129" fillId="4" borderId="58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/>
    </xf>
    <xf numFmtId="0" fontId="132" fillId="4" borderId="8" xfId="0" applyFont="1" applyFill="1" applyBorder="1" applyAlignment="1">
      <alignment vertical="center" wrapText="1"/>
    </xf>
    <xf numFmtId="3" fontId="132" fillId="4" borderId="11" xfId="0" applyNumberFormat="1" applyFont="1" applyFill="1" applyBorder="1" applyAlignment="1">
      <alignment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/>
    </xf>
    <xf numFmtId="0" fontId="132" fillId="4" borderId="39" xfId="0" applyFont="1" applyFill="1" applyBorder="1" applyAlignment="1">
      <alignment vertical="center" wrapText="1"/>
    </xf>
    <xf numFmtId="3" fontId="132" fillId="4" borderId="36" xfId="0" applyNumberFormat="1" applyFont="1" applyFill="1" applyBorder="1" applyAlignment="1">
      <alignment vertical="center"/>
    </xf>
    <xf numFmtId="3" fontId="127" fillId="3" borderId="3" xfId="0" applyNumberFormat="1" applyFont="1" applyFill="1" applyBorder="1"/>
    <xf numFmtId="0" fontId="128" fillId="5" borderId="0" xfId="3" applyFont="1" applyFill="1"/>
    <xf numFmtId="0" fontId="127" fillId="22" borderId="0" xfId="0" applyFont="1" applyFill="1" applyAlignment="1">
      <alignment horizontal="center"/>
    </xf>
    <xf numFmtId="0" fontId="128" fillId="22" borderId="0" xfId="0" applyFont="1" applyFill="1" applyAlignment="1">
      <alignment wrapText="1"/>
    </xf>
    <xf numFmtId="3" fontId="127" fillId="22" borderId="0" xfId="0" applyNumberFormat="1" applyFont="1" applyFill="1"/>
    <xf numFmtId="0" fontId="133" fillId="0" borderId="0" xfId="0" applyFont="1" applyAlignment="1">
      <alignment horizontal="center"/>
    </xf>
    <xf numFmtId="0" fontId="133" fillId="0" borderId="0" xfId="0" applyFont="1"/>
    <xf numFmtId="0" fontId="96" fillId="0" borderId="0" xfId="0" applyFont="1"/>
    <xf numFmtId="0" fontId="134" fillId="0" borderId="0" xfId="0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6" fillId="0" borderId="0" xfId="0" applyNumberFormat="1" applyFont="1"/>
    <xf numFmtId="166" fontId="96" fillId="0" borderId="0" xfId="0" applyNumberFormat="1" applyFont="1" applyAlignment="1">
      <alignment horizontal="right"/>
    </xf>
    <xf numFmtId="170" fontId="96" fillId="0" borderId="0" xfId="0" applyNumberFormat="1" applyFont="1"/>
    <xf numFmtId="171" fontId="133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0" fontId="96" fillId="2" borderId="1" xfId="5" applyFont="1" applyFill="1" applyBorder="1" applyAlignment="1">
      <alignment horizontal="center" vertical="center"/>
    </xf>
    <xf numFmtId="0" fontId="96" fillId="2" borderId="2" xfId="5" applyFont="1" applyFill="1" applyBorder="1" applyAlignment="1">
      <alignment horizontal="center" vertical="center" wrapText="1"/>
    </xf>
    <xf numFmtId="0" fontId="96" fillId="2" borderId="3" xfId="5" applyFont="1" applyFill="1" applyBorder="1" applyAlignment="1">
      <alignment horizontal="center" vertical="center" wrapText="1"/>
    </xf>
    <xf numFmtId="0" fontId="96" fillId="4" borderId="3" xfId="5" applyFont="1" applyFill="1" applyBorder="1" applyAlignment="1">
      <alignment horizontal="center" vertical="center" wrapText="1"/>
    </xf>
    <xf numFmtId="0" fontId="134" fillId="4" borderId="2" xfId="5" applyFont="1" applyFill="1" applyBorder="1" applyAlignment="1">
      <alignment horizontal="center" vertical="center" wrapText="1"/>
    </xf>
    <xf numFmtId="0" fontId="134" fillId="4" borderId="50" xfId="5" applyFont="1" applyFill="1" applyBorder="1" applyAlignment="1">
      <alignment horizontal="center" vertical="center" wrapText="1"/>
    </xf>
    <xf numFmtId="0" fontId="96" fillId="6" borderId="2" xfId="5" applyFont="1" applyFill="1" applyBorder="1" applyAlignment="1">
      <alignment horizontal="center" vertical="center" wrapText="1"/>
    </xf>
    <xf numFmtId="0" fontId="96" fillId="2" borderId="56" xfId="5" applyFont="1" applyFill="1" applyBorder="1" applyAlignment="1">
      <alignment horizontal="center" vertical="center" wrapText="1"/>
    </xf>
    <xf numFmtId="0" fontId="96" fillId="4" borderId="56" xfId="5" applyFont="1" applyFill="1" applyBorder="1" applyAlignment="1">
      <alignment horizontal="center" vertical="center" wrapText="1"/>
    </xf>
    <xf numFmtId="0" fontId="134" fillId="4" borderId="56" xfId="5" applyFont="1" applyFill="1" applyBorder="1" applyAlignment="1">
      <alignment horizontal="center" vertical="center" wrapText="1"/>
    </xf>
    <xf numFmtId="0" fontId="134" fillId="4" borderId="5" xfId="5" applyFont="1" applyFill="1" applyBorder="1" applyAlignment="1">
      <alignment horizontal="center" vertical="center" wrapText="1"/>
    </xf>
    <xf numFmtId="0" fontId="133" fillId="2" borderId="2" xfId="5" applyFont="1" applyFill="1" applyBorder="1" applyAlignment="1">
      <alignment vertical="center"/>
    </xf>
    <xf numFmtId="0" fontId="133" fillId="2" borderId="30" xfId="5" applyFont="1" applyFill="1" applyBorder="1" applyAlignment="1">
      <alignment vertical="center"/>
    </xf>
    <xf numFmtId="0" fontId="96" fillId="2" borderId="30" xfId="5" applyFont="1" applyFill="1" applyBorder="1" applyAlignment="1">
      <alignment vertical="center"/>
    </xf>
    <xf numFmtId="3" fontId="96" fillId="2" borderId="30" xfId="5" applyNumberFormat="1" applyFont="1" applyFill="1" applyBorder="1" applyAlignment="1">
      <alignment vertical="center"/>
    </xf>
    <xf numFmtId="0" fontId="134" fillId="2" borderId="1" xfId="5" applyFont="1" applyFill="1" applyBorder="1" applyAlignment="1">
      <alignment horizontal="center" vertical="center" wrapText="1"/>
    </xf>
    <xf numFmtId="0" fontId="134" fillId="2" borderId="5" xfId="5" applyFont="1" applyFill="1" applyBorder="1" applyAlignment="1">
      <alignment horizontal="center" vertical="center" wrapText="1"/>
    </xf>
    <xf numFmtId="0" fontId="134" fillId="5" borderId="5" xfId="5" applyFont="1" applyFill="1" applyBorder="1" applyAlignment="1">
      <alignment horizontal="center" vertical="center" wrapText="1"/>
    </xf>
    <xf numFmtId="0" fontId="134" fillId="2" borderId="50" xfId="5" applyFont="1" applyFill="1" applyBorder="1" applyAlignment="1">
      <alignment horizontal="center" vertical="center" wrapText="1"/>
    </xf>
    <xf numFmtId="0" fontId="135" fillId="6" borderId="2" xfId="5" applyFont="1" applyFill="1" applyBorder="1" applyAlignment="1">
      <alignment horizontal="center" vertical="center" wrapText="1"/>
    </xf>
    <xf numFmtId="0" fontId="134" fillId="11" borderId="5" xfId="5" applyFont="1" applyFill="1" applyBorder="1" applyAlignment="1">
      <alignment horizontal="center" vertical="center" wrapText="1"/>
    </xf>
    <xf numFmtId="0" fontId="134" fillId="2" borderId="6" xfId="5" applyFont="1" applyFill="1" applyBorder="1" applyAlignment="1">
      <alignment horizontal="center" vertical="center" wrapText="1"/>
    </xf>
    <xf numFmtId="0" fontId="134" fillId="2" borderId="3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6" xfId="0" applyNumberFormat="1" applyFont="1" applyBorder="1"/>
    <xf numFmtId="3" fontId="133" fillId="0" borderId="23" xfId="0" applyNumberFormat="1" applyFont="1" applyBorder="1"/>
    <xf numFmtId="3" fontId="133" fillId="0" borderId="25" xfId="0" applyNumberFormat="1" applyFont="1" applyBorder="1"/>
    <xf numFmtId="3" fontId="134" fillId="0" borderId="25" xfId="0" applyNumberFormat="1" applyFont="1" applyBorder="1"/>
    <xf numFmtId="3" fontId="134" fillId="0" borderId="26" xfId="0" applyNumberFormat="1" applyFont="1" applyBorder="1"/>
    <xf numFmtId="3" fontId="134" fillId="6" borderId="17" xfId="0" applyNumberFormat="1" applyFont="1" applyFill="1" applyBorder="1"/>
    <xf numFmtId="3" fontId="133" fillId="0" borderId="7" xfId="0" applyNumberFormat="1" applyFont="1" applyBorder="1"/>
    <xf numFmtId="3" fontId="133" fillId="0" borderId="0" xfId="0" applyNumberFormat="1" applyFont="1"/>
    <xf numFmtId="3" fontId="96" fillId="0" borderId="10" xfId="0" applyNumberFormat="1" applyFont="1" applyBorder="1"/>
    <xf numFmtId="3" fontId="133" fillId="22" borderId="0" xfId="0" applyNumberFormat="1" applyFont="1" applyFill="1"/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14" xfId="0" applyNumberFormat="1" applyFont="1" applyBorder="1"/>
    <xf numFmtId="3" fontId="134" fillId="0" borderId="14" xfId="0" applyNumberFormat="1" applyFont="1" applyBorder="1"/>
    <xf numFmtId="3" fontId="134" fillId="0" borderId="70" xfId="0" applyNumberFormat="1" applyFont="1" applyBorder="1"/>
    <xf numFmtId="3" fontId="135" fillId="6" borderId="58" xfId="0" applyNumberFormat="1" applyFont="1" applyFill="1" applyBorder="1"/>
    <xf numFmtId="3" fontId="133" fillId="0" borderId="8" xfId="0" applyNumberFormat="1" applyFont="1" applyBorder="1"/>
    <xf numFmtId="0" fontId="96" fillId="3" borderId="32" xfId="0" applyFont="1" applyFill="1" applyBorder="1" applyAlignment="1">
      <alignment horizontal="center" wrapText="1"/>
    </xf>
    <xf numFmtId="0" fontId="96" fillId="3" borderId="33" xfId="0" applyFont="1" applyFill="1" applyBorder="1" applyAlignment="1">
      <alignment wrapText="1"/>
    </xf>
    <xf numFmtId="3" fontId="96" fillId="3" borderId="34" xfId="0" applyNumberFormat="1" applyFont="1" applyFill="1" applyBorder="1"/>
    <xf numFmtId="3" fontId="96" fillId="3" borderId="40" xfId="0" applyNumberFormat="1" applyFont="1" applyFill="1" applyBorder="1"/>
    <xf numFmtId="3" fontId="96" fillId="3" borderId="37" xfId="0" applyNumberFormat="1" applyFont="1" applyFill="1" applyBorder="1"/>
    <xf numFmtId="3" fontId="97" fillId="3" borderId="37" xfId="0" applyNumberFormat="1" applyFont="1" applyFill="1" applyBorder="1"/>
    <xf numFmtId="3" fontId="97" fillId="3" borderId="49" xfId="0" applyNumberFormat="1" applyFont="1" applyFill="1" applyBorder="1"/>
    <xf numFmtId="3" fontId="93" fillId="6" borderId="32" xfId="0" applyNumberFormat="1" applyFont="1" applyFill="1" applyBorder="1"/>
    <xf numFmtId="3" fontId="96" fillId="3" borderId="35" xfId="0" applyNumberFormat="1" applyFont="1" applyFill="1" applyBorder="1"/>
    <xf numFmtId="0" fontId="133" fillId="3" borderId="25" xfId="0" applyFont="1" applyFill="1" applyBorder="1" applyAlignment="1">
      <alignment horizontal="center"/>
    </xf>
    <xf numFmtId="3" fontId="133" fillId="6" borderId="17" xfId="0" applyNumberFormat="1" applyFont="1" applyFill="1" applyBorder="1"/>
    <xf numFmtId="3" fontId="133" fillId="6" borderId="58" xfId="0" applyNumberFormat="1" applyFont="1" applyFill="1" applyBorder="1"/>
    <xf numFmtId="3" fontId="133" fillId="11" borderId="14" xfId="0" applyNumberFormat="1" applyFont="1" applyFill="1" applyBorder="1"/>
    <xf numFmtId="3" fontId="134" fillId="22" borderId="0" xfId="0" applyNumberFormat="1" applyFont="1" applyFill="1"/>
    <xf numFmtId="3" fontId="134" fillId="4" borderId="14" xfId="0" applyNumberFormat="1" applyFont="1" applyFill="1" applyBorder="1"/>
    <xf numFmtId="3" fontId="135" fillId="21" borderId="58" xfId="0" applyNumberFormat="1" applyFont="1" applyFill="1" applyBorder="1"/>
    <xf numFmtId="3" fontId="133" fillId="4" borderId="14" xfId="0" applyNumberFormat="1" applyFont="1" applyFill="1" applyBorder="1"/>
    <xf numFmtId="4" fontId="133" fillId="4" borderId="0" xfId="0" applyNumberFormat="1" applyFont="1" applyFill="1" applyAlignment="1">
      <alignment horizontal="center"/>
    </xf>
    <xf numFmtId="0" fontId="96" fillId="22" borderId="0" xfId="0" applyFont="1" applyFill="1"/>
    <xf numFmtId="3" fontId="134" fillId="21" borderId="14" xfId="0" applyNumberFormat="1" applyFont="1" applyFill="1" applyBorder="1"/>
    <xf numFmtId="3" fontId="134" fillId="5" borderId="14" xfId="0" applyNumberFormat="1" applyFont="1" applyFill="1" applyBorder="1"/>
    <xf numFmtId="3" fontId="133" fillId="9" borderId="14" xfId="0" applyNumberFormat="1" applyFont="1" applyFill="1" applyBorder="1"/>
    <xf numFmtId="0" fontId="133" fillId="3" borderId="62" xfId="0" applyFont="1" applyFill="1" applyBorder="1" applyAlignment="1">
      <alignment horizontal="center"/>
    </xf>
    <xf numFmtId="0" fontId="133" fillId="3" borderId="43" xfId="0" applyFont="1" applyFill="1" applyBorder="1" applyAlignment="1">
      <alignment wrapText="1"/>
    </xf>
    <xf numFmtId="3" fontId="96" fillId="0" borderId="12" xfId="0" applyNumberFormat="1" applyFont="1" applyBorder="1"/>
    <xf numFmtId="3" fontId="133" fillId="0" borderId="29" xfId="0" applyNumberFormat="1" applyFont="1" applyBorder="1"/>
    <xf numFmtId="3" fontId="133" fillId="0" borderId="24" xfId="0" applyNumberFormat="1" applyFont="1" applyBorder="1"/>
    <xf numFmtId="3" fontId="134" fillId="0" borderId="24" xfId="0" applyNumberFormat="1" applyFont="1" applyBorder="1"/>
    <xf numFmtId="3" fontId="134" fillId="0" borderId="72" xfId="0" applyNumberFormat="1" applyFont="1" applyBorder="1"/>
    <xf numFmtId="3" fontId="133" fillId="6" borderId="73" xfId="0" applyNumberFormat="1" applyFont="1" applyFill="1" applyBorder="1"/>
    <xf numFmtId="3" fontId="133" fillId="0" borderId="9" xfId="0" applyNumberFormat="1" applyFont="1" applyBorder="1"/>
    <xf numFmtId="3" fontId="133" fillId="0" borderId="18" xfId="0" applyNumberFormat="1" applyFont="1" applyBorder="1"/>
    <xf numFmtId="3" fontId="96" fillId="0" borderId="13" xfId="0" applyNumberFormat="1" applyFont="1" applyBorder="1"/>
    <xf numFmtId="3" fontId="97" fillId="0" borderId="13" xfId="0" applyNumberFormat="1" applyFont="1" applyBorder="1"/>
    <xf numFmtId="3" fontId="97" fillId="0" borderId="71" xfId="0" applyNumberFormat="1" applyFont="1" applyBorder="1"/>
    <xf numFmtId="3" fontId="96" fillId="6" borderId="15" xfId="0" applyNumberFormat="1" applyFont="1" applyFill="1" applyBorder="1"/>
    <xf numFmtId="3" fontId="96" fillId="0" borderId="31" xfId="0" applyNumberFormat="1" applyFont="1" applyBorder="1"/>
    <xf numFmtId="3" fontId="96" fillId="0" borderId="36" xfId="0" applyNumberFormat="1" applyFont="1" applyBorder="1"/>
    <xf numFmtId="0" fontId="133" fillId="3" borderId="0" xfId="0" applyFont="1" applyFill="1" applyAlignment="1">
      <alignment horizontal="center"/>
    </xf>
    <xf numFmtId="0" fontId="133" fillId="3" borderId="14" xfId="0" applyFont="1" applyFill="1" applyBorder="1" applyAlignment="1">
      <alignment wrapText="1"/>
    </xf>
    <xf numFmtId="3" fontId="133" fillId="0" borderId="41" xfId="0" applyNumberFormat="1" applyFont="1" applyBorder="1"/>
    <xf numFmtId="3" fontId="96" fillId="0" borderId="38" xfId="0" applyNumberFormat="1" applyFont="1" applyBorder="1"/>
    <xf numFmtId="3" fontId="97" fillId="0" borderId="38" xfId="0" applyNumberFormat="1" applyFont="1" applyBorder="1"/>
    <xf numFmtId="3" fontId="97" fillId="0" borderId="69" xfId="0" applyNumberFormat="1" applyFont="1" applyBorder="1"/>
    <xf numFmtId="3" fontId="96" fillId="6" borderId="59" xfId="0" applyNumberFormat="1" applyFont="1" applyFill="1" applyBorder="1"/>
    <xf numFmtId="3" fontId="96" fillId="0" borderId="39" xfId="0" applyNumberFormat="1" applyFont="1" applyBorder="1"/>
    <xf numFmtId="4" fontId="96" fillId="0" borderId="36" xfId="0" applyNumberFormat="1" applyFont="1" applyBorder="1"/>
    <xf numFmtId="3" fontId="96" fillId="0" borderId="41" xfId="0" applyNumberFormat="1" applyFont="1" applyBorder="1"/>
    <xf numFmtId="0" fontId="133" fillId="3" borderId="26" xfId="0" applyFont="1" applyFill="1" applyBorder="1" applyAlignment="1">
      <alignment horizontal="center"/>
    </xf>
    <xf numFmtId="0" fontId="133" fillId="3" borderId="27" xfId="0" applyFont="1" applyFill="1" applyBorder="1" applyAlignment="1">
      <alignment wrapText="1"/>
    </xf>
    <xf numFmtId="3" fontId="133" fillId="5" borderId="14" xfId="0" applyNumberFormat="1" applyFont="1" applyFill="1" applyBorder="1"/>
    <xf numFmtId="3" fontId="134" fillId="5" borderId="70" xfId="0" applyNumberFormat="1" applyFont="1" applyFill="1" applyBorder="1"/>
    <xf numFmtId="3" fontId="133" fillId="34" borderId="14" xfId="0" applyNumberFormat="1" applyFont="1" applyFill="1" applyBorder="1"/>
    <xf numFmtId="0" fontId="136" fillId="3" borderId="25" xfId="0" applyFont="1" applyFill="1" applyBorder="1" applyAlignment="1">
      <alignment horizontal="center"/>
    </xf>
    <xf numFmtId="0" fontId="136" fillId="3" borderId="7" xfId="0" applyFont="1" applyFill="1" applyBorder="1" applyAlignment="1">
      <alignment wrapText="1"/>
    </xf>
    <xf numFmtId="3" fontId="51" fillId="0" borderId="11" xfId="0" applyNumberFormat="1" applyFont="1" applyBorder="1"/>
    <xf numFmtId="3" fontId="136" fillId="0" borderId="19" xfId="0" applyNumberFormat="1" applyFont="1" applyBorder="1"/>
    <xf numFmtId="3" fontId="136" fillId="0" borderId="14" xfId="0" applyNumberFormat="1" applyFont="1" applyBorder="1"/>
    <xf numFmtId="3" fontId="136" fillId="0" borderId="24" xfId="0" applyNumberFormat="1" applyFont="1" applyBorder="1"/>
    <xf numFmtId="3" fontId="136" fillId="0" borderId="70" xfId="0" applyNumberFormat="1" applyFont="1" applyBorder="1"/>
    <xf numFmtId="3" fontId="136" fillId="0" borderId="8" xfId="0" applyNumberFormat="1" applyFont="1" applyBorder="1"/>
    <xf numFmtId="3" fontId="136" fillId="0" borderId="0" xfId="0" applyNumberFormat="1" applyFont="1"/>
    <xf numFmtId="4" fontId="136" fillId="0" borderId="0" xfId="0" applyNumberFormat="1" applyFont="1"/>
    <xf numFmtId="4" fontId="136" fillId="0" borderId="0" xfId="0" applyNumberFormat="1" applyFont="1" applyAlignment="1">
      <alignment horizontal="center"/>
    </xf>
    <xf numFmtId="0" fontId="136" fillId="22" borderId="0" xfId="0" applyFont="1" applyFill="1"/>
    <xf numFmtId="3" fontId="136" fillId="22" borderId="0" xfId="0" applyNumberFormat="1" applyFont="1" applyFill="1"/>
    <xf numFmtId="0" fontId="134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21" xfId="0" applyNumberFormat="1" applyFont="1" applyBorder="1"/>
    <xf numFmtId="3" fontId="134" fillId="6" borderId="58" xfId="0" applyNumberFormat="1" applyFont="1" applyFill="1" applyBorder="1"/>
    <xf numFmtId="3" fontId="134" fillId="0" borderId="8" xfId="0" applyNumberFormat="1" applyFont="1" applyBorder="1"/>
    <xf numFmtId="3" fontId="134" fillId="0" borderId="0" xfId="0" applyNumberFormat="1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6" fillId="0" borderId="29" xfId="0" applyNumberFormat="1" applyFont="1" applyBorder="1"/>
    <xf numFmtId="3" fontId="96" fillId="0" borderId="24" xfId="0" applyNumberFormat="1" applyFont="1" applyBorder="1"/>
    <xf numFmtId="3" fontId="97" fillId="0" borderId="24" xfId="0" applyNumberFormat="1" applyFont="1" applyBorder="1"/>
    <xf numFmtId="3" fontId="97" fillId="0" borderId="72" xfId="0" applyNumberFormat="1" applyFont="1" applyBorder="1"/>
    <xf numFmtId="3" fontId="96" fillId="6" borderId="73" xfId="0" applyNumberFormat="1" applyFont="1" applyFill="1" applyBorder="1"/>
    <xf numFmtId="3" fontId="96" fillId="0" borderId="9" xfId="0" applyNumberFormat="1" applyFont="1" applyBorder="1"/>
    <xf numFmtId="0" fontId="133" fillId="3" borderId="28" xfId="0" applyFont="1" applyFill="1" applyBorder="1" applyAlignment="1">
      <alignment wrapText="1"/>
    </xf>
    <xf numFmtId="3" fontId="96" fillId="3" borderId="3" xfId="0" applyNumberFormat="1" applyFont="1" applyFill="1" applyBorder="1"/>
    <xf numFmtId="3" fontId="96" fillId="3" borderId="1" xfId="0" applyNumberFormat="1" applyFont="1" applyFill="1" applyBorder="1"/>
    <xf numFmtId="3" fontId="96" fillId="3" borderId="5" xfId="0" applyNumberFormat="1" applyFont="1" applyFill="1" applyBorder="1"/>
    <xf numFmtId="3" fontId="97" fillId="3" borderId="5" xfId="0" applyNumberFormat="1" applyFont="1" applyFill="1" applyBorder="1"/>
    <xf numFmtId="3" fontId="97" fillId="3" borderId="50" xfId="0" applyNumberFormat="1" applyFont="1" applyFill="1" applyBorder="1"/>
    <xf numFmtId="3" fontId="93" fillId="6" borderId="2" xfId="0" applyNumberFormat="1" applyFont="1" applyFill="1" applyBorder="1"/>
    <xf numFmtId="3" fontId="96" fillId="3" borderId="6" xfId="0" applyNumberFormat="1" applyFont="1" applyFill="1" applyBorder="1"/>
    <xf numFmtId="3" fontId="96" fillId="3" borderId="3" xfId="0" applyNumberFormat="1" applyFont="1" applyFill="1" applyBorder="1" applyAlignment="1">
      <alignment horizontal="right"/>
    </xf>
    <xf numFmtId="3" fontId="96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93" fillId="5" borderId="0" xfId="0" applyNumberFormat="1" applyFont="1" applyFill="1"/>
    <xf numFmtId="3" fontId="97" fillId="5" borderId="0" xfId="0" applyNumberFormat="1" applyFont="1" applyFill="1"/>
    <xf numFmtId="166" fontId="133" fillId="5" borderId="0" xfId="0" applyNumberFormat="1" applyFont="1" applyFill="1" applyAlignment="1">
      <alignment horizontal="right"/>
    </xf>
    <xf numFmtId="0" fontId="133" fillId="5" borderId="0" xfId="0" applyFont="1" applyFill="1"/>
    <xf numFmtId="3" fontId="133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135" fillId="5" borderId="0" xfId="0" applyNumberFormat="1" applyFont="1" applyFill="1" applyAlignment="1">
      <alignment horizontal="center"/>
    </xf>
    <xf numFmtId="0" fontId="133" fillId="5" borderId="0" xfId="3" applyFont="1" applyFill="1"/>
    <xf numFmtId="3" fontId="137" fillId="22" borderId="0" xfId="0" applyNumberFormat="1" applyFont="1" applyFill="1"/>
    <xf numFmtId="4" fontId="133" fillId="22" borderId="0" xfId="0" applyNumberFormat="1" applyFont="1" applyFill="1"/>
    <xf numFmtId="4" fontId="133" fillId="22" borderId="0" xfId="0" applyNumberFormat="1" applyFont="1" applyFill="1" applyAlignment="1">
      <alignment horizontal="center"/>
    </xf>
    <xf numFmtId="0" fontId="133" fillId="22" borderId="0" xfId="0" applyFont="1" applyFill="1" applyAlignment="1">
      <alignment horizontal="center"/>
    </xf>
    <xf numFmtId="3" fontId="96" fillId="22" borderId="0" xfId="0" applyNumberFormat="1" applyFont="1" applyFill="1"/>
    <xf numFmtId="4" fontId="134" fillId="22" borderId="0" xfId="0" applyNumberFormat="1" applyFont="1" applyFill="1"/>
    <xf numFmtId="3" fontId="138" fillId="22" borderId="0" xfId="0" applyNumberFormat="1" applyFont="1" applyFill="1"/>
    <xf numFmtId="0" fontId="133" fillId="10" borderId="0" xfId="0" applyFont="1" applyFill="1"/>
    <xf numFmtId="0" fontId="96" fillId="10" borderId="0" xfId="0" applyFont="1" applyFill="1" applyAlignment="1">
      <alignment horizontal="center"/>
    </xf>
    <xf numFmtId="3" fontId="133" fillId="10" borderId="0" xfId="0" applyNumberFormat="1" applyFont="1" applyFill="1"/>
    <xf numFmtId="3" fontId="134" fillId="10" borderId="0" xfId="0" applyNumberFormat="1" applyFont="1" applyFill="1"/>
    <xf numFmtId="0" fontId="96" fillId="8" borderId="0" xfId="0" applyFont="1" applyFill="1"/>
    <xf numFmtId="0" fontId="96" fillId="8" borderId="0" xfId="0" applyFont="1" applyFill="1" applyAlignment="1">
      <alignment horizontal="center"/>
    </xf>
    <xf numFmtId="3" fontId="133" fillId="8" borderId="0" xfId="0" applyNumberFormat="1" applyFont="1" applyFill="1"/>
    <xf numFmtId="3" fontId="134" fillId="8" borderId="0" xfId="0" applyNumberFormat="1" applyFont="1" applyFill="1"/>
    <xf numFmtId="0" fontId="133" fillId="8" borderId="0" xfId="0" applyFont="1" applyFill="1"/>
    <xf numFmtId="3" fontId="96" fillId="8" borderId="0" xfId="0" applyNumberFormat="1" applyFont="1" applyFill="1" applyAlignment="1">
      <alignment horizontal="center"/>
    </xf>
    <xf numFmtId="3" fontId="134" fillId="8" borderId="47" xfId="0" applyNumberFormat="1" applyFont="1" applyFill="1" applyBorder="1"/>
    <xf numFmtId="0" fontId="96" fillId="0" borderId="44" xfId="0" applyFont="1" applyBorder="1" applyAlignment="1">
      <alignment vertical="center"/>
    </xf>
    <xf numFmtId="0" fontId="96" fillId="0" borderId="37" xfId="0" applyFont="1" applyBorder="1" applyAlignment="1">
      <alignment vertical="center"/>
    </xf>
    <xf numFmtId="0" fontId="96" fillId="0" borderId="37" xfId="0" applyFont="1" applyBorder="1" applyAlignment="1">
      <alignment horizontal="center" vertical="center"/>
    </xf>
    <xf numFmtId="3" fontId="96" fillId="0" borderId="37" xfId="0" applyNumberFormat="1" applyFont="1" applyBorder="1" applyAlignment="1">
      <alignment horizontal="center" vertical="center" wrapText="1"/>
    </xf>
    <xf numFmtId="3" fontId="97" fillId="4" borderId="5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9" fontId="96" fillId="0" borderId="46" xfId="8" applyFont="1" applyBorder="1" applyAlignment="1">
      <alignment horizontal="center"/>
    </xf>
    <xf numFmtId="0" fontId="96" fillId="8" borderId="85" xfId="0" applyFont="1" applyFill="1" applyBorder="1"/>
    <xf numFmtId="0" fontId="96" fillId="8" borderId="86" xfId="0" applyFont="1" applyFill="1" applyBorder="1"/>
    <xf numFmtId="0" fontId="96" fillId="8" borderId="86" xfId="0" applyFont="1" applyFill="1" applyBorder="1" applyAlignment="1">
      <alignment horizontal="center"/>
    </xf>
    <xf numFmtId="3" fontId="96" fillId="8" borderId="88" xfId="0" applyNumberFormat="1" applyFont="1" applyFill="1" applyBorder="1"/>
    <xf numFmtId="3" fontId="96" fillId="8" borderId="87" xfId="0" applyNumberFormat="1" applyFont="1" applyFill="1" applyBorder="1"/>
    <xf numFmtId="3" fontId="97" fillId="0" borderId="0" xfId="0" applyNumberFormat="1" applyFont="1" applyAlignment="1">
      <alignment horizontal="right"/>
    </xf>
    <xf numFmtId="0" fontId="134" fillId="0" borderId="59" xfId="0" applyFont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7" xfId="0" applyNumberFormat="1" applyFont="1" applyBorder="1"/>
    <xf numFmtId="3" fontId="134" fillId="0" borderId="0" xfId="0" applyNumberFormat="1" applyFont="1" applyAlignment="1">
      <alignment horizontal="right"/>
    </xf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43" xfId="0" applyNumberFormat="1" applyFont="1" applyBorder="1"/>
    <xf numFmtId="0" fontId="133" fillId="0" borderId="59" xfId="0" applyFont="1" applyBorder="1"/>
    <xf numFmtId="0" fontId="136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36" fillId="0" borderId="43" xfId="0" applyNumberFormat="1" applyFont="1" applyBorder="1"/>
    <xf numFmtId="0" fontId="138" fillId="0" borderId="59" xfId="0" applyFont="1" applyBorder="1"/>
    <xf numFmtId="0" fontId="138" fillId="0" borderId="14" xfId="0" applyFont="1" applyBorder="1" applyAlignment="1">
      <alignment horizontal="right"/>
    </xf>
    <xf numFmtId="0" fontId="139" fillId="0" borderId="14" xfId="0" applyFont="1" applyBorder="1" applyAlignment="1">
      <alignment horizontal="center"/>
    </xf>
    <xf numFmtId="3" fontId="138" fillId="0" borderId="70" xfId="0" applyNumberFormat="1" applyFont="1" applyBorder="1"/>
    <xf numFmtId="3" fontId="138" fillId="0" borderId="43" xfId="0" applyNumberFormat="1" applyFont="1" applyBorder="1"/>
    <xf numFmtId="0" fontId="138" fillId="22" borderId="0" xfId="0" applyFont="1" applyFill="1"/>
    <xf numFmtId="0" fontId="136" fillId="0" borderId="14" xfId="0" applyFont="1" applyBorder="1" applyAlignment="1">
      <alignment horizontal="right" wrapText="1"/>
    </xf>
    <xf numFmtId="0" fontId="97" fillId="0" borderId="24" xfId="0" applyFont="1" applyBorder="1" applyAlignment="1">
      <alignment horizontal="center"/>
    </xf>
    <xf numFmtId="3" fontId="134" fillId="0" borderId="66" xfId="0" applyNumberFormat="1" applyFont="1" applyBorder="1"/>
    <xf numFmtId="0" fontId="133" fillId="0" borderId="14" xfId="0" applyFont="1" applyBorder="1"/>
    <xf numFmtId="0" fontId="96" fillId="0" borderId="24" xfId="0" applyFont="1" applyBorder="1" applyAlignment="1">
      <alignment horizontal="center"/>
    </xf>
    <xf numFmtId="3" fontId="133" fillId="0" borderId="72" xfId="0" applyNumberFormat="1" applyFont="1" applyBorder="1"/>
    <xf numFmtId="3" fontId="133" fillId="0" borderId="66" xfId="0" applyNumberFormat="1" applyFont="1" applyBorder="1"/>
    <xf numFmtId="0" fontId="96" fillId="8" borderId="83" xfId="0" applyFont="1" applyFill="1" applyBorder="1"/>
    <xf numFmtId="0" fontId="96" fillId="8" borderId="81" xfId="0" applyFont="1" applyFill="1" applyBorder="1"/>
    <xf numFmtId="0" fontId="96" fillId="8" borderId="81" xfId="0" applyFont="1" applyFill="1" applyBorder="1" applyAlignment="1">
      <alignment horizontal="center"/>
    </xf>
    <xf numFmtId="3" fontId="96" fillId="8" borderId="89" xfId="0" applyNumberFormat="1" applyFont="1" applyFill="1" applyBorder="1"/>
    <xf numFmtId="3" fontId="96" fillId="8" borderId="82" xfId="0" applyNumberFormat="1" applyFont="1" applyFill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6" xfId="0" applyNumberFormat="1" applyFont="1" applyBorder="1"/>
    <xf numFmtId="3" fontId="133" fillId="0" borderId="27" xfId="0" applyNumberFormat="1" applyFont="1" applyBorder="1"/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70" xfId="0" applyNumberFormat="1" applyFont="1" applyBorder="1"/>
    <xf numFmtId="3" fontId="133" fillId="0" borderId="43" xfId="0" applyNumberFormat="1" applyFont="1" applyBorder="1"/>
    <xf numFmtId="0" fontId="133" fillId="0" borderId="24" xfId="0" applyFont="1" applyBorder="1" applyAlignment="1">
      <alignment horizontal="right"/>
    </xf>
    <xf numFmtId="0" fontId="133" fillId="34" borderId="59" xfId="0" applyFont="1" applyFill="1" applyBorder="1"/>
    <xf numFmtId="0" fontId="133" fillId="34" borderId="25" xfId="0" applyFont="1" applyFill="1" applyBorder="1" applyAlignment="1">
      <alignment horizontal="right"/>
    </xf>
    <xf numFmtId="0" fontId="96" fillId="34" borderId="25" xfId="0" applyFont="1" applyFill="1" applyBorder="1" applyAlignment="1">
      <alignment horizontal="center"/>
    </xf>
    <xf numFmtId="3" fontId="133" fillId="34" borderId="26" xfId="0" applyNumberFormat="1" applyFont="1" applyFill="1" applyBorder="1"/>
    <xf numFmtId="3" fontId="133" fillId="34" borderId="27" xfId="0" applyNumberFormat="1" applyFont="1" applyFill="1" applyBorder="1"/>
    <xf numFmtId="0" fontId="133" fillId="0" borderId="25" xfId="0" applyFont="1" applyBorder="1" applyAlignment="1">
      <alignment horizontal="right"/>
    </xf>
    <xf numFmtId="0" fontId="133" fillId="0" borderId="14" xfId="0" applyFont="1" applyBorder="1" applyAlignment="1">
      <alignment horizontal="right" wrapText="1"/>
    </xf>
    <xf numFmtId="3" fontId="133" fillId="0" borderId="96" xfId="0" applyNumberFormat="1" applyFont="1" applyBorder="1"/>
    <xf numFmtId="0" fontId="134" fillId="0" borderId="0" xfId="0" applyFont="1" applyAlignment="1">
      <alignment horizontal="right"/>
    </xf>
    <xf numFmtId="0" fontId="97" fillId="0" borderId="0" xfId="0" applyFont="1" applyAlignment="1">
      <alignment horizontal="center"/>
    </xf>
    <xf numFmtId="9" fontId="133" fillId="0" borderId="0" xfId="8" applyFont="1"/>
    <xf numFmtId="164" fontId="133" fillId="0" borderId="0" xfId="1" applyFont="1"/>
    <xf numFmtId="0" fontId="96" fillId="4" borderId="2" xfId="0" applyFont="1" applyFill="1" applyBorder="1" applyAlignment="1">
      <alignment vertical="center"/>
    </xf>
    <xf numFmtId="0" fontId="133" fillId="4" borderId="30" xfId="0" applyFont="1" applyFill="1" applyBorder="1" applyAlignment="1">
      <alignment vertical="center"/>
    </xf>
    <xf numFmtId="0" fontId="96" fillId="4" borderId="5" xfId="0" applyFont="1" applyFill="1" applyBorder="1" applyAlignment="1">
      <alignment horizontal="center" vertical="center"/>
    </xf>
    <xf numFmtId="3" fontId="96" fillId="4" borderId="50" xfId="0" applyNumberFormat="1" applyFont="1" applyFill="1" applyBorder="1" applyAlignment="1">
      <alignment horizontal="center" vertical="center" wrapText="1"/>
    </xf>
    <xf numFmtId="3" fontId="96" fillId="4" borderId="56" xfId="0" applyNumberFormat="1" applyFont="1" applyFill="1" applyBorder="1" applyAlignment="1">
      <alignment horizontal="center" vertical="center" wrapText="1"/>
    </xf>
    <xf numFmtId="0" fontId="96" fillId="8" borderId="2" xfId="0" applyFont="1" applyFill="1" applyBorder="1"/>
    <xf numFmtId="0" fontId="96" fillId="8" borderId="30" xfId="0" applyFont="1" applyFill="1" applyBorder="1"/>
    <xf numFmtId="0" fontId="96" fillId="8" borderId="30" xfId="0" applyFont="1" applyFill="1" applyBorder="1" applyAlignment="1">
      <alignment horizontal="center"/>
    </xf>
    <xf numFmtId="3" fontId="96" fillId="8" borderId="50" xfId="0" applyNumberFormat="1" applyFont="1" applyFill="1" applyBorder="1"/>
    <xf numFmtId="3" fontId="96" fillId="8" borderId="56" xfId="0" applyNumberFormat="1" applyFont="1" applyFill="1" applyBorder="1"/>
    <xf numFmtId="0" fontId="96" fillId="0" borderId="59" xfId="0" applyFont="1" applyBorder="1"/>
    <xf numFmtId="0" fontId="96" fillId="8" borderId="88" xfId="0" applyFont="1" applyFill="1" applyBorder="1"/>
    <xf numFmtId="0" fontId="96" fillId="8" borderId="80" xfId="0" applyFont="1" applyFill="1" applyBorder="1" applyAlignment="1">
      <alignment horizontal="center"/>
    </xf>
    <xf numFmtId="3" fontId="96" fillId="8" borderId="91" xfId="0" applyNumberFormat="1" applyFont="1" applyFill="1" applyBorder="1"/>
    <xf numFmtId="3" fontId="96" fillId="8" borderId="84" xfId="0" applyNumberFormat="1" applyFont="1" applyFill="1" applyBorder="1"/>
    <xf numFmtId="0" fontId="133" fillId="0" borderId="59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96" fillId="0" borderId="25" xfId="0" applyFont="1" applyBorder="1" applyAlignment="1">
      <alignment horizontal="center" vertical="center"/>
    </xf>
    <xf numFmtId="3" fontId="133" fillId="0" borderId="26" xfId="0" applyNumberFormat="1" applyFont="1" applyBorder="1" applyAlignment="1">
      <alignment vertical="center"/>
    </xf>
    <xf numFmtId="3" fontId="133" fillId="0" borderId="27" xfId="0" applyNumberFormat="1" applyFont="1" applyBorder="1" applyAlignment="1">
      <alignment vertical="center"/>
    </xf>
    <xf numFmtId="0" fontId="133" fillId="22" borderId="0" xfId="0" applyFont="1" applyFill="1" applyAlignment="1">
      <alignment vertical="center"/>
    </xf>
    <xf numFmtId="0" fontId="133" fillId="0" borderId="14" xfId="0" applyFont="1" applyBorder="1" applyAlignment="1">
      <alignment horizontal="right" vertical="center"/>
    </xf>
    <xf numFmtId="0" fontId="96" fillId="0" borderId="14" xfId="0" applyFont="1" applyBorder="1" applyAlignment="1">
      <alignment horizontal="center" vertical="center"/>
    </xf>
    <xf numFmtId="3" fontId="133" fillId="0" borderId="70" xfId="0" applyNumberFormat="1" applyFont="1" applyBorder="1" applyAlignment="1">
      <alignment vertical="center"/>
    </xf>
    <xf numFmtId="3" fontId="133" fillId="0" borderId="43" xfId="0" applyNumberFormat="1" applyFont="1" applyBorder="1" applyAlignment="1">
      <alignment vertical="center"/>
    </xf>
    <xf numFmtId="0" fontId="133" fillId="0" borderId="69" xfId="0" applyFont="1" applyBorder="1" applyAlignment="1">
      <alignment horizontal="right"/>
    </xf>
    <xf numFmtId="3" fontId="133" fillId="0" borderId="39" xfId="0" applyNumberFormat="1" applyFont="1" applyBorder="1"/>
    <xf numFmtId="0" fontId="96" fillId="8" borderId="89" xfId="0" applyFont="1" applyFill="1" applyBorder="1"/>
    <xf numFmtId="0" fontId="96" fillId="8" borderId="81" xfId="0" applyFont="1" applyFill="1" applyBorder="1" applyAlignment="1">
      <alignment horizontal="left"/>
    </xf>
    <xf numFmtId="0" fontId="133" fillId="0" borderId="37" xfId="0" applyFont="1" applyBorder="1"/>
    <xf numFmtId="0" fontId="96" fillId="0" borderId="37" xfId="0" applyFont="1" applyBorder="1" applyAlignment="1">
      <alignment horizontal="center"/>
    </xf>
    <xf numFmtId="3" fontId="133" fillId="0" borderId="49" xfId="0" applyNumberFormat="1" applyFont="1" applyBorder="1"/>
    <xf numFmtId="3" fontId="133" fillId="0" borderId="33" xfId="0" applyNumberFormat="1" applyFont="1" applyBorder="1"/>
    <xf numFmtId="0" fontId="96" fillId="4" borderId="83" xfId="0" applyFont="1" applyFill="1" applyBorder="1"/>
    <xf numFmtId="0" fontId="96" fillId="4" borderId="81" xfId="0" applyFont="1" applyFill="1" applyBorder="1"/>
    <xf numFmtId="0" fontId="96" fillId="4" borderId="81" xfId="0" applyFont="1" applyFill="1" applyBorder="1" applyAlignment="1">
      <alignment horizontal="center"/>
    </xf>
    <xf numFmtId="3" fontId="96" fillId="4" borderId="89" xfId="0" applyNumberFormat="1" applyFont="1" applyFill="1" applyBorder="1"/>
    <xf numFmtId="3" fontId="96" fillId="4" borderId="82" xfId="0" applyNumberFormat="1" applyFont="1" applyFill="1" applyBorder="1"/>
    <xf numFmtId="3" fontId="96" fillId="0" borderId="0" xfId="0" applyNumberFormat="1" applyFont="1" applyAlignment="1">
      <alignment horizontal="right"/>
    </xf>
    <xf numFmtId="0" fontId="139" fillId="0" borderId="0" xfId="0" applyFont="1"/>
    <xf numFmtId="0" fontId="139" fillId="0" borderId="80" xfId="0" applyFont="1" applyBorder="1"/>
    <xf numFmtId="0" fontId="139" fillId="0" borderId="80" xfId="0" applyFont="1" applyBorder="1" applyAlignment="1">
      <alignment horizontal="center"/>
    </xf>
    <xf numFmtId="3" fontId="139" fillId="0" borderId="80" xfId="0" applyNumberFormat="1" applyFont="1" applyBorder="1" applyAlignment="1">
      <alignment horizontal="right"/>
    </xf>
    <xf numFmtId="3" fontId="139" fillId="0" borderId="0" xfId="0" applyNumberFormat="1" applyFont="1"/>
    <xf numFmtId="0" fontId="139" fillId="22" borderId="0" xfId="0" applyFont="1" applyFill="1"/>
    <xf numFmtId="9" fontId="134" fillId="0" borderId="0" xfId="8" applyFont="1" applyAlignment="1">
      <alignment horizontal="right"/>
    </xf>
    <xf numFmtId="3" fontId="133" fillId="0" borderId="0" xfId="0" applyNumberFormat="1" applyFont="1" applyAlignment="1">
      <alignment horizontal="right"/>
    </xf>
    <xf numFmtId="0" fontId="139" fillId="0" borderId="47" xfId="0" applyFont="1" applyBorder="1"/>
    <xf numFmtId="0" fontId="139" fillId="0" borderId="47" xfId="0" applyFont="1" applyBorder="1" applyAlignment="1">
      <alignment horizontal="center"/>
    </xf>
    <xf numFmtId="3" fontId="139" fillId="0" borderId="47" xfId="0" applyNumberFormat="1" applyFont="1" applyBorder="1" applyAlignment="1">
      <alignment horizontal="right"/>
    </xf>
    <xf numFmtId="3" fontId="139" fillId="4" borderId="80" xfId="0" applyNumberFormat="1" applyFont="1" applyFill="1" applyBorder="1" applyAlignment="1">
      <alignment horizontal="right"/>
    </xf>
    <xf numFmtId="9" fontId="133" fillId="0" borderId="0" xfId="8" applyFont="1" applyAlignment="1">
      <alignment horizontal="right"/>
    </xf>
    <xf numFmtId="0" fontId="139" fillId="0" borderId="0" xfId="0" applyFont="1" applyAlignment="1">
      <alignment horizontal="center"/>
    </xf>
    <xf numFmtId="167" fontId="139" fillId="0" borderId="0" xfId="8" applyNumberFormat="1" applyFont="1"/>
    <xf numFmtId="0" fontId="97" fillId="0" borderId="0" xfId="0" applyFont="1"/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0" borderId="80" xfId="0" applyNumberFormat="1" applyFont="1" applyBorder="1"/>
    <xf numFmtId="3" fontId="97" fillId="0" borderId="0" xfId="0" applyNumberFormat="1" applyFont="1"/>
    <xf numFmtId="3" fontId="97" fillId="22" borderId="0" xfId="0" applyNumberFormat="1" applyFont="1" applyFill="1"/>
    <xf numFmtId="0" fontId="97" fillId="22" borderId="0" xfId="0" applyFont="1" applyFill="1"/>
    <xf numFmtId="0" fontId="133" fillId="0" borderId="0" xfId="0" applyFont="1" applyAlignment="1">
      <alignment horizontal="right"/>
    </xf>
    <xf numFmtId="10" fontId="97" fillId="0" borderId="80" xfId="8" applyNumberFormat="1" applyFont="1" applyBorder="1"/>
    <xf numFmtId="10" fontId="97" fillId="0" borderId="0" xfId="8" applyNumberFormat="1" applyFont="1" applyBorder="1"/>
    <xf numFmtId="164" fontId="93" fillId="0" borderId="0" xfId="1" applyFont="1"/>
    <xf numFmtId="164" fontId="97" fillId="0" borderId="0" xfId="1" applyFont="1"/>
    <xf numFmtId="164" fontId="96" fillId="4" borderId="0" xfId="1" applyFont="1" applyFill="1" applyAlignment="1"/>
    <xf numFmtId="3" fontId="135" fillId="0" borderId="0" xfId="0" applyNumberFormat="1" applyFont="1"/>
    <xf numFmtId="0" fontId="133" fillId="0" borderId="0" xfId="0" applyFont="1" applyAlignment="1">
      <alignment horizontal="right" wrapText="1"/>
    </xf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22" borderId="80" xfId="0" applyNumberFormat="1" applyFont="1" applyFill="1" applyBorder="1" applyAlignment="1">
      <alignment horizontal="right"/>
    </xf>
    <xf numFmtId="3" fontId="139" fillId="22" borderId="0" xfId="0" applyNumberFormat="1" applyFont="1" applyFill="1"/>
    <xf numFmtId="0" fontId="96" fillId="0" borderId="0" xfId="0" applyFont="1" applyAlignment="1">
      <alignment horizontal="right"/>
    </xf>
    <xf numFmtId="0" fontId="97" fillId="0" borderId="0" xfId="0" applyFont="1" applyAlignment="1">
      <alignment horizontal="right"/>
    </xf>
    <xf numFmtId="0" fontId="96" fillId="0" borderId="47" xfId="0" applyFont="1" applyBorder="1" applyAlignment="1">
      <alignment horizontal="right"/>
    </xf>
    <xf numFmtId="3" fontId="139" fillId="0" borderId="47" xfId="0" applyNumberFormat="1" applyFont="1" applyBorder="1"/>
    <xf numFmtId="3" fontId="96" fillId="0" borderId="47" xfId="0" applyNumberFormat="1" applyFont="1" applyBorder="1" applyAlignment="1">
      <alignment horizontal="right"/>
    </xf>
    <xf numFmtId="0" fontId="139" fillId="5" borderId="0" xfId="0" applyFont="1" applyFill="1" applyAlignment="1">
      <alignment horizontal="right"/>
    </xf>
    <xf numFmtId="3" fontId="139" fillId="5" borderId="0" xfId="0" applyNumberFormat="1" applyFont="1" applyFill="1"/>
    <xf numFmtId="0" fontId="96" fillId="22" borderId="0" xfId="0" applyFont="1" applyFill="1" applyAlignment="1">
      <alignment horizontal="center"/>
    </xf>
    <xf numFmtId="0" fontId="32" fillId="22" borderId="0" xfId="0" applyFont="1" applyFill="1" applyAlignment="1">
      <alignment vertical="center"/>
    </xf>
    <xf numFmtId="0" fontId="34" fillId="0" borderId="0" xfId="7" applyFont="1" applyAlignment="1">
      <alignment wrapText="1"/>
    </xf>
    <xf numFmtId="0" fontId="36" fillId="0" borderId="0" xfId="7" applyFont="1"/>
    <xf numFmtId="0" fontId="40" fillId="0" borderId="0" xfId="7" applyFont="1"/>
    <xf numFmtId="0" fontId="32" fillId="0" borderId="0" xfId="7" applyFont="1"/>
    <xf numFmtId="0" fontId="32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0" fontId="36" fillId="0" borderId="0" xfId="7" applyFont="1" applyAlignment="1">
      <alignment horizontal="center"/>
    </xf>
    <xf numFmtId="0" fontId="32" fillId="22" borderId="0" xfId="7" applyFont="1" applyFill="1"/>
    <xf numFmtId="0" fontId="31" fillId="0" borderId="0" xfId="7" applyFont="1"/>
    <xf numFmtId="0" fontId="34" fillId="0" borderId="0" xfId="7" applyFont="1"/>
    <xf numFmtId="3" fontId="32" fillId="0" borderId="0" xfId="7" applyNumberFormat="1" applyFont="1" applyAlignment="1">
      <alignment horizontal="center"/>
    </xf>
    <xf numFmtId="0" fontId="34" fillId="3" borderId="3" xfId="4" applyFont="1" applyFill="1" applyBorder="1" applyAlignment="1">
      <alignment horizontal="center" vertical="center"/>
    </xf>
    <xf numFmtId="2" fontId="34" fillId="3" borderId="3" xfId="4" applyNumberFormat="1" applyFont="1" applyFill="1" applyBorder="1" applyAlignment="1">
      <alignment horizontal="center" vertical="center" wrapText="1"/>
    </xf>
    <xf numFmtId="0" fontId="34" fillId="3" borderId="2" xfId="4" applyFont="1" applyFill="1" applyBorder="1" applyAlignment="1">
      <alignment horizontal="center" vertical="center"/>
    </xf>
    <xf numFmtId="3" fontId="34" fillId="3" borderId="3" xfId="4" applyNumberFormat="1" applyFont="1" applyFill="1" applyBorder="1" applyAlignment="1">
      <alignment horizontal="center" vertical="center" wrapText="1"/>
    </xf>
    <xf numFmtId="3" fontId="37" fillId="3" borderId="3" xfId="4" applyNumberFormat="1" applyFont="1" applyFill="1" applyBorder="1" applyAlignment="1">
      <alignment horizontal="center" vertical="center" wrapText="1"/>
    </xf>
    <xf numFmtId="3" fontId="43" fillId="3" borderId="3" xfId="4" applyNumberFormat="1" applyFont="1" applyFill="1" applyBorder="1" applyAlignment="1">
      <alignment horizontal="center" vertical="center" wrapText="1"/>
    </xf>
    <xf numFmtId="0" fontId="32" fillId="0" borderId="30" xfId="7" applyFont="1" applyBorder="1"/>
    <xf numFmtId="0" fontId="34" fillId="0" borderId="30" xfId="4" applyFont="1" applyBorder="1"/>
    <xf numFmtId="3" fontId="34" fillId="5" borderId="30" xfId="7" applyNumberFormat="1" applyFont="1" applyFill="1" applyBorder="1"/>
    <xf numFmtId="3" fontId="37" fillId="5" borderId="30" xfId="7" applyNumberFormat="1" applyFont="1" applyFill="1" applyBorder="1"/>
    <xf numFmtId="3" fontId="43" fillId="5" borderId="30" xfId="7" applyNumberFormat="1" applyFont="1" applyFill="1" applyBorder="1"/>
    <xf numFmtId="3" fontId="34" fillId="5" borderId="6" xfId="7" applyNumberFormat="1" applyFont="1" applyFill="1" applyBorder="1"/>
    <xf numFmtId="0" fontId="34" fillId="0" borderId="59" xfId="7" applyFont="1" applyBorder="1" applyAlignment="1">
      <alignment vertical="center" textRotation="180"/>
    </xf>
    <xf numFmtId="49" fontId="32" fillId="0" borderId="16" xfId="7" applyNumberFormat="1" applyFont="1" applyBorder="1" applyAlignment="1">
      <alignment horizontal="left"/>
    </xf>
    <xf numFmtId="0" fontId="32" fillId="0" borderId="10" xfId="7" applyFont="1" applyBorder="1"/>
    <xf numFmtId="0" fontId="32" fillId="0" borderId="16" xfId="7" applyFont="1" applyBorder="1" applyAlignment="1">
      <alignment horizontal="center"/>
    </xf>
    <xf numFmtId="0" fontId="32" fillId="0" borderId="15" xfId="7" applyFont="1" applyBorder="1" applyAlignment="1">
      <alignment horizontal="center"/>
    </xf>
    <xf numFmtId="3" fontId="32" fillId="0" borderId="16" xfId="7" applyNumberFormat="1" applyFont="1" applyBorder="1" applyAlignment="1">
      <alignment horizontal="right"/>
    </xf>
    <xf numFmtId="3" fontId="36" fillId="0" borderId="16" xfId="7" applyNumberFormat="1" applyFont="1" applyBorder="1" applyAlignment="1">
      <alignment horizontal="right"/>
    </xf>
    <xf numFmtId="3" fontId="40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center"/>
    </xf>
    <xf numFmtId="49" fontId="32" fillId="0" borderId="10" xfId="7" applyNumberFormat="1" applyFont="1" applyBorder="1" applyAlignment="1">
      <alignment horizontal="left"/>
    </xf>
    <xf numFmtId="0" fontId="32" fillId="0" borderId="10" xfId="7" applyFont="1" applyBorder="1" applyAlignment="1">
      <alignment horizontal="center"/>
    </xf>
    <xf numFmtId="0" fontId="32" fillId="0" borderId="17" xfId="7" applyFont="1" applyBorder="1" applyAlignment="1">
      <alignment horizontal="center"/>
    </xf>
    <xf numFmtId="3" fontId="32" fillId="0" borderId="10" xfId="7" applyNumberFormat="1" applyFont="1" applyBorder="1" applyAlignment="1">
      <alignment horizontal="right"/>
    </xf>
    <xf numFmtId="3" fontId="36" fillId="0" borderId="10" xfId="7" applyNumberFormat="1" applyFont="1" applyBorder="1" applyAlignment="1">
      <alignment horizontal="right"/>
    </xf>
    <xf numFmtId="3" fontId="40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center"/>
    </xf>
    <xf numFmtId="0" fontId="32" fillId="27" borderId="53" xfId="7" applyFont="1" applyFill="1" applyBorder="1"/>
    <xf numFmtId="0" fontId="32" fillId="27" borderId="53" xfId="7" applyFont="1" applyFill="1" applyBorder="1" applyAlignment="1">
      <alignment horizontal="center"/>
    </xf>
    <xf numFmtId="0" fontId="32" fillId="27" borderId="65" xfId="7" applyFont="1" applyFill="1" applyBorder="1" applyAlignment="1">
      <alignment horizontal="center"/>
    </xf>
    <xf numFmtId="3" fontId="34" fillId="27" borderId="53" xfId="7" applyNumberFormat="1" applyFont="1" applyFill="1" applyBorder="1" applyAlignment="1">
      <alignment horizontal="right"/>
    </xf>
    <xf numFmtId="3" fontId="36" fillId="27" borderId="53" xfId="7" applyNumberFormat="1" applyFont="1" applyFill="1" applyBorder="1" applyAlignment="1">
      <alignment horizontal="right"/>
    </xf>
    <xf numFmtId="3" fontId="32" fillId="27" borderId="53" xfId="7" applyNumberFormat="1" applyFont="1" applyFill="1" applyBorder="1" applyAlignment="1">
      <alignment horizontal="right"/>
    </xf>
    <xf numFmtId="3" fontId="40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4" fillId="0" borderId="63" xfId="7" applyFont="1" applyBorder="1" applyAlignment="1">
      <alignment horizontal="left" vertical="center"/>
    </xf>
    <xf numFmtId="0" fontId="34" fillId="0" borderId="59" xfId="7" applyFont="1" applyBorder="1" applyAlignment="1">
      <alignment horizontal="left" vertical="center"/>
    </xf>
    <xf numFmtId="0" fontId="34" fillId="0" borderId="53" xfId="7" applyFont="1" applyBorder="1" applyAlignment="1">
      <alignment horizontal="left" vertical="center"/>
    </xf>
    <xf numFmtId="0" fontId="32" fillId="0" borderId="34" xfId="7" applyFont="1" applyBorder="1"/>
    <xf numFmtId="0" fontId="32" fillId="0" borderId="34" xfId="7" applyFont="1" applyBorder="1" applyAlignment="1">
      <alignment horizontal="center"/>
    </xf>
    <xf numFmtId="0" fontId="32" fillId="0" borderId="32" xfId="7" applyFont="1" applyBorder="1" applyAlignment="1">
      <alignment horizontal="center"/>
    </xf>
    <xf numFmtId="3" fontId="32" fillId="0" borderId="34" xfId="7" applyNumberFormat="1" applyFont="1" applyBorder="1" applyAlignment="1">
      <alignment horizontal="right"/>
    </xf>
    <xf numFmtId="3" fontId="36" fillId="0" borderId="34" xfId="7" applyNumberFormat="1" applyFont="1" applyBorder="1" applyAlignment="1">
      <alignment horizontal="right"/>
    </xf>
    <xf numFmtId="49" fontId="32" fillId="0" borderId="10" xfId="7" applyNumberFormat="1" applyFont="1" applyBorder="1" applyAlignment="1">
      <alignment horizontal="left" vertical="center"/>
    </xf>
    <xf numFmtId="0" fontId="32" fillId="0" borderId="10" xfId="7" applyFont="1" applyBorder="1" applyAlignment="1">
      <alignment vertical="center" wrapText="1"/>
    </xf>
    <xf numFmtId="0" fontId="32" fillId="0" borderId="10" xfId="7" applyFont="1" applyBorder="1" applyAlignment="1">
      <alignment horizontal="center" vertical="center"/>
    </xf>
    <xf numFmtId="0" fontId="32" fillId="0" borderId="17" xfId="7" applyFont="1" applyBorder="1" applyAlignment="1">
      <alignment horizontal="center" vertical="center"/>
    </xf>
    <xf numFmtId="3" fontId="32" fillId="0" borderId="10" xfId="7" applyNumberFormat="1" applyFont="1" applyBorder="1" applyAlignment="1">
      <alignment horizontal="right" vertical="center"/>
    </xf>
    <xf numFmtId="3" fontId="36" fillId="0" borderId="10" xfId="7" applyNumberFormat="1" applyFont="1" applyBorder="1" applyAlignment="1">
      <alignment horizontal="right" vertical="center"/>
    </xf>
    <xf numFmtId="0" fontId="40" fillId="0" borderId="0" xfId="7" applyFont="1" applyAlignment="1">
      <alignment horizontal="center" vertical="center"/>
    </xf>
    <xf numFmtId="0" fontId="32" fillId="22" borderId="0" xfId="7" applyFont="1" applyFill="1" applyAlignment="1">
      <alignment vertical="center"/>
    </xf>
    <xf numFmtId="0" fontId="34" fillId="0" borderId="65" xfId="7" applyFont="1" applyBorder="1" applyAlignment="1">
      <alignment horizontal="left" vertical="center"/>
    </xf>
    <xf numFmtId="49" fontId="32" fillId="0" borderId="11" xfId="7" applyNumberFormat="1" applyFont="1" applyBorder="1" applyAlignment="1">
      <alignment horizontal="left" vertical="center"/>
    </xf>
    <xf numFmtId="0" fontId="32" fillId="0" borderId="11" xfId="7" applyFont="1" applyBorder="1" applyAlignment="1">
      <alignment vertical="center" wrapText="1"/>
    </xf>
    <xf numFmtId="0" fontId="32" fillId="0" borderId="11" xfId="7" applyFont="1" applyBorder="1" applyAlignment="1">
      <alignment horizontal="center" vertical="center"/>
    </xf>
    <xf numFmtId="0" fontId="32" fillId="0" borderId="58" xfId="7" applyFont="1" applyBorder="1" applyAlignment="1">
      <alignment horizontal="center" vertical="center"/>
    </xf>
    <xf numFmtId="3" fontId="32" fillId="0" borderId="11" xfId="7" applyNumberFormat="1" applyFont="1" applyBorder="1" applyAlignment="1">
      <alignment horizontal="right" vertical="center"/>
    </xf>
    <xf numFmtId="3" fontId="36" fillId="0" borderId="11" xfId="7" applyNumberFormat="1" applyFont="1" applyBorder="1" applyAlignment="1">
      <alignment horizontal="right" vertical="center"/>
    </xf>
    <xf numFmtId="49" fontId="32" fillId="0" borderId="53" xfId="7" applyNumberFormat="1" applyFont="1" applyBorder="1" applyAlignment="1">
      <alignment horizontal="left"/>
    </xf>
    <xf numFmtId="0" fontId="32" fillId="0" borderId="53" xfId="7" applyFont="1" applyBorder="1"/>
    <xf numFmtId="0" fontId="32" fillId="0" borderId="53" xfId="7" applyFont="1" applyBorder="1" applyAlignment="1">
      <alignment horizontal="center"/>
    </xf>
    <xf numFmtId="0" fontId="32" fillId="0" borderId="65" xfId="7" applyFont="1" applyBorder="1" applyAlignment="1">
      <alignment horizontal="center"/>
    </xf>
    <xf numFmtId="3" fontId="32" fillId="0" borderId="53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49" fontId="32" fillId="0" borderId="11" xfId="7" applyNumberFormat="1" applyFont="1" applyBorder="1" applyAlignment="1">
      <alignment horizontal="left"/>
    </xf>
    <xf numFmtId="0" fontId="32" fillId="0" borderId="11" xfId="7" applyFont="1" applyBorder="1"/>
    <xf numFmtId="0" fontId="32" fillId="0" borderId="11" xfId="7" applyFont="1" applyBorder="1" applyAlignment="1">
      <alignment horizontal="center"/>
    </xf>
    <xf numFmtId="0" fontId="32" fillId="0" borderId="58" xfId="7" applyFont="1" applyBorder="1" applyAlignment="1">
      <alignment horizontal="center"/>
    </xf>
    <xf numFmtId="3" fontId="32" fillId="0" borderId="11" xfId="7" applyNumberFormat="1" applyFont="1" applyBorder="1" applyAlignment="1">
      <alignment horizontal="right"/>
    </xf>
    <xf numFmtId="0" fontId="34" fillId="0" borderId="59" xfId="7" applyFont="1" applyBorder="1" applyAlignment="1">
      <alignment horizontal="left" vertical="center" textRotation="180"/>
    </xf>
    <xf numFmtId="0" fontId="32" fillId="0" borderId="10" xfId="0" applyFont="1" applyBorder="1" applyAlignment="1">
      <alignment wrapText="1"/>
    </xf>
    <xf numFmtId="0" fontId="32" fillId="0" borderId="10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3" fontId="32" fillId="4" borderId="10" xfId="0" applyNumberFormat="1" applyFont="1" applyFill="1" applyBorder="1" applyAlignment="1">
      <alignment horizontal="right" wrapText="1"/>
    </xf>
    <xf numFmtId="3" fontId="36" fillId="0" borderId="10" xfId="0" applyNumberFormat="1" applyFont="1" applyBorder="1" applyAlignment="1">
      <alignment horizontal="right" wrapText="1"/>
    </xf>
    <xf numFmtId="3" fontId="32" fillId="0" borderId="10" xfId="0" applyNumberFormat="1" applyFont="1" applyBorder="1" applyAlignment="1">
      <alignment horizontal="right" wrapText="1"/>
    </xf>
    <xf numFmtId="0" fontId="34" fillId="22" borderId="0" xfId="7" applyFont="1" applyFill="1"/>
    <xf numFmtId="0" fontId="32" fillId="0" borderId="11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58" xfId="0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right" wrapText="1"/>
    </xf>
    <xf numFmtId="3" fontId="36" fillId="0" borderId="11" xfId="0" applyNumberFormat="1" applyFont="1" applyBorder="1" applyAlignment="1">
      <alignment horizontal="right" wrapText="1"/>
    </xf>
    <xf numFmtId="0" fontId="32" fillId="0" borderId="11" xfId="0" applyFont="1" applyBorder="1" applyAlignment="1">
      <alignment horizontal="left" wrapText="1"/>
    </xf>
    <xf numFmtId="0" fontId="32" fillId="0" borderId="10" xfId="0" applyFont="1" applyBorder="1" applyAlignment="1">
      <alignment horizontal="left" wrapText="1"/>
    </xf>
    <xf numFmtId="3" fontId="32" fillId="0" borderId="12" xfId="7" applyNumberFormat="1" applyFont="1" applyBorder="1" applyAlignment="1">
      <alignment horizontal="right"/>
    </xf>
    <xf numFmtId="0" fontId="32" fillId="0" borderId="53" xfId="0" applyFont="1" applyBorder="1" applyAlignment="1">
      <alignment horizontal="left" wrapText="1"/>
    </xf>
    <xf numFmtId="0" fontId="32" fillId="0" borderId="53" xfId="0" applyFont="1" applyBorder="1" applyAlignment="1">
      <alignment horizontal="center" wrapText="1"/>
    </xf>
    <xf numFmtId="0" fontId="32" fillId="0" borderId="65" xfId="0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right" wrapText="1"/>
    </xf>
    <xf numFmtId="3" fontId="36" fillId="0" borderId="53" xfId="0" applyNumberFormat="1" applyFont="1" applyBorder="1" applyAlignment="1">
      <alignment horizontal="right" wrapText="1"/>
    </xf>
    <xf numFmtId="0" fontId="32" fillId="0" borderId="53" xfId="0" applyFont="1" applyBorder="1" applyAlignment="1">
      <alignment wrapText="1"/>
    </xf>
    <xf numFmtId="0" fontId="32" fillId="0" borderId="34" xfId="0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right" wrapText="1"/>
    </xf>
    <xf numFmtId="3" fontId="36" fillId="0" borderId="34" xfId="0" applyNumberFormat="1" applyFont="1" applyBorder="1" applyAlignment="1">
      <alignment horizontal="right" wrapText="1"/>
    </xf>
    <xf numFmtId="0" fontId="32" fillId="7" borderId="11" xfId="0" applyFont="1" applyFill="1" applyBorder="1" applyAlignment="1">
      <alignment wrapText="1"/>
    </xf>
    <xf numFmtId="0" fontId="32" fillId="7" borderId="11" xfId="0" applyFont="1" applyFill="1" applyBorder="1" applyAlignment="1">
      <alignment horizontal="center" wrapText="1"/>
    </xf>
    <xf numFmtId="0" fontId="32" fillId="7" borderId="58" xfId="0" applyFont="1" applyFill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right" wrapText="1"/>
    </xf>
    <xf numFmtId="3" fontId="36" fillId="7" borderId="11" xfId="0" applyNumberFormat="1" applyFont="1" applyFill="1" applyBorder="1" applyAlignment="1">
      <alignment horizontal="right" wrapText="1"/>
    </xf>
    <xf numFmtId="0" fontId="32" fillId="0" borderId="34" xfId="0" applyFont="1" applyBorder="1" applyAlignment="1">
      <alignment wrapText="1"/>
    </xf>
    <xf numFmtId="0" fontId="32" fillId="0" borderId="32" xfId="0" applyFont="1" applyBorder="1" applyAlignment="1">
      <alignment horizontal="center" wrapText="1"/>
    </xf>
    <xf numFmtId="0" fontId="34" fillId="0" borderId="59" xfId="7" applyFont="1" applyBorder="1" applyAlignment="1">
      <alignment horizontal="left"/>
    </xf>
    <xf numFmtId="14" fontId="32" fillId="0" borderId="53" xfId="0" applyNumberFormat="1" applyFont="1" applyBorder="1" applyAlignment="1">
      <alignment horizontal="center" wrapText="1"/>
    </xf>
    <xf numFmtId="14" fontId="32" fillId="0" borderId="65" xfId="0" applyNumberFormat="1" applyFont="1" applyBorder="1" applyAlignment="1">
      <alignment horizontal="center" wrapText="1"/>
    </xf>
    <xf numFmtId="3" fontId="32" fillId="0" borderId="12" xfId="0" applyNumberFormat="1" applyFont="1" applyBorder="1" applyAlignment="1">
      <alignment horizontal="right" wrapText="1"/>
    </xf>
    <xf numFmtId="3" fontId="36" fillId="0" borderId="12" xfId="0" applyNumberFormat="1" applyFont="1" applyBorder="1" applyAlignment="1">
      <alignment horizontal="right" wrapText="1"/>
    </xf>
    <xf numFmtId="3" fontId="34" fillId="27" borderId="3" xfId="7" applyNumberFormat="1" applyFont="1" applyFill="1" applyBorder="1" applyAlignment="1">
      <alignment horizontal="right"/>
    </xf>
    <xf numFmtId="3" fontId="36" fillId="27" borderId="3" xfId="7" applyNumberFormat="1" applyFont="1" applyFill="1" applyBorder="1" applyAlignment="1">
      <alignment horizontal="right"/>
    </xf>
    <xf numFmtId="3" fontId="32" fillId="27" borderId="3" xfId="7" applyNumberFormat="1" applyFont="1" applyFill="1" applyBorder="1" applyAlignment="1">
      <alignment horizontal="right"/>
    </xf>
    <xf numFmtId="0" fontId="32" fillId="0" borderId="17" xfId="0" applyFont="1" applyBorder="1" applyAlignment="1">
      <alignment wrapText="1"/>
    </xf>
    <xf numFmtId="0" fontId="32" fillId="0" borderId="16" xfId="0" applyFont="1" applyBorder="1" applyAlignment="1">
      <alignment horizontal="center" wrapText="1"/>
    </xf>
    <xf numFmtId="49" fontId="32" fillId="0" borderId="36" xfId="7" applyNumberFormat="1" applyFont="1" applyBorder="1" applyAlignment="1">
      <alignment horizontal="left"/>
    </xf>
    <xf numFmtId="0" fontId="32" fillId="0" borderId="36" xfId="0" applyFont="1" applyBorder="1" applyAlignment="1">
      <alignment horizontal="center" wrapText="1"/>
    </xf>
    <xf numFmtId="14" fontId="32" fillId="0" borderId="36" xfId="0" applyNumberFormat="1" applyFont="1" applyBorder="1" applyAlignment="1">
      <alignment horizontal="center" wrapText="1"/>
    </xf>
    <xf numFmtId="14" fontId="32" fillId="0" borderId="59" xfId="0" applyNumberFormat="1" applyFont="1" applyBorder="1" applyAlignment="1">
      <alignment horizontal="center" wrapText="1"/>
    </xf>
    <xf numFmtId="0" fontId="32" fillId="0" borderId="59" xfId="0" applyFont="1" applyBorder="1" applyAlignment="1">
      <alignment horizontal="center" wrapText="1"/>
    </xf>
    <xf numFmtId="0" fontId="32" fillId="0" borderId="62" xfId="0" applyFont="1" applyBorder="1" applyAlignment="1">
      <alignment wrapText="1"/>
    </xf>
    <xf numFmtId="14" fontId="32" fillId="0" borderId="11" xfId="0" applyNumberFormat="1" applyFont="1" applyBorder="1" applyAlignment="1">
      <alignment horizontal="center" wrapText="1"/>
    </xf>
    <xf numFmtId="14" fontId="32" fillId="0" borderId="62" xfId="0" applyNumberFormat="1" applyFont="1" applyBorder="1" applyAlignment="1">
      <alignment horizontal="center" wrapText="1"/>
    </xf>
    <xf numFmtId="0" fontId="34" fillId="0" borderId="36" xfId="7" applyFont="1" applyBorder="1" applyAlignment="1">
      <alignment horizontal="left" vertical="center"/>
    </xf>
    <xf numFmtId="0" fontId="32" fillId="0" borderId="58" xfId="0" applyFont="1" applyBorder="1" applyAlignment="1">
      <alignment wrapText="1"/>
    </xf>
    <xf numFmtId="14" fontId="32" fillId="0" borderId="10" xfId="0" applyNumberFormat="1" applyFont="1" applyBorder="1" applyAlignment="1">
      <alignment horizontal="center" wrapText="1"/>
    </xf>
    <xf numFmtId="14" fontId="32" fillId="0" borderId="47" xfId="0" applyNumberFormat="1" applyFont="1" applyBorder="1" applyAlignment="1">
      <alignment horizontal="center" wrapText="1"/>
    </xf>
    <xf numFmtId="49" fontId="32" fillId="7" borderId="11" xfId="7" applyNumberFormat="1" applyFont="1" applyFill="1" applyBorder="1" applyAlignment="1">
      <alignment horizontal="left"/>
    </xf>
    <xf numFmtId="0" fontId="32" fillId="7" borderId="17" xfId="0" applyFont="1" applyFill="1" applyBorder="1" applyAlignment="1">
      <alignment wrapText="1"/>
    </xf>
    <xf numFmtId="0" fontId="32" fillId="7" borderId="10" xfId="0" applyFont="1" applyFill="1" applyBorder="1" applyAlignment="1">
      <alignment horizontal="center" wrapText="1"/>
    </xf>
    <xf numFmtId="14" fontId="32" fillId="7" borderId="10" xfId="0" applyNumberFormat="1" applyFont="1" applyFill="1" applyBorder="1" applyAlignment="1">
      <alignment horizontal="center" wrapText="1"/>
    </xf>
    <xf numFmtId="14" fontId="32" fillId="7" borderId="47" xfId="0" applyNumberFormat="1" applyFont="1" applyFill="1" applyBorder="1" applyAlignment="1">
      <alignment horizontal="center" wrapText="1"/>
    </xf>
    <xf numFmtId="0" fontId="32" fillId="0" borderId="45" xfId="0" applyFont="1" applyBorder="1" applyAlignment="1">
      <alignment wrapText="1"/>
    </xf>
    <xf numFmtId="0" fontId="34" fillId="0" borderId="65" xfId="7" applyFont="1" applyBorder="1" applyAlignment="1">
      <alignment horizontal="left"/>
    </xf>
    <xf numFmtId="0" fontId="32" fillId="7" borderId="10" xfId="0" applyFont="1" applyFill="1" applyBorder="1" applyAlignment="1">
      <alignment horizontal="left" wrapText="1"/>
    </xf>
    <xf numFmtId="0" fontId="32" fillId="7" borderId="10" xfId="0" applyFont="1" applyFill="1" applyBorder="1" applyAlignment="1">
      <alignment wrapText="1"/>
    </xf>
    <xf numFmtId="0" fontId="32" fillId="7" borderId="17" xfId="0" applyFont="1" applyFill="1" applyBorder="1" applyAlignment="1">
      <alignment horizontal="center" wrapText="1"/>
    </xf>
    <xf numFmtId="3" fontId="32" fillId="7" borderId="10" xfId="7" applyNumberFormat="1" applyFont="1" applyFill="1" applyBorder="1" applyAlignment="1">
      <alignment horizontal="right"/>
    </xf>
    <xf numFmtId="3" fontId="36" fillId="7" borderId="10" xfId="7" applyNumberFormat="1" applyFont="1" applyFill="1" applyBorder="1" applyAlignment="1">
      <alignment horizontal="right"/>
    </xf>
    <xf numFmtId="14" fontId="32" fillId="0" borderId="58" xfId="0" applyNumberFormat="1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right"/>
    </xf>
    <xf numFmtId="14" fontId="32" fillId="0" borderId="17" xfId="0" applyNumberFormat="1" applyFont="1" applyBorder="1" applyAlignment="1">
      <alignment horizontal="center" wrapText="1"/>
    </xf>
    <xf numFmtId="3" fontId="37" fillId="0" borderId="10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right"/>
    </xf>
    <xf numFmtId="49" fontId="32" fillId="0" borderId="34" xfId="7" applyNumberFormat="1" applyFont="1" applyBorder="1" applyAlignment="1">
      <alignment horizontal="left"/>
    </xf>
    <xf numFmtId="3" fontId="36" fillId="0" borderId="11" xfId="7" applyNumberFormat="1" applyFont="1" applyBorder="1" applyAlignment="1">
      <alignment horizontal="right"/>
    </xf>
    <xf numFmtId="0" fontId="32" fillId="0" borderId="36" xfId="0" applyFont="1" applyBorder="1" applyAlignment="1">
      <alignment wrapText="1"/>
    </xf>
    <xf numFmtId="3" fontId="32" fillId="0" borderId="36" xfId="7" applyNumberFormat="1" applyFont="1" applyBorder="1" applyAlignment="1">
      <alignment horizontal="right"/>
    </xf>
    <xf numFmtId="3" fontId="36" fillId="0" borderId="36" xfId="7" applyNumberFormat="1" applyFont="1" applyBorder="1" applyAlignment="1">
      <alignment horizontal="right"/>
    </xf>
    <xf numFmtId="0" fontId="32" fillId="5" borderId="71" xfId="0" applyFont="1" applyFill="1" applyBorder="1" applyAlignment="1">
      <alignment horizontal="left" wrapText="1"/>
    </xf>
    <xf numFmtId="0" fontId="32" fillId="0" borderId="16" xfId="0" applyFont="1" applyBorder="1" applyAlignment="1">
      <alignment wrapText="1"/>
    </xf>
    <xf numFmtId="0" fontId="32" fillId="0" borderId="60" xfId="0" applyFont="1" applyBorder="1" applyAlignment="1">
      <alignment wrapText="1"/>
    </xf>
    <xf numFmtId="0" fontId="32" fillId="5" borderId="70" xfId="0" applyFont="1" applyFill="1" applyBorder="1" applyAlignment="1">
      <alignment horizontal="left" wrapText="1"/>
    </xf>
    <xf numFmtId="0" fontId="32" fillId="0" borderId="7" xfId="0" applyFont="1" applyBorder="1" applyAlignment="1">
      <alignment wrapText="1"/>
    </xf>
    <xf numFmtId="49" fontId="32" fillId="7" borderId="58" xfId="7" applyNumberFormat="1" applyFont="1" applyFill="1" applyBorder="1" applyAlignment="1">
      <alignment horizontal="left"/>
    </xf>
    <xf numFmtId="0" fontId="32" fillId="7" borderId="12" xfId="0" applyFont="1" applyFill="1" applyBorder="1" applyAlignment="1">
      <alignment wrapText="1"/>
    </xf>
    <xf numFmtId="0" fontId="32" fillId="7" borderId="12" xfId="0" applyFont="1" applyFill="1" applyBorder="1" applyAlignment="1">
      <alignment horizontal="center" wrapText="1"/>
    </xf>
    <xf numFmtId="0" fontId="32" fillId="7" borderId="73" xfId="0" applyFont="1" applyFill="1" applyBorder="1" applyAlignment="1">
      <alignment horizontal="center" wrapText="1"/>
    </xf>
    <xf numFmtId="3" fontId="32" fillId="7" borderId="12" xfId="7" applyNumberFormat="1" applyFont="1" applyFill="1" applyBorder="1" applyAlignment="1">
      <alignment horizontal="right"/>
    </xf>
    <xf numFmtId="3" fontId="36" fillId="7" borderId="12" xfId="7" applyNumberFormat="1" applyFont="1" applyFill="1" applyBorder="1" applyAlignment="1">
      <alignment horizontal="right"/>
    </xf>
    <xf numFmtId="3" fontId="40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center"/>
    </xf>
    <xf numFmtId="0" fontId="32" fillId="0" borderId="8" xfId="0" applyFont="1" applyBorder="1" applyAlignment="1">
      <alignment wrapText="1"/>
    </xf>
    <xf numFmtId="0" fontId="32" fillId="0" borderId="43" xfId="0" applyFont="1" applyBorder="1" applyAlignment="1">
      <alignment wrapText="1"/>
    </xf>
    <xf numFmtId="49" fontId="32" fillId="5" borderId="65" xfId="7" applyNumberFormat="1" applyFont="1" applyFill="1" applyBorder="1" applyAlignment="1">
      <alignment horizontal="left"/>
    </xf>
    <xf numFmtId="0" fontId="32" fillId="5" borderId="53" xfId="0" applyFont="1" applyFill="1" applyBorder="1" applyAlignment="1">
      <alignment wrapText="1"/>
    </xf>
    <xf numFmtId="0" fontId="32" fillId="5" borderId="53" xfId="0" applyFont="1" applyFill="1" applyBorder="1" applyAlignment="1">
      <alignment horizontal="center" wrapText="1"/>
    </xf>
    <xf numFmtId="0" fontId="32" fillId="5" borderId="65" xfId="0" applyFont="1" applyFill="1" applyBorder="1" applyAlignment="1">
      <alignment horizontal="center" wrapText="1"/>
    </xf>
    <xf numFmtId="3" fontId="32" fillId="5" borderId="53" xfId="7" applyNumberFormat="1" applyFont="1" applyFill="1" applyBorder="1" applyAlignment="1">
      <alignment horizontal="right"/>
    </xf>
    <xf numFmtId="3" fontId="36" fillId="5" borderId="53" xfId="7" applyNumberFormat="1" applyFont="1" applyFill="1" applyBorder="1" applyAlignment="1">
      <alignment horizontal="right"/>
    </xf>
    <xf numFmtId="0" fontId="95" fillId="5" borderId="11" xfId="0" applyFont="1" applyFill="1" applyBorder="1"/>
    <xf numFmtId="0" fontId="95" fillId="5" borderId="11" xfId="0" applyFont="1" applyFill="1" applyBorder="1" applyAlignment="1">
      <alignment horizontal="center"/>
    </xf>
    <xf numFmtId="0" fontId="95" fillId="5" borderId="58" xfId="0" applyFont="1" applyFill="1" applyBorder="1" applyAlignment="1">
      <alignment horizontal="center"/>
    </xf>
    <xf numFmtId="14" fontId="95" fillId="5" borderId="11" xfId="0" applyNumberFormat="1" applyFont="1" applyFill="1" applyBorder="1" applyAlignment="1">
      <alignment horizontal="center"/>
    </xf>
    <xf numFmtId="14" fontId="95" fillId="5" borderId="58" xfId="0" applyNumberFormat="1" applyFont="1" applyFill="1" applyBorder="1" applyAlignment="1">
      <alignment horizontal="center"/>
    </xf>
    <xf numFmtId="0" fontId="95" fillId="5" borderId="11" xfId="0" applyFont="1" applyFill="1" applyBorder="1" applyAlignment="1">
      <alignment wrapText="1"/>
    </xf>
    <xf numFmtId="3" fontId="32" fillId="4" borderId="11" xfId="7" applyNumberFormat="1" applyFont="1" applyFill="1" applyBorder="1" applyAlignment="1">
      <alignment horizontal="right"/>
    </xf>
    <xf numFmtId="0" fontId="95" fillId="5" borderId="12" xfId="0" applyFont="1" applyFill="1" applyBorder="1"/>
    <xf numFmtId="0" fontId="95" fillId="5" borderId="12" xfId="0" applyFont="1" applyFill="1" applyBorder="1" applyAlignment="1">
      <alignment horizontal="center"/>
    </xf>
    <xf numFmtId="0" fontId="95" fillId="5" borderId="73" xfId="0" applyFont="1" applyFill="1" applyBorder="1" applyAlignment="1">
      <alignment horizontal="center"/>
    </xf>
    <xf numFmtId="3" fontId="36" fillId="0" borderId="12" xfId="7" applyNumberFormat="1" applyFont="1" applyBorder="1" applyAlignment="1">
      <alignment horizontal="right"/>
    </xf>
    <xf numFmtId="0" fontId="95" fillId="5" borderId="34" xfId="0" applyFont="1" applyFill="1" applyBorder="1"/>
    <xf numFmtId="0" fontId="95" fillId="5" borderId="34" xfId="0" applyFont="1" applyFill="1" applyBorder="1" applyAlignment="1">
      <alignment horizontal="center"/>
    </xf>
    <xf numFmtId="0" fontId="95" fillId="5" borderId="32" xfId="0" applyFont="1" applyFill="1" applyBorder="1" applyAlignment="1">
      <alignment horizontal="center"/>
    </xf>
    <xf numFmtId="0" fontId="32" fillId="0" borderId="15" xfId="0" applyFont="1" applyBorder="1" applyAlignment="1">
      <alignment horizontal="center" wrapText="1"/>
    </xf>
    <xf numFmtId="3" fontId="40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center"/>
    </xf>
    <xf numFmtId="0" fontId="32" fillId="0" borderId="12" xfId="0" applyFont="1" applyBorder="1" applyAlignment="1">
      <alignment wrapText="1"/>
    </xf>
    <xf numFmtId="0" fontId="32" fillId="0" borderId="12" xfId="0" applyFont="1" applyBorder="1" applyAlignment="1">
      <alignment horizontal="center" wrapText="1"/>
    </xf>
    <xf numFmtId="0" fontId="32" fillId="0" borderId="73" xfId="0" applyFont="1" applyBorder="1" applyAlignment="1">
      <alignment horizontal="center" wrapText="1"/>
    </xf>
    <xf numFmtId="3" fontId="40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center"/>
    </xf>
    <xf numFmtId="3" fontId="40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center"/>
    </xf>
    <xf numFmtId="3" fontId="40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right" wrapText="1"/>
    </xf>
    <xf numFmtId="0" fontId="32" fillId="0" borderId="59" xfId="7" applyFont="1" applyBorder="1" applyAlignment="1">
      <alignment horizontal="left" vertical="center" textRotation="180"/>
    </xf>
    <xf numFmtId="3" fontId="32" fillId="0" borderId="11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center"/>
    </xf>
    <xf numFmtId="0" fontId="34" fillId="4" borderId="1" xfId="7" applyFont="1" applyFill="1" applyBorder="1"/>
    <xf numFmtId="0" fontId="34" fillId="4" borderId="30" xfId="7" applyFont="1" applyFill="1" applyBorder="1"/>
    <xf numFmtId="0" fontId="34" fillId="4" borderId="3" xfId="7" applyFont="1" applyFill="1" applyBorder="1"/>
    <xf numFmtId="0" fontId="34" fillId="4" borderId="3" xfId="7" applyFont="1" applyFill="1" applyBorder="1" applyAlignment="1">
      <alignment horizontal="center"/>
    </xf>
    <xf numFmtId="0" fontId="34" fillId="4" borderId="2" xfId="7" applyFont="1" applyFill="1" applyBorder="1" applyAlignment="1">
      <alignment horizontal="center"/>
    </xf>
    <xf numFmtId="3" fontId="34" fillId="4" borderId="6" xfId="7" applyNumberFormat="1" applyFont="1" applyFill="1" applyBorder="1" applyAlignment="1">
      <alignment horizontal="right"/>
    </xf>
    <xf numFmtId="3" fontId="37" fillId="4" borderId="6" xfId="7" applyNumberFormat="1" applyFont="1" applyFill="1" applyBorder="1" applyAlignment="1">
      <alignment horizontal="right"/>
    </xf>
    <xf numFmtId="3" fontId="43" fillId="4" borderId="6" xfId="7" applyNumberFormat="1" applyFont="1" applyFill="1" applyBorder="1" applyAlignment="1">
      <alignment horizontal="right"/>
    </xf>
    <xf numFmtId="3" fontId="34" fillId="4" borderId="3" xfId="7" applyNumberFormat="1" applyFont="1" applyFill="1" applyBorder="1" applyAlignment="1">
      <alignment horizontal="center"/>
    </xf>
    <xf numFmtId="3" fontId="32" fillId="4" borderId="3" xfId="7" applyNumberFormat="1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3" fontId="32" fillId="0" borderId="0" xfId="7" applyNumberFormat="1" applyFont="1" applyAlignment="1">
      <alignment horizontal="right"/>
    </xf>
    <xf numFmtId="3" fontId="37" fillId="0" borderId="0" xfId="7" applyNumberFormat="1" applyFont="1"/>
    <xf numFmtId="3" fontId="34" fillId="0" borderId="0" xfId="7" applyNumberFormat="1" applyFont="1"/>
    <xf numFmtId="3" fontId="34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6" fillId="22" borderId="0" xfId="7" applyFont="1" applyFill="1"/>
    <xf numFmtId="0" fontId="32" fillId="0" borderId="0" xfId="3" applyFont="1"/>
    <xf numFmtId="3" fontId="36" fillId="0" borderId="0" xfId="7" applyNumberFormat="1" applyFont="1"/>
    <xf numFmtId="0" fontId="32" fillId="22" borderId="0" xfId="7" applyFont="1" applyFill="1" applyAlignment="1">
      <alignment horizontal="center"/>
    </xf>
    <xf numFmtId="3" fontId="32" fillId="22" borderId="0" xfId="7" applyNumberFormat="1" applyFont="1" applyFill="1" applyAlignment="1">
      <alignment horizontal="center"/>
    </xf>
    <xf numFmtId="0" fontId="40" fillId="22" borderId="0" xfId="7" applyFont="1" applyFill="1"/>
    <xf numFmtId="0" fontId="40" fillId="22" borderId="0" xfId="7" applyFont="1" applyFill="1" applyAlignment="1">
      <alignment horizontal="center"/>
    </xf>
    <xf numFmtId="0" fontId="36" fillId="22" borderId="0" xfId="7" applyFont="1" applyFill="1" applyAlignment="1">
      <alignment horizontal="center"/>
    </xf>
    <xf numFmtId="0" fontId="42" fillId="0" borderId="0" xfId="5" applyFont="1"/>
    <xf numFmtId="0" fontId="32" fillId="0" borderId="0" xfId="5" applyFont="1"/>
    <xf numFmtId="0" fontId="36" fillId="0" borderId="0" xfId="5" applyFont="1"/>
    <xf numFmtId="0" fontId="40" fillId="0" borderId="0" xfId="5" applyFont="1" applyAlignment="1">
      <alignment horizontal="center"/>
    </xf>
    <xf numFmtId="0" fontId="36" fillId="0" borderId="0" xfId="5" applyFont="1" applyAlignment="1">
      <alignment horizontal="center"/>
    </xf>
    <xf numFmtId="0" fontId="32" fillId="22" borderId="0" xfId="5" applyFont="1" applyFill="1"/>
    <xf numFmtId="0" fontId="32" fillId="0" borderId="0" xfId="6" applyFont="1"/>
    <xf numFmtId="0" fontId="36" fillId="0" borderId="0" xfId="6" applyFont="1"/>
    <xf numFmtId="0" fontId="40" fillId="0" borderId="0" xfId="6" applyFont="1" applyAlignment="1">
      <alignment horizontal="center"/>
    </xf>
    <xf numFmtId="0" fontId="36" fillId="0" borderId="0" xfId="6" applyFont="1" applyAlignment="1">
      <alignment horizontal="center"/>
    </xf>
    <xf numFmtId="0" fontId="32" fillId="22" borderId="0" xfId="6" applyFont="1" applyFill="1"/>
    <xf numFmtId="0" fontId="40" fillId="0" borderId="0" xfId="0" applyFont="1" applyAlignment="1">
      <alignment horizontal="center"/>
    </xf>
    <xf numFmtId="49" fontId="34" fillId="2" borderId="2" xfId="6" applyNumberFormat="1" applyFont="1" applyFill="1" applyBorder="1" applyAlignment="1">
      <alignment horizontal="center" vertical="center" wrapText="1"/>
    </xf>
    <xf numFmtId="49" fontId="34" fillId="2" borderId="5" xfId="6" applyNumberFormat="1" applyFont="1" applyFill="1" applyBorder="1" applyAlignment="1">
      <alignment horizontal="center" vertical="center" wrapText="1"/>
    </xf>
    <xf numFmtId="0" fontId="31" fillId="2" borderId="50" xfId="6" applyFont="1" applyFill="1" applyBorder="1" applyAlignment="1">
      <alignment horizontal="center" vertical="center"/>
    </xf>
    <xf numFmtId="3" fontId="34" fillId="2" borderId="3" xfId="5" applyNumberFormat="1" applyFont="1" applyFill="1" applyBorder="1" applyAlignment="1">
      <alignment horizontal="center" vertical="center" wrapText="1"/>
    </xf>
    <xf numFmtId="3" fontId="37" fillId="2" borderId="3" xfId="5" applyNumberFormat="1" applyFont="1" applyFill="1" applyBorder="1" applyAlignment="1">
      <alignment horizontal="center" vertical="center" wrapText="1"/>
    </xf>
    <xf numFmtId="0" fontId="32" fillId="0" borderId="18" xfId="6" applyFont="1" applyBorder="1" applyAlignment="1">
      <alignment horizontal="center" wrapText="1"/>
    </xf>
    <xf numFmtId="0" fontId="32" fillId="0" borderId="13" xfId="6" applyFont="1" applyBorder="1" applyAlignment="1">
      <alignment horizontal="center" wrapText="1"/>
    </xf>
    <xf numFmtId="0" fontId="32" fillId="0" borderId="71" xfId="6" applyFont="1" applyBorder="1" applyAlignment="1">
      <alignment wrapText="1"/>
    </xf>
    <xf numFmtId="3" fontId="32" fillId="0" borderId="16" xfId="6" applyNumberFormat="1" applyFont="1" applyBorder="1"/>
    <xf numFmtId="3" fontId="36" fillId="0" borderId="16" xfId="6" applyNumberFormat="1" applyFont="1" applyBorder="1"/>
    <xf numFmtId="0" fontId="32" fillId="0" borderId="23" xfId="6" applyFont="1" applyBorder="1" applyAlignment="1">
      <alignment horizontal="center" wrapText="1"/>
    </xf>
    <xf numFmtId="0" fontId="32" fillId="0" borderId="25" xfId="6" applyFont="1" applyBorder="1" applyAlignment="1">
      <alignment horizontal="center" wrapText="1"/>
    </xf>
    <xf numFmtId="0" fontId="32" fillId="0" borderId="26" xfId="6" applyFont="1" applyBorder="1" applyAlignment="1">
      <alignment wrapText="1"/>
    </xf>
    <xf numFmtId="3" fontId="32" fillId="0" borderId="10" xfId="6" applyNumberFormat="1" applyFont="1" applyBorder="1"/>
    <xf numFmtId="3" fontId="36" fillId="0" borderId="10" xfId="6" applyNumberFormat="1" applyFont="1" applyBorder="1"/>
    <xf numFmtId="0" fontId="34" fillId="8" borderId="49" xfId="6" applyFont="1" applyFill="1" applyBorder="1" applyAlignment="1">
      <alignment wrapText="1"/>
    </xf>
    <xf numFmtId="3" fontId="34" fillId="8" borderId="34" xfId="6" applyNumberFormat="1" applyFont="1" applyFill="1" applyBorder="1"/>
    <xf numFmtId="3" fontId="37" fillId="8" borderId="34" xfId="6" applyNumberFormat="1" applyFont="1" applyFill="1" applyBorder="1"/>
    <xf numFmtId="3" fontId="37" fillId="0" borderId="0" xfId="0" applyNumberFormat="1" applyFont="1" applyAlignment="1">
      <alignment horizontal="center"/>
    </xf>
    <xf numFmtId="3" fontId="37" fillId="0" borderId="10" xfId="6" applyNumberFormat="1" applyFont="1" applyBorder="1"/>
    <xf numFmtId="3" fontId="34" fillId="0" borderId="10" xfId="6" applyNumberFormat="1" applyFont="1" applyBorder="1"/>
    <xf numFmtId="0" fontId="32" fillId="0" borderId="0" xfId="6" applyFont="1" applyAlignment="1">
      <alignment horizontal="center" wrapText="1"/>
    </xf>
    <xf numFmtId="0" fontId="32" fillId="0" borderId="14" xfId="6" applyFont="1" applyBorder="1" applyAlignment="1">
      <alignment horizontal="center" wrapText="1"/>
    </xf>
    <xf numFmtId="0" fontId="32" fillId="0" borderId="69" xfId="6" applyFont="1" applyBorder="1" applyAlignment="1">
      <alignment wrapText="1"/>
    </xf>
    <xf numFmtId="3" fontId="32" fillId="0" borderId="36" xfId="6" applyNumberFormat="1" applyFont="1" applyBorder="1"/>
    <xf numFmtId="3" fontId="37" fillId="0" borderId="36" xfId="6" applyNumberFormat="1" applyFont="1" applyBorder="1"/>
    <xf numFmtId="0" fontId="32" fillId="0" borderId="19" xfId="6" applyFont="1" applyBorder="1" applyAlignment="1">
      <alignment horizontal="center" wrapText="1"/>
    </xf>
    <xf numFmtId="0" fontId="32" fillId="0" borderId="70" xfId="6" applyFont="1" applyBorder="1" applyAlignment="1">
      <alignment wrapText="1"/>
    </xf>
    <xf numFmtId="3" fontId="32" fillId="0" borderId="11" xfId="6" applyNumberFormat="1" applyFont="1" applyBorder="1"/>
    <xf numFmtId="3" fontId="36" fillId="0" borderId="11" xfId="6" applyNumberFormat="1" applyFont="1" applyBorder="1"/>
    <xf numFmtId="3" fontId="37" fillId="0" borderId="11" xfId="6" applyNumberFormat="1" applyFont="1" applyBorder="1"/>
    <xf numFmtId="3" fontId="34" fillId="0" borderId="11" xfId="6" applyNumberFormat="1" applyFont="1" applyBorder="1"/>
    <xf numFmtId="3" fontId="31" fillId="0" borderId="3" xfId="0" applyNumberFormat="1" applyFont="1" applyBorder="1"/>
    <xf numFmtId="3" fontId="47" fillId="0" borderId="3" xfId="0" applyNumberFormat="1" applyFont="1" applyBorder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0" fillId="22" borderId="0" xfId="0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0" fontId="31" fillId="2" borderId="5" xfId="6" applyFont="1" applyFill="1" applyBorder="1" applyAlignment="1">
      <alignment horizontal="center" vertical="center"/>
    </xf>
    <xf numFmtId="0" fontId="32" fillId="0" borderId="13" xfId="6" applyFont="1" applyBorder="1" applyAlignment="1">
      <alignment wrapText="1"/>
    </xf>
    <xf numFmtId="0" fontId="32" fillId="0" borderId="25" xfId="6" applyFont="1" applyBorder="1" applyAlignment="1">
      <alignment wrapText="1"/>
    </xf>
    <xf numFmtId="0" fontId="34" fillId="8" borderId="37" xfId="6" applyFont="1" applyFill="1" applyBorder="1" applyAlignment="1">
      <alignment wrapText="1"/>
    </xf>
    <xf numFmtId="0" fontId="32" fillId="0" borderId="38" xfId="6" applyFont="1" applyBorder="1" applyAlignment="1">
      <alignment wrapText="1"/>
    </xf>
    <xf numFmtId="0" fontId="32" fillId="0" borderId="41" xfId="6" applyFont="1" applyBorder="1" applyAlignment="1">
      <alignment horizontal="center" wrapText="1"/>
    </xf>
    <xf numFmtId="0" fontId="32" fillId="0" borderId="38" xfId="6" applyFont="1" applyBorder="1" applyAlignment="1">
      <alignment horizontal="center" wrapText="1"/>
    </xf>
    <xf numFmtId="0" fontId="32" fillId="0" borderId="29" xfId="6" applyFont="1" applyBorder="1" applyAlignment="1">
      <alignment horizontal="center" wrapText="1"/>
    </xf>
    <xf numFmtId="0" fontId="32" fillId="0" borderId="24" xfId="6" applyFont="1" applyBorder="1" applyAlignment="1">
      <alignment horizontal="center" wrapText="1"/>
    </xf>
    <xf numFmtId="3" fontId="34" fillId="0" borderId="12" xfId="6" applyNumberFormat="1" applyFont="1" applyBorder="1"/>
    <xf numFmtId="3" fontId="32" fillId="0" borderId="12" xfId="6" applyNumberFormat="1" applyFont="1" applyBorder="1"/>
    <xf numFmtId="0" fontId="32" fillId="0" borderId="72" xfId="6" applyFont="1" applyBorder="1" applyAlignment="1">
      <alignment wrapText="1"/>
    </xf>
    <xf numFmtId="3" fontId="34" fillId="0" borderId="36" xfId="6" applyNumberFormat="1" applyFont="1" applyBorder="1"/>
    <xf numFmtId="0" fontId="53" fillId="24" borderId="0" xfId="0" applyFont="1" applyFill="1"/>
    <xf numFmtId="0" fontId="34" fillId="2" borderId="5" xfId="6" applyFont="1" applyFill="1" applyBorder="1" applyAlignment="1">
      <alignment horizontal="center" vertical="center" wrapText="1"/>
    </xf>
    <xf numFmtId="3" fontId="34" fillId="2" borderId="4" xfId="5" applyNumberFormat="1" applyFont="1" applyFill="1" applyBorder="1" applyAlignment="1">
      <alignment horizontal="center" vertical="center" wrapText="1"/>
    </xf>
    <xf numFmtId="3" fontId="37" fillId="2" borderId="4" xfId="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2" fillId="22" borderId="0" xfId="0" applyFont="1" applyFill="1" applyAlignment="1">
      <alignment vertical="center" wrapText="1"/>
    </xf>
    <xf numFmtId="0" fontId="32" fillId="0" borderId="18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32" fillId="0" borderId="13" xfId="6" applyFont="1" applyBorder="1" applyAlignment="1">
      <alignment vertical="center" wrapText="1"/>
    </xf>
    <xf numFmtId="3" fontId="32" fillId="0" borderId="16" xfId="6" applyNumberFormat="1" applyFont="1" applyBorder="1" applyAlignment="1">
      <alignment vertical="center"/>
    </xf>
    <xf numFmtId="3" fontId="36" fillId="0" borderId="16" xfId="6" applyNumberFormat="1" applyFont="1" applyBorder="1" applyAlignment="1">
      <alignment vertical="center"/>
    </xf>
    <xf numFmtId="3" fontId="32" fillId="0" borderId="11" xfId="6" applyNumberFormat="1" applyFont="1" applyBorder="1" applyAlignment="1">
      <alignment vertical="center"/>
    </xf>
    <xf numFmtId="3" fontId="36" fillId="0" borderId="10" xfId="6" applyNumberFormat="1" applyFont="1" applyBorder="1" applyAlignment="1">
      <alignment vertical="center"/>
    </xf>
    <xf numFmtId="3" fontId="32" fillId="0" borderId="12" xfId="6" applyNumberFormat="1" applyFont="1" applyBorder="1" applyAlignment="1">
      <alignment vertical="center"/>
    </xf>
    <xf numFmtId="3" fontId="36" fillId="0" borderId="36" xfId="6" applyNumberFormat="1" applyFont="1" applyBorder="1" applyAlignment="1">
      <alignment vertical="center"/>
    </xf>
    <xf numFmtId="0" fontId="34" fillId="0" borderId="37" xfId="6" applyFont="1" applyBorder="1" applyAlignment="1">
      <alignment wrapText="1"/>
    </xf>
    <xf numFmtId="3" fontId="34" fillId="0" borderId="34" xfId="6" applyNumberFormat="1" applyFont="1" applyBorder="1"/>
    <xf numFmtId="3" fontId="37" fillId="0" borderId="34" xfId="6" applyNumberFormat="1" applyFont="1" applyBorder="1"/>
    <xf numFmtId="3" fontId="40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1" fillId="5" borderId="3" xfId="0" applyNumberFormat="1" applyFont="1" applyFill="1" applyBorder="1"/>
    <xf numFmtId="3" fontId="47" fillId="5" borderId="3" xfId="0" applyNumberFormat="1" applyFont="1" applyFill="1" applyBorder="1"/>
    <xf numFmtId="0" fontId="140" fillId="0" borderId="0" xfId="5" applyFont="1" applyAlignment="1">
      <alignment horizontal="center"/>
    </xf>
    <xf numFmtId="0" fontId="140" fillId="0" borderId="0" xfId="6" applyFont="1" applyAlignment="1">
      <alignment horizontal="center"/>
    </xf>
    <xf numFmtId="0" fontId="140" fillId="0" borderId="0" xfId="0" applyFont="1" applyAlignment="1">
      <alignment horizontal="center"/>
    </xf>
    <xf numFmtId="49" fontId="127" fillId="2" borderId="2" xfId="6" applyNumberFormat="1" applyFont="1" applyFill="1" applyBorder="1" applyAlignment="1">
      <alignment horizontal="center" vertical="center" wrapText="1"/>
    </xf>
    <xf numFmtId="49" fontId="127" fillId="2" borderId="5" xfId="6" applyNumberFormat="1" applyFont="1" applyFill="1" applyBorder="1" applyAlignment="1">
      <alignment horizontal="center" vertical="center" wrapText="1"/>
    </xf>
    <xf numFmtId="0" fontId="127" fillId="2" borderId="5" xfId="6" applyFont="1" applyFill="1" applyBorder="1" applyAlignment="1">
      <alignment horizontal="center" vertical="center"/>
    </xf>
    <xf numFmtId="3" fontId="127" fillId="2" borderId="3" xfId="5" applyNumberFormat="1" applyFont="1" applyFill="1" applyBorder="1" applyAlignment="1">
      <alignment horizontal="center" vertical="center" wrapText="1"/>
    </xf>
    <xf numFmtId="3" fontId="131" fillId="2" borderId="3" xfId="5" applyNumberFormat="1" applyFont="1" applyFill="1" applyBorder="1" applyAlignment="1">
      <alignment horizontal="center" vertical="center" wrapText="1"/>
    </xf>
    <xf numFmtId="0" fontId="128" fillId="0" borderId="18" xfId="6" applyFont="1" applyBorder="1" applyAlignment="1">
      <alignment horizontal="center" wrapText="1"/>
    </xf>
    <xf numFmtId="0" fontId="128" fillId="0" borderId="13" xfId="6" applyFont="1" applyBorder="1" applyAlignment="1">
      <alignment horizontal="center" wrapText="1"/>
    </xf>
    <xf numFmtId="0" fontId="128" fillId="0" borderId="13" xfId="6" applyFont="1" applyBorder="1" applyAlignment="1">
      <alignment wrapText="1"/>
    </xf>
    <xf numFmtId="3" fontId="128" fillId="0" borderId="16" xfId="6" applyNumberFormat="1" applyFont="1" applyBorder="1"/>
    <xf numFmtId="3" fontId="50" fillId="0" borderId="16" xfId="6" applyNumberFormat="1" applyFont="1" applyBorder="1"/>
    <xf numFmtId="0" fontId="128" fillId="0" borderId="23" xfId="6" applyFont="1" applyBorder="1" applyAlignment="1">
      <alignment horizontal="center" wrapText="1"/>
    </xf>
    <xf numFmtId="0" fontId="128" fillId="0" borderId="25" xfId="6" applyFont="1" applyBorder="1" applyAlignment="1">
      <alignment horizontal="center" wrapText="1"/>
    </xf>
    <xf numFmtId="0" fontId="128" fillId="0" borderId="25" xfId="6" applyFont="1" applyBorder="1" applyAlignment="1">
      <alignment wrapText="1"/>
    </xf>
    <xf numFmtId="3" fontId="128" fillId="0" borderId="10" xfId="6" applyNumberFormat="1" applyFont="1" applyBorder="1"/>
    <xf numFmtId="3" fontId="50" fillId="0" borderId="10" xfId="6" applyNumberFormat="1" applyFont="1" applyBorder="1"/>
    <xf numFmtId="0" fontId="127" fillId="8" borderId="37" xfId="6" applyFont="1" applyFill="1" applyBorder="1" applyAlignment="1">
      <alignment wrapText="1"/>
    </xf>
    <xf numFmtId="3" fontId="127" fillId="8" borderId="34" xfId="6" applyNumberFormat="1" applyFont="1" applyFill="1" applyBorder="1"/>
    <xf numFmtId="3" fontId="131" fillId="8" borderId="34" xfId="6" applyNumberFormat="1" applyFont="1" applyFill="1" applyBorder="1"/>
    <xf numFmtId="3" fontId="140" fillId="0" borderId="0" xfId="0" applyNumberFormat="1" applyFont="1" applyAlignment="1">
      <alignment horizontal="center"/>
    </xf>
    <xf numFmtId="3" fontId="127" fillId="0" borderId="10" xfId="6" applyNumberFormat="1" applyFont="1" applyBorder="1"/>
    <xf numFmtId="3" fontId="131" fillId="0" borderId="10" xfId="6" applyNumberFormat="1" applyFont="1" applyBorder="1"/>
    <xf numFmtId="3" fontId="128" fillId="0" borderId="11" xfId="6" applyNumberFormat="1" applyFont="1" applyBorder="1"/>
    <xf numFmtId="0" fontId="128" fillId="0" borderId="38" xfId="6" applyFont="1" applyBorder="1" applyAlignment="1">
      <alignment wrapText="1"/>
    </xf>
    <xf numFmtId="3" fontId="128" fillId="0" borderId="36" xfId="6" applyNumberFormat="1" applyFont="1" applyBorder="1"/>
    <xf numFmtId="3" fontId="50" fillId="0" borderId="36" xfId="6" applyNumberFormat="1" applyFont="1" applyBorder="1"/>
    <xf numFmtId="3" fontId="127" fillId="5" borderId="3" xfId="0" applyNumberFormat="1" applyFont="1" applyFill="1" applyBorder="1"/>
    <xf numFmtId="3" fontId="131" fillId="5" borderId="3" xfId="0" applyNumberFormat="1" applyFont="1" applyFill="1" applyBorder="1"/>
    <xf numFmtId="0" fontId="127" fillId="0" borderId="0" xfId="0" applyFont="1" applyAlignment="1">
      <alignment horizontal="left" wrapText="1"/>
    </xf>
    <xf numFmtId="0" fontId="140" fillId="22" borderId="0" xfId="0" applyFont="1" applyFill="1" applyAlignment="1">
      <alignment horizontal="center"/>
    </xf>
    <xf numFmtId="0" fontId="128" fillId="0" borderId="0" xfId="5" applyFont="1"/>
    <xf numFmtId="0" fontId="50" fillId="0" borderId="0" xfId="5" applyFont="1"/>
    <xf numFmtId="0" fontId="140" fillId="0" borderId="0" xfId="5" applyFont="1"/>
    <xf numFmtId="0" fontId="50" fillId="0" borderId="0" xfId="5" applyFont="1" applyAlignment="1">
      <alignment horizontal="center"/>
    </xf>
    <xf numFmtId="0" fontId="128" fillId="22" borderId="0" xfId="5" applyFont="1" applyFill="1"/>
    <xf numFmtId="0" fontId="128" fillId="0" borderId="0" xfId="6" applyFont="1"/>
    <xf numFmtId="0" fontId="50" fillId="0" borderId="0" xfId="6" applyFont="1"/>
    <xf numFmtId="0" fontId="140" fillId="0" borderId="0" xfId="6" applyFont="1"/>
    <xf numFmtId="0" fontId="50" fillId="0" borderId="0" xfId="6" applyFont="1" applyAlignment="1">
      <alignment horizontal="center"/>
    </xf>
    <xf numFmtId="0" fontId="128" fillId="22" borderId="0" xfId="6" applyFont="1" applyFill="1"/>
    <xf numFmtId="0" fontId="128" fillId="0" borderId="0" xfId="0" applyFont="1"/>
    <xf numFmtId="3" fontId="128" fillId="0" borderId="0" xfId="0" applyNumberFormat="1" applyFont="1" applyAlignment="1">
      <alignment horizontal="center"/>
    </xf>
    <xf numFmtId="3" fontId="50" fillId="0" borderId="0" xfId="0" applyNumberFormat="1" applyFont="1"/>
    <xf numFmtId="0" fontId="140" fillId="0" borderId="0" xfId="0" applyFont="1"/>
    <xf numFmtId="0" fontId="50" fillId="0" borderId="0" xfId="0" applyFont="1" applyAlignment="1">
      <alignment horizontal="center"/>
    </xf>
    <xf numFmtId="0" fontId="128" fillId="22" borderId="0" xfId="0" applyFont="1" applyFill="1"/>
    <xf numFmtId="0" fontId="127" fillId="34" borderId="37" xfId="6" applyFont="1" applyFill="1" applyBorder="1" applyAlignment="1">
      <alignment wrapText="1"/>
    </xf>
    <xf numFmtId="3" fontId="127" fillId="34" borderId="34" xfId="6" applyNumberFormat="1" applyFont="1" applyFill="1" applyBorder="1"/>
    <xf numFmtId="3" fontId="131" fillId="34" borderId="34" xfId="6" applyNumberFormat="1" applyFont="1" applyFill="1" applyBorder="1"/>
    <xf numFmtId="3" fontId="140" fillId="0" borderId="0" xfId="0" applyNumberFormat="1" applyFont="1"/>
    <xf numFmtId="3" fontId="131" fillId="0" borderId="0" xfId="0" applyNumberFormat="1" applyFont="1" applyAlignment="1">
      <alignment horizontal="center"/>
    </xf>
    <xf numFmtId="0" fontId="127" fillId="22" borderId="0" xfId="0" applyFont="1" applyFill="1"/>
    <xf numFmtId="0" fontId="128" fillId="0" borderId="23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left" vertical="center" wrapText="1"/>
    </xf>
    <xf numFmtId="0" fontId="128" fillId="0" borderId="43" xfId="6" applyFont="1" applyBorder="1" applyAlignment="1">
      <alignment wrapText="1"/>
    </xf>
    <xf numFmtId="3" fontId="131" fillId="0" borderId="11" xfId="6" applyNumberFormat="1" applyFont="1" applyBorder="1"/>
    <xf numFmtId="0" fontId="128" fillId="0" borderId="27" xfId="6" applyFont="1" applyBorder="1" applyAlignment="1">
      <alignment wrapText="1"/>
    </xf>
    <xf numFmtId="0" fontId="128" fillId="0" borderId="0" xfId="6" applyFont="1" applyAlignment="1">
      <alignment horizontal="center" wrapText="1"/>
    </xf>
    <xf numFmtId="0" fontId="128" fillId="0" borderId="14" xfId="6" applyFont="1" applyBorder="1" applyAlignment="1">
      <alignment horizontal="center" wrapText="1"/>
    </xf>
    <xf numFmtId="3" fontId="131" fillId="0" borderId="36" xfId="6" applyNumberFormat="1" applyFont="1" applyBorder="1"/>
    <xf numFmtId="0" fontId="128" fillId="0" borderId="19" xfId="6" applyFont="1" applyBorder="1" applyAlignment="1">
      <alignment horizontal="center" wrapText="1"/>
    </xf>
    <xf numFmtId="0" fontId="128" fillId="0" borderId="14" xfId="6" applyFont="1" applyBorder="1" applyAlignment="1">
      <alignment wrapText="1"/>
    </xf>
    <xf numFmtId="3" fontId="50" fillId="0" borderId="11" xfId="6" applyNumberFormat="1" applyFont="1" applyBorder="1"/>
    <xf numFmtId="0" fontId="128" fillId="0" borderId="74" xfId="6" applyFont="1" applyBorder="1" applyAlignment="1">
      <alignment horizontal="center" wrapText="1"/>
    </xf>
    <xf numFmtId="0" fontId="128" fillId="0" borderId="24" xfId="6" applyFont="1" applyBorder="1" applyAlignment="1">
      <alignment wrapText="1"/>
    </xf>
    <xf numFmtId="3" fontId="128" fillId="0" borderId="12" xfId="6" applyNumberFormat="1" applyFont="1" applyBorder="1"/>
    <xf numFmtId="3" fontId="131" fillId="0" borderId="12" xfId="6" applyNumberFormat="1" applyFont="1" applyBorder="1"/>
    <xf numFmtId="3" fontId="127" fillId="0" borderId="11" xfId="6" applyNumberFormat="1" applyFont="1" applyBorder="1"/>
    <xf numFmtId="0" fontId="128" fillId="0" borderId="29" xfId="6" applyFont="1" applyBorder="1" applyAlignment="1">
      <alignment horizontal="center" wrapText="1"/>
    </xf>
    <xf numFmtId="0" fontId="128" fillId="0" borderId="24" xfId="6" applyFont="1" applyBorder="1" applyAlignment="1">
      <alignment horizontal="center" wrapText="1"/>
    </xf>
    <xf numFmtId="0" fontId="128" fillId="0" borderId="38" xfId="6" applyFont="1" applyBorder="1" applyAlignment="1">
      <alignment horizontal="center" wrapText="1"/>
    </xf>
    <xf numFmtId="0" fontId="128" fillId="0" borderId="41" xfId="6" applyFont="1" applyBorder="1" applyAlignment="1">
      <alignment horizontal="center" wrapText="1"/>
    </xf>
    <xf numFmtId="3" fontId="50" fillId="0" borderId="12" xfId="6" applyNumberFormat="1" applyFont="1" applyBorder="1"/>
    <xf numFmtId="3" fontId="127" fillId="0" borderId="36" xfId="6" applyNumberFormat="1" applyFont="1" applyBorder="1"/>
    <xf numFmtId="0" fontId="127" fillId="0" borderId="13" xfId="6" applyFont="1" applyBorder="1" applyAlignment="1">
      <alignment wrapText="1"/>
    </xf>
    <xf numFmtId="3" fontId="131" fillId="0" borderId="16" xfId="6" applyNumberFormat="1" applyFont="1" applyBorder="1"/>
    <xf numFmtId="0" fontId="127" fillId="0" borderId="14" xfId="6" applyFont="1" applyBorder="1" applyAlignment="1">
      <alignment wrapText="1"/>
    </xf>
    <xf numFmtId="3" fontId="50" fillId="5" borderId="16" xfId="6" applyNumberFormat="1" applyFont="1" applyFill="1" applyBorder="1"/>
    <xf numFmtId="0" fontId="131" fillId="0" borderId="0" xfId="0" applyFont="1" applyAlignment="1">
      <alignment horizontal="center"/>
    </xf>
    <xf numFmtId="3" fontId="128" fillId="0" borderId="0" xfId="0" applyNumberFormat="1" applyFont="1"/>
    <xf numFmtId="0" fontId="50" fillId="0" borderId="0" xfId="0" applyFont="1"/>
    <xf numFmtId="0" fontId="50" fillId="22" borderId="0" xfId="0" applyFont="1" applyFill="1"/>
    <xf numFmtId="0" fontId="128" fillId="0" borderId="0" xfId="3" applyFont="1"/>
    <xf numFmtId="3" fontId="128" fillId="22" borderId="0" xfId="0" applyNumberFormat="1" applyFont="1" applyFill="1"/>
    <xf numFmtId="3" fontId="50" fillId="22" borderId="0" xfId="0" applyNumberFormat="1" applyFont="1" applyFill="1"/>
    <xf numFmtId="0" fontId="140" fillId="22" borderId="0" xfId="0" applyFont="1" applyFill="1"/>
    <xf numFmtId="0" fontId="50" fillId="22" borderId="0" xfId="0" applyFont="1" applyFill="1" applyAlignment="1">
      <alignment horizontal="center"/>
    </xf>
    <xf numFmtId="0" fontId="31" fillId="0" borderId="0" xfId="5" applyFont="1" applyAlignment="1">
      <alignment horizontal="left"/>
    </xf>
    <xf numFmtId="0" fontId="128" fillId="0" borderId="0" xfId="0" applyFont="1" applyAlignment="1">
      <alignment horizontal="right"/>
    </xf>
    <xf numFmtId="0" fontId="128" fillId="0" borderId="18" xfId="6" applyFont="1" applyBorder="1" applyAlignment="1">
      <alignment horizontal="right" wrapText="1"/>
    </xf>
    <xf numFmtId="0" fontId="128" fillId="0" borderId="23" xfId="6" applyFont="1" applyBorder="1" applyAlignment="1">
      <alignment horizontal="right" wrapText="1"/>
    </xf>
    <xf numFmtId="0" fontId="128" fillId="0" borderId="19" xfId="6" applyFont="1" applyBorder="1" applyAlignment="1">
      <alignment horizontal="right" wrapText="1"/>
    </xf>
    <xf numFmtId="0" fontId="128" fillId="0" borderId="29" xfId="6" applyFont="1" applyBorder="1" applyAlignment="1">
      <alignment horizontal="right" wrapText="1"/>
    </xf>
    <xf numFmtId="0" fontId="128" fillId="0" borderId="41" xfId="6" applyFont="1" applyBorder="1" applyAlignment="1">
      <alignment horizontal="right" wrapText="1"/>
    </xf>
    <xf numFmtId="0" fontId="50" fillId="0" borderId="0" xfId="0" applyFont="1" applyAlignment="1">
      <alignment horizontal="right"/>
    </xf>
    <xf numFmtId="0" fontId="128" fillId="22" borderId="0" xfId="3" applyFont="1" applyFill="1" applyAlignment="1">
      <alignment horizontal="right"/>
    </xf>
    <xf numFmtId="0" fontId="128" fillId="22" borderId="0" xfId="0" applyFont="1" applyFill="1" applyAlignment="1">
      <alignment horizontal="right"/>
    </xf>
    <xf numFmtId="0" fontId="53" fillId="24" borderId="0" xfId="0" applyFont="1" applyFill="1" applyAlignment="1">
      <alignment wrapText="1"/>
    </xf>
    <xf numFmtId="0" fontId="128" fillId="0" borderId="0" xfId="0" applyFont="1" applyAlignment="1">
      <alignment horizontal="center" wrapText="1"/>
    </xf>
    <xf numFmtId="0" fontId="40" fillId="0" borderId="0" xfId="5" applyFont="1"/>
    <xf numFmtId="0" fontId="40" fillId="0" borderId="0" xfId="6" applyFont="1"/>
    <xf numFmtId="3" fontId="40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center"/>
    </xf>
    <xf numFmtId="3" fontId="32" fillId="0" borderId="10" xfId="6" applyNumberFormat="1" applyFont="1" applyBorder="1" applyAlignment="1">
      <alignment vertical="center"/>
    </xf>
    <xf numFmtId="0" fontId="40" fillId="0" borderId="0" xfId="0" applyFont="1"/>
    <xf numFmtId="3" fontId="37" fillId="2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6" fillId="5" borderId="4" xfId="0" applyFont="1" applyFill="1" applyBorder="1"/>
    <xf numFmtId="0" fontId="106" fillId="5" borderId="97" xfId="0" applyFont="1" applyFill="1" applyBorder="1"/>
    <xf numFmtId="0" fontId="105" fillId="28" borderId="16" xfId="0" applyFont="1" applyFill="1" applyBorder="1"/>
    <xf numFmtId="0" fontId="105" fillId="28" borderId="60" xfId="0" applyFont="1" applyFill="1" applyBorder="1" applyAlignment="1">
      <alignment horizontal="right"/>
    </xf>
    <xf numFmtId="0" fontId="105" fillId="28" borderId="11" xfId="0" applyFont="1" applyFill="1" applyBorder="1"/>
    <xf numFmtId="0" fontId="105" fillId="28" borderId="43" xfId="0" applyFont="1" applyFill="1" applyBorder="1" applyAlignment="1">
      <alignment horizontal="right"/>
    </xf>
    <xf numFmtId="0" fontId="105" fillId="28" borderId="37" xfId="0" applyFont="1" applyFill="1" applyBorder="1"/>
    <xf numFmtId="0" fontId="105" fillId="28" borderId="33" xfId="0" applyFont="1" applyFill="1" applyBorder="1" applyAlignment="1">
      <alignment horizontal="right"/>
    </xf>
    <xf numFmtId="0" fontId="105" fillId="8" borderId="27" xfId="0" applyFont="1" applyFill="1" applyBorder="1" applyAlignment="1">
      <alignment horizontal="right"/>
    </xf>
    <xf numFmtId="0" fontId="105" fillId="8" borderId="66" xfId="0" applyFont="1" applyFill="1" applyBorder="1" applyAlignment="1">
      <alignment horizontal="right"/>
    </xf>
    <xf numFmtId="0" fontId="105" fillId="22" borderId="0" xfId="0" applyFont="1" applyFill="1" applyAlignment="1">
      <alignment horizontal="center"/>
    </xf>
    <xf numFmtId="0" fontId="105" fillId="8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left"/>
    </xf>
    <xf numFmtId="0" fontId="105" fillId="22" borderId="21" xfId="0" applyFont="1" applyFill="1" applyBorder="1"/>
    <xf numFmtId="0" fontId="105" fillId="8" borderId="14" xfId="0" applyFont="1" applyFill="1" applyBorder="1" applyAlignment="1">
      <alignment horizontal="left"/>
    </xf>
    <xf numFmtId="0" fontId="107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5" fillId="29" borderId="10" xfId="0" applyFont="1" applyFill="1" applyBorder="1"/>
    <xf numFmtId="169" fontId="105" fillId="29" borderId="19" xfId="0" applyNumberFormat="1" applyFont="1" applyFill="1" applyBorder="1" applyAlignment="1">
      <alignment horizontal="right" indent="1"/>
    </xf>
    <xf numFmtId="169" fontId="105" fillId="29" borderId="42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 applyAlignment="1">
      <alignment horizontal="right" indent="1"/>
    </xf>
    <xf numFmtId="168" fontId="105" fillId="29" borderId="14" xfId="0" applyNumberFormat="1" applyFont="1" applyFill="1" applyBorder="1"/>
    <xf numFmtId="0" fontId="105" fillId="29" borderId="7" xfId="0" applyFont="1" applyFill="1" applyBorder="1"/>
    <xf numFmtId="0" fontId="105" fillId="29" borderId="11" xfId="0" applyFont="1" applyFill="1" applyBorder="1" applyAlignment="1">
      <alignment horizontal="center"/>
    </xf>
    <xf numFmtId="0" fontId="105" fillId="29" borderId="11" xfId="0" applyFont="1" applyFill="1" applyBorder="1"/>
    <xf numFmtId="169" fontId="105" fillId="29" borderId="23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/>
    <xf numFmtId="0" fontId="105" fillId="29" borderId="10" xfId="0" applyFont="1" applyFill="1" applyBorder="1" applyAlignment="1">
      <alignment horizontal="center"/>
    </xf>
    <xf numFmtId="0" fontId="105" fillId="29" borderId="12" xfId="0" applyFont="1" applyFill="1" applyBorder="1"/>
    <xf numFmtId="169" fontId="105" fillId="29" borderId="29" xfId="0" applyNumberFormat="1" applyFont="1" applyFill="1" applyBorder="1" applyAlignment="1">
      <alignment horizontal="right" indent="1"/>
    </xf>
    <xf numFmtId="169" fontId="105" fillId="29" borderId="24" xfId="0" applyNumberFormat="1" applyFont="1" applyFill="1" applyBorder="1" applyAlignment="1">
      <alignment horizontal="right" indent="1"/>
    </xf>
    <xf numFmtId="169" fontId="105" fillId="29" borderId="69" xfId="0" applyNumberFormat="1" applyFont="1" applyFill="1" applyBorder="1"/>
    <xf numFmtId="0" fontId="105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2" fillId="0" borderId="0" xfId="6" applyFont="1" applyAlignment="1">
      <alignment horizontal="left"/>
    </xf>
    <xf numFmtId="0" fontId="32" fillId="0" borderId="7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4" fillId="4" borderId="6" xfId="7" applyFont="1" applyFill="1" applyBorder="1" applyAlignment="1">
      <alignment horizontal="center"/>
    </xf>
    <xf numFmtId="0" fontId="59" fillId="0" borderId="58" xfId="0" applyFont="1" applyBorder="1" applyAlignment="1">
      <alignment wrapText="1"/>
    </xf>
    <xf numFmtId="3" fontId="42" fillId="0" borderId="0" xfId="5" applyNumberFormat="1" applyFont="1"/>
    <xf numFmtId="3" fontId="128" fillId="0" borderId="0" xfId="5" applyNumberFormat="1" applyFont="1"/>
    <xf numFmtId="3" fontId="42" fillId="0" borderId="0" xfId="6" applyNumberFormat="1" applyFont="1" applyAlignment="1">
      <alignment horizontal="left"/>
    </xf>
    <xf numFmtId="3" fontId="128" fillId="0" borderId="0" xfId="6" applyNumberFormat="1" applyFont="1"/>
    <xf numFmtId="0" fontId="127" fillId="2" borderId="50" xfId="6" applyFont="1" applyFill="1" applyBorder="1" applyAlignment="1">
      <alignment horizontal="center" vertical="center"/>
    </xf>
    <xf numFmtId="0" fontId="128" fillId="0" borderId="71" xfId="6" applyFont="1" applyBorder="1" applyAlignment="1">
      <alignment wrapText="1"/>
    </xf>
    <xf numFmtId="0" fontId="128" fillId="0" borderId="26" xfId="6" applyFont="1" applyBorder="1" applyAlignment="1">
      <alignment wrapText="1"/>
    </xf>
    <xf numFmtId="0" fontId="127" fillId="34" borderId="49" xfId="6" applyFont="1" applyFill="1" applyBorder="1" applyAlignment="1">
      <alignment wrapText="1"/>
    </xf>
    <xf numFmtId="0" fontId="128" fillId="0" borderId="70" xfId="6" applyFont="1" applyBorder="1" applyAlignment="1">
      <alignment wrapText="1"/>
    </xf>
    <xf numFmtId="0" fontId="128" fillId="0" borderId="69" xfId="6" applyFont="1" applyBorder="1" applyAlignment="1">
      <alignment wrapText="1"/>
    </xf>
    <xf numFmtId="0" fontId="128" fillId="0" borderId="72" xfId="6" applyFont="1" applyBorder="1" applyAlignment="1">
      <alignment wrapText="1"/>
    </xf>
    <xf numFmtId="3" fontId="128" fillId="0" borderId="16" xfId="6" applyNumberFormat="1" applyFont="1" applyBorder="1" applyAlignment="1">
      <alignment wrapText="1"/>
    </xf>
    <xf numFmtId="3" fontId="128" fillId="0" borderId="10" xfId="6" applyNumberFormat="1" applyFont="1" applyBorder="1" applyAlignment="1">
      <alignment wrapText="1"/>
    </xf>
    <xf numFmtId="3" fontId="127" fillId="34" borderId="34" xfId="6" applyNumberFormat="1" applyFont="1" applyFill="1" applyBorder="1" applyAlignment="1">
      <alignment wrapText="1"/>
    </xf>
    <xf numFmtId="3" fontId="128" fillId="0" borderId="11" xfId="6" applyNumberFormat="1" applyFont="1" applyBorder="1" applyAlignment="1">
      <alignment wrapText="1"/>
    </xf>
    <xf numFmtId="3" fontId="128" fillId="0" borderId="36" xfId="6" applyNumberFormat="1" applyFont="1" applyBorder="1" applyAlignment="1">
      <alignment wrapText="1"/>
    </xf>
    <xf numFmtId="3" fontId="128" fillId="0" borderId="12" xfId="6" applyNumberFormat="1" applyFont="1" applyBorder="1" applyAlignment="1">
      <alignment wrapText="1"/>
    </xf>
    <xf numFmtId="3" fontId="127" fillId="5" borderId="3" xfId="0" applyNumberFormat="1" applyFont="1" applyFill="1" applyBorder="1" applyAlignment="1">
      <alignment horizontal="right" wrapText="1"/>
    </xf>
    <xf numFmtId="0" fontId="34" fillId="2" borderId="50" xfId="6" applyFont="1" applyFill="1" applyBorder="1" applyAlignment="1">
      <alignment horizontal="center" vertical="center" wrapText="1"/>
    </xf>
    <xf numFmtId="0" fontId="32" fillId="0" borderId="71" xfId="6" applyFont="1" applyBorder="1" applyAlignment="1">
      <alignment vertical="center" wrapText="1"/>
    </xf>
    <xf numFmtId="0" fontId="32" fillId="0" borderId="70" xfId="6" applyFont="1" applyBorder="1" applyAlignment="1">
      <alignment vertical="center" wrapText="1"/>
    </xf>
    <xf numFmtId="0" fontId="32" fillId="0" borderId="26" xfId="6" applyFont="1" applyBorder="1" applyAlignment="1">
      <alignment vertical="center" wrapText="1"/>
    </xf>
    <xf numFmtId="0" fontId="34" fillId="0" borderId="49" xfId="6" applyFont="1" applyBorder="1" applyAlignment="1">
      <alignment wrapText="1"/>
    </xf>
    <xf numFmtId="0" fontId="34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4" fontId="0" fillId="28" borderId="0" xfId="0" applyNumberFormat="1" applyFill="1" applyAlignment="1">
      <alignment horizontal="right"/>
    </xf>
    <xf numFmtId="0" fontId="34" fillId="3" borderId="3" xfId="4" applyFont="1" applyFill="1" applyBorder="1" applyAlignment="1">
      <alignment horizontal="center" vertical="center" wrapText="1"/>
    </xf>
    <xf numFmtId="0" fontId="128" fillId="0" borderId="75" xfId="6" applyFont="1" applyBorder="1" applyAlignment="1">
      <alignment horizontal="center" wrapText="1"/>
    </xf>
    <xf numFmtId="0" fontId="32" fillId="0" borderId="68" xfId="0" applyFont="1" applyBorder="1" applyAlignment="1">
      <alignment wrapText="1"/>
    </xf>
    <xf numFmtId="3" fontId="82" fillId="22" borderId="0" xfId="0" applyNumberFormat="1" applyFont="1" applyFill="1"/>
    <xf numFmtId="3" fontId="96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128" fillId="37" borderId="11" xfId="0" applyNumberFormat="1" applyFont="1" applyFill="1" applyBorder="1"/>
    <xf numFmtId="0" fontId="128" fillId="0" borderId="59" xfId="6" applyFont="1" applyBorder="1" applyAlignment="1">
      <alignment horizontal="right" wrapText="1"/>
    </xf>
    <xf numFmtId="0" fontId="128" fillId="0" borderId="73" xfId="6" applyFont="1" applyBorder="1" applyAlignment="1">
      <alignment horizontal="right" wrapText="1"/>
    </xf>
    <xf numFmtId="0" fontId="32" fillId="0" borderId="2" xfId="7" applyFont="1" applyBorder="1"/>
    <xf numFmtId="0" fontId="32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20" fontId="133" fillId="0" borderId="0" xfId="0" applyNumberFormat="1" applyFont="1"/>
    <xf numFmtId="4" fontId="141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5" fillId="42" borderId="0" xfId="0" applyFont="1" applyFill="1" applyAlignment="1">
      <alignment horizontal="center" vertical="top" wrapText="1"/>
    </xf>
    <xf numFmtId="44" fontId="59" fillId="0" borderId="0" xfId="18" applyFont="1" applyAlignment="1">
      <alignment horizontal="center"/>
    </xf>
    <xf numFmtId="0" fontId="146" fillId="4" borderId="14" xfId="0" applyFont="1" applyFill="1" applyBorder="1" applyAlignment="1">
      <alignment horizontal="center" vertical="top" wrapText="1"/>
    </xf>
    <xf numFmtId="0" fontId="147" fillId="4" borderId="14" xfId="21" applyFont="1" applyFill="1" applyBorder="1" applyAlignment="1">
      <alignment horizontal="center" vertical="top" wrapText="1"/>
    </xf>
    <xf numFmtId="0" fontId="59" fillId="40" borderId="14" xfId="22" applyFont="1" applyBorder="1" applyAlignment="1">
      <alignment horizontal="center" vertical="top" wrapText="1"/>
    </xf>
    <xf numFmtId="0" fontId="148" fillId="19" borderId="14" xfId="0" applyFont="1" applyFill="1" applyBorder="1" applyAlignment="1">
      <alignment horizontal="center" vertical="center" wrapText="1"/>
    </xf>
    <xf numFmtId="166" fontId="148" fillId="19" borderId="14" xfId="0" applyNumberFormat="1" applyFont="1" applyFill="1" applyBorder="1" applyAlignment="1">
      <alignment horizontal="center" vertical="center" wrapText="1"/>
    </xf>
    <xf numFmtId="176" fontId="148" fillId="19" borderId="14" xfId="1" applyNumberFormat="1" applyFont="1" applyFill="1" applyBorder="1" applyAlignment="1">
      <alignment horizontal="center" vertical="center" wrapText="1"/>
    </xf>
    <xf numFmtId="177" fontId="148" fillId="0" borderId="14" xfId="18" applyNumberFormat="1" applyFont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vertical="top" wrapText="1"/>
    </xf>
    <xf numFmtId="177" fontId="148" fillId="0" borderId="14" xfId="18" applyNumberFormat="1" applyFont="1" applyBorder="1" applyAlignment="1">
      <alignment vertical="top" wrapText="1"/>
    </xf>
    <xf numFmtId="177" fontId="59" fillId="41" borderId="14" xfId="18" applyNumberFormat="1" applyFont="1" applyFill="1" applyBorder="1" applyAlignment="1">
      <alignment horizontal="center" vertical="center" wrapText="1"/>
    </xf>
    <xf numFmtId="44" fontId="59" fillId="0" borderId="0" xfId="18" applyFont="1"/>
    <xf numFmtId="0" fontId="146" fillId="35" borderId="14" xfId="0" applyFont="1" applyFill="1" applyBorder="1" applyAlignment="1">
      <alignment horizontal="center" vertical="top" wrapText="1"/>
    </xf>
    <xf numFmtId="0" fontId="147" fillId="35" borderId="14" xfId="21" applyFont="1" applyFill="1" applyBorder="1" applyAlignment="1">
      <alignment horizontal="center" vertical="top" wrapText="1"/>
    </xf>
    <xf numFmtId="0" fontId="146" fillId="0" borderId="14" xfId="0" applyFont="1" applyBorder="1" applyAlignment="1">
      <alignment horizontal="center" vertical="top" wrapText="1"/>
    </xf>
    <xf numFmtId="0" fontId="147" fillId="0" borderId="14" xfId="21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/>
    </xf>
    <xf numFmtId="176" fontId="149" fillId="19" borderId="14" xfId="1" applyNumberFormat="1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 wrapText="1"/>
    </xf>
    <xf numFmtId="177" fontId="149" fillId="0" borderId="14" xfId="18" applyNumberFormat="1" applyFont="1" applyBorder="1"/>
    <xf numFmtId="0" fontId="150" fillId="0" borderId="0" xfId="0" applyFont="1"/>
    <xf numFmtId="0" fontId="0" fillId="19" borderId="14" xfId="0" applyFill="1" applyBorder="1"/>
    <xf numFmtId="0" fontId="151" fillId="0" borderId="0" xfId="0" applyFont="1"/>
    <xf numFmtId="0" fontId="152" fillId="0" borderId="0" xfId="21" applyFont="1"/>
    <xf numFmtId="0" fontId="60" fillId="32" borderId="0" xfId="0" applyFont="1" applyFill="1"/>
    <xf numFmtId="177" fontId="153" fillId="39" borderId="76" xfId="20" applyNumberFormat="1" applyFont="1"/>
    <xf numFmtId="0" fontId="59" fillId="4" borderId="0" xfId="0" applyFont="1" applyFill="1"/>
    <xf numFmtId="177" fontId="154" fillId="39" borderId="98" xfId="19" applyNumberFormat="1" applyFont="1"/>
    <xf numFmtId="0" fontId="63" fillId="35" borderId="0" xfId="0" applyFont="1" applyFill="1"/>
    <xf numFmtId="168" fontId="0" fillId="0" borderId="0" xfId="0" applyNumberFormat="1" applyAlignment="1">
      <alignment horizontal="right"/>
    </xf>
    <xf numFmtId="3" fontId="128" fillId="4" borderId="12" xfId="6" applyNumberFormat="1" applyFont="1" applyFill="1" applyBorder="1"/>
    <xf numFmtId="3" fontId="128" fillId="4" borderId="11" xfId="6" applyNumberFormat="1" applyFont="1" applyFill="1" applyBorder="1"/>
    <xf numFmtId="3" fontId="128" fillId="4" borderId="10" xfId="6" applyNumberFormat="1" applyFont="1" applyFill="1" applyBorder="1"/>
    <xf numFmtId="0" fontId="128" fillId="4" borderId="71" xfId="6" applyFont="1" applyFill="1" applyBorder="1" applyAlignment="1">
      <alignment wrapText="1"/>
    </xf>
    <xf numFmtId="0" fontId="128" fillId="4" borderId="72" xfId="6" applyFont="1" applyFill="1" applyBorder="1" applyAlignment="1">
      <alignment wrapText="1"/>
    </xf>
    <xf numFmtId="4" fontId="119" fillId="25" borderId="76" xfId="11" applyNumberFormat="1" applyFont="1" applyAlignment="1">
      <alignment horizontal="center"/>
    </xf>
    <xf numFmtId="3" fontId="140" fillId="0" borderId="75" xfId="0" applyNumberFormat="1" applyFont="1" applyBorder="1"/>
    <xf numFmtId="0" fontId="50" fillId="0" borderId="72" xfId="6" applyFont="1" applyBorder="1" applyAlignment="1">
      <alignment wrapText="1"/>
    </xf>
    <xf numFmtId="0" fontId="50" fillId="0" borderId="29" xfId="6" applyFont="1" applyBorder="1" applyAlignment="1">
      <alignment horizontal="right" wrapText="1"/>
    </xf>
    <xf numFmtId="0" fontId="50" fillId="0" borderId="24" xfId="6" applyFont="1" applyBorder="1" applyAlignment="1">
      <alignment horizontal="center" wrapText="1"/>
    </xf>
    <xf numFmtId="3" fontId="50" fillId="0" borderId="12" xfId="6" applyNumberFormat="1" applyFont="1" applyBorder="1" applyAlignment="1">
      <alignment wrapText="1"/>
    </xf>
    <xf numFmtId="3" fontId="131" fillId="22" borderId="0" xfId="0" applyNumberFormat="1" applyFont="1" applyFill="1"/>
    <xf numFmtId="3" fontId="50" fillId="4" borderId="12" xfId="6" applyNumberFormat="1" applyFont="1" applyFill="1" applyBorder="1"/>
    <xf numFmtId="3" fontId="128" fillId="43" borderId="11" xfId="0" applyNumberFormat="1" applyFont="1" applyFill="1" applyBorder="1"/>
    <xf numFmtId="3" fontId="36" fillId="27" borderId="53" xfId="7" applyNumberFormat="1" applyFont="1" applyFill="1" applyBorder="1"/>
    <xf numFmtId="3" fontId="36" fillId="22" borderId="0" xfId="7" applyNumberFormat="1" applyFont="1" applyFill="1"/>
    <xf numFmtId="3" fontId="36" fillId="0" borderId="60" xfId="0" applyNumberFormat="1" applyFont="1" applyBorder="1" applyAlignment="1">
      <alignment wrapText="1"/>
    </xf>
    <xf numFmtId="3" fontId="36" fillId="0" borderId="7" xfId="0" applyNumberFormat="1" applyFont="1" applyBorder="1" applyAlignment="1">
      <alignment wrapText="1"/>
    </xf>
    <xf numFmtId="3" fontId="36" fillId="0" borderId="8" xfId="0" applyNumberFormat="1" applyFont="1" applyBorder="1" applyAlignment="1">
      <alignment wrapText="1"/>
    </xf>
    <xf numFmtId="3" fontId="36" fillId="0" borderId="43" xfId="0" applyNumberFormat="1" applyFont="1" applyBorder="1" applyAlignment="1">
      <alignment wrapText="1"/>
    </xf>
    <xf numFmtId="0" fontId="90" fillId="0" borderId="2" xfId="0" applyFont="1" applyBorder="1" applyAlignment="1">
      <alignment horizontal="center"/>
    </xf>
    <xf numFmtId="0" fontId="90" fillId="0" borderId="30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27" fillId="3" borderId="2" xfId="0" applyFont="1" applyFill="1" applyBorder="1" applyAlignment="1">
      <alignment horizontal="left" wrapText="1"/>
    </xf>
    <xf numFmtId="0" fontId="127" fillId="3" borderId="30" xfId="0" applyFont="1" applyFill="1" applyBorder="1" applyAlignment="1">
      <alignment horizontal="left" wrapText="1"/>
    </xf>
    <xf numFmtId="0" fontId="127" fillId="3" borderId="6" xfId="0" applyFont="1" applyFill="1" applyBorder="1" applyAlignment="1">
      <alignment horizontal="left" wrapText="1"/>
    </xf>
    <xf numFmtId="3" fontId="127" fillId="2" borderId="2" xfId="5" applyNumberFormat="1" applyFont="1" applyFill="1" applyBorder="1" applyAlignment="1">
      <alignment horizontal="left" vertical="center" wrapText="1"/>
    </xf>
    <xf numFmtId="3" fontId="127" fillId="2" borderId="30" xfId="5" applyNumberFormat="1" applyFont="1" applyFill="1" applyBorder="1" applyAlignment="1">
      <alignment horizontal="left" vertical="center" wrapText="1"/>
    </xf>
    <xf numFmtId="3" fontId="127" fillId="2" borderId="6" xfId="5" applyNumberFormat="1" applyFont="1" applyFill="1" applyBorder="1" applyAlignment="1">
      <alignment horizontal="left" vertical="center" wrapText="1"/>
    </xf>
    <xf numFmtId="0" fontId="129" fillId="3" borderId="2" xfId="0" applyFont="1" applyFill="1" applyBorder="1" applyAlignment="1">
      <alignment horizontal="left" wrapText="1"/>
    </xf>
    <xf numFmtId="0" fontId="129" fillId="3" borderId="30" xfId="0" applyFont="1" applyFill="1" applyBorder="1" applyAlignment="1">
      <alignment horizontal="left" wrapText="1"/>
    </xf>
    <xf numFmtId="0" fontId="129" fillId="3" borderId="6" xfId="0" applyFont="1" applyFill="1" applyBorder="1" applyAlignment="1">
      <alignment horizontal="left" wrapText="1"/>
    </xf>
    <xf numFmtId="0" fontId="96" fillId="3" borderId="2" xfId="0" applyFont="1" applyFill="1" applyBorder="1" applyAlignment="1">
      <alignment horizontal="left" wrapText="1"/>
    </xf>
    <xf numFmtId="0" fontId="96" fillId="3" borderId="30" xfId="0" applyFont="1" applyFill="1" applyBorder="1" applyAlignment="1">
      <alignment horizontal="left" wrapText="1"/>
    </xf>
    <xf numFmtId="0" fontId="96" fillId="3" borderId="6" xfId="0" applyFont="1" applyFill="1" applyBorder="1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34" fillId="3" borderId="30" xfId="0" applyFont="1" applyFill="1" applyBorder="1" applyAlignment="1">
      <alignment horizontal="left" wrapText="1"/>
    </xf>
    <xf numFmtId="0" fontId="34" fillId="3" borderId="6" xfId="0" applyFont="1" applyFill="1" applyBorder="1" applyAlignment="1">
      <alignment horizontal="left" wrapText="1"/>
    </xf>
    <xf numFmtId="0" fontId="34" fillId="5" borderId="73" xfId="0" applyFont="1" applyFill="1" applyBorder="1" applyAlignment="1">
      <alignment horizontal="center" vertical="center" textRotation="180"/>
    </xf>
    <xf numFmtId="0" fontId="34" fillId="5" borderId="59" xfId="0" applyFont="1" applyFill="1" applyBorder="1" applyAlignment="1">
      <alignment horizontal="center" vertical="center" textRotation="180"/>
    </xf>
    <xf numFmtId="0" fontId="34" fillId="7" borderId="2" xfId="0" applyFont="1" applyFill="1" applyBorder="1" applyAlignment="1">
      <alignment horizontal="left" wrapText="1"/>
    </xf>
    <xf numFmtId="0" fontId="34" fillId="7" borderId="30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5" xfId="0" applyFont="1" applyFill="1" applyBorder="1" applyAlignment="1">
      <alignment horizontal="left" wrapText="1"/>
    </xf>
    <xf numFmtId="0" fontId="34" fillId="3" borderId="32" xfId="0" applyFont="1" applyFill="1" applyBorder="1" applyAlignment="1">
      <alignment horizontal="left" wrapText="1"/>
    </xf>
    <xf numFmtId="0" fontId="34" fillId="3" borderId="35" xfId="0" applyFont="1" applyFill="1" applyBorder="1" applyAlignment="1">
      <alignment horizontal="left" wrapText="1"/>
    </xf>
    <xf numFmtId="0" fontId="52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3" fontId="34" fillId="6" borderId="20" xfId="0" applyNumberFormat="1" applyFont="1" applyFill="1" applyBorder="1" applyAlignment="1">
      <alignment horizontal="center"/>
    </xf>
    <xf numFmtId="3" fontId="34" fillId="6" borderId="71" xfId="0" applyNumberFormat="1" applyFont="1" applyFill="1" applyBorder="1" applyAlignment="1">
      <alignment horizontal="center"/>
    </xf>
    <xf numFmtId="3" fontId="34" fillId="4" borderId="18" xfId="0" applyNumberFormat="1" applyFont="1" applyFill="1" applyBorder="1" applyAlignment="1">
      <alignment horizontal="center"/>
    </xf>
    <xf numFmtId="3" fontId="34" fillId="4" borderId="60" xfId="0" applyNumberFormat="1" applyFont="1" applyFill="1" applyBorder="1" applyAlignment="1">
      <alignment horizontal="center"/>
    </xf>
    <xf numFmtId="3" fontId="34" fillId="6" borderId="60" xfId="0" applyNumberFormat="1" applyFont="1" applyFill="1" applyBorder="1" applyAlignment="1">
      <alignment horizontal="center"/>
    </xf>
    <xf numFmtId="0" fontId="65" fillId="2" borderId="63" xfId="5" applyFont="1" applyFill="1" applyBorder="1" applyAlignment="1">
      <alignment horizontal="center" vertical="center"/>
    </xf>
    <xf numFmtId="0" fontId="65" fillId="2" borderId="64" xfId="5" applyFont="1" applyFill="1" applyBorder="1" applyAlignment="1">
      <alignment horizontal="center" vertical="center"/>
    </xf>
    <xf numFmtId="0" fontId="65" fillId="2" borderId="67" xfId="5" applyFont="1" applyFill="1" applyBorder="1" applyAlignment="1">
      <alignment horizontal="center" vertical="center"/>
    </xf>
    <xf numFmtId="0" fontId="65" fillId="2" borderId="65" xfId="5" applyFont="1" applyFill="1" applyBorder="1" applyAlignment="1">
      <alignment horizontal="center" vertical="center"/>
    </xf>
    <xf numFmtId="0" fontId="65" fillId="2" borderId="45" xfId="5" applyFont="1" applyFill="1" applyBorder="1" applyAlignment="1">
      <alignment horizontal="center" vertical="center"/>
    </xf>
    <xf numFmtId="0" fontId="65" fillId="2" borderId="68" xfId="5" applyFont="1" applyFill="1" applyBorder="1" applyAlignment="1">
      <alignment horizontal="center" vertical="center"/>
    </xf>
    <xf numFmtId="3" fontId="93" fillId="9" borderId="2" xfId="10" applyNumberFormat="1" applyFont="1" applyFill="1" applyBorder="1" applyAlignment="1">
      <alignment horizontal="left"/>
    </xf>
    <xf numFmtId="3" fontId="93" fillId="9" borderId="64" xfId="10" applyNumberFormat="1" applyFont="1" applyFill="1" applyBorder="1" applyAlignment="1">
      <alignment horizontal="left"/>
    </xf>
    <xf numFmtId="3" fontId="93" fillId="9" borderId="67" xfId="10" applyNumberFormat="1" applyFont="1" applyFill="1" applyBorder="1" applyAlignment="1">
      <alignment horizontal="left"/>
    </xf>
    <xf numFmtId="3" fontId="96" fillId="8" borderId="65" xfId="10" applyNumberFormat="1" applyFont="1" applyFill="1" applyBorder="1" applyAlignment="1">
      <alignment horizontal="left"/>
    </xf>
    <xf numFmtId="3" fontId="96" fillId="8" borderId="68" xfId="10" applyNumberFormat="1" applyFont="1" applyFill="1" applyBorder="1" applyAlignment="1">
      <alignment horizontal="left"/>
    </xf>
    <xf numFmtId="0" fontId="94" fillId="0" borderId="63" xfId="3" applyFont="1" applyBorder="1" applyAlignment="1">
      <alignment horizontal="center" vertical="center" textRotation="90"/>
    </xf>
    <xf numFmtId="0" fontId="94" fillId="0" borderId="59" xfId="3" applyFont="1" applyBorder="1" applyAlignment="1">
      <alignment horizontal="center" vertical="center" textRotation="90"/>
    </xf>
    <xf numFmtId="0" fontId="94" fillId="0" borderId="36" xfId="3" applyFont="1" applyBorder="1" applyAlignment="1">
      <alignment horizontal="center" vertical="center" textRotation="90"/>
    </xf>
    <xf numFmtId="3" fontId="96" fillId="8" borderId="63" xfId="10" applyNumberFormat="1" applyFont="1" applyFill="1" applyBorder="1" applyAlignment="1">
      <alignment horizontal="left"/>
    </xf>
    <xf numFmtId="3" fontId="96" fillId="8" borderId="6" xfId="10" applyNumberFormat="1" applyFont="1" applyFill="1" applyBorder="1" applyAlignment="1">
      <alignment horizontal="left"/>
    </xf>
    <xf numFmtId="0" fontId="93" fillId="10" borderId="2" xfId="5" applyFont="1" applyFill="1" applyBorder="1" applyAlignment="1">
      <alignment horizontal="left" vertical="center"/>
    </xf>
    <xf numFmtId="0" fontId="93" fillId="10" borderId="6" xfId="5" applyFont="1" applyFill="1" applyBorder="1" applyAlignment="1">
      <alignment horizontal="left" vertical="center"/>
    </xf>
    <xf numFmtId="3" fontId="97" fillId="8" borderId="2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0" fontId="98" fillId="0" borderId="4" xfId="3" applyFont="1" applyBorder="1" applyAlignment="1">
      <alignment horizontal="center" vertical="center" textRotation="90"/>
    </xf>
    <xf numFmtId="0" fontId="98" fillId="0" borderId="36" xfId="3" applyFont="1" applyBorder="1" applyAlignment="1">
      <alignment horizontal="center" vertical="center" textRotation="90"/>
    </xf>
    <xf numFmtId="0" fontId="98" fillId="0" borderId="53" xfId="3" applyFont="1" applyBorder="1" applyAlignment="1">
      <alignment horizontal="center" vertical="center" textRotation="90"/>
    </xf>
    <xf numFmtId="0" fontId="94" fillId="0" borderId="67" xfId="3" applyFont="1" applyBorder="1" applyAlignment="1">
      <alignment horizontal="center" vertical="center" textRotation="90"/>
    </xf>
    <xf numFmtId="0" fontId="94" fillId="0" borderId="39" xfId="3" applyFont="1" applyBorder="1" applyAlignment="1">
      <alignment horizontal="center" vertical="center" textRotation="90"/>
    </xf>
    <xf numFmtId="0" fontId="94" fillId="0" borderId="68" xfId="3" applyFont="1" applyBorder="1" applyAlignment="1">
      <alignment horizontal="center" vertical="center" textRotation="90"/>
    </xf>
    <xf numFmtId="0" fontId="59" fillId="33" borderId="29" xfId="0" applyFont="1" applyFill="1" applyBorder="1" applyAlignment="1">
      <alignment horizontal="center" vertical="center" wrapText="1" shrinkToFit="1"/>
    </xf>
    <xf numFmtId="0" fontId="59" fillId="33" borderId="41" xfId="0" applyFont="1" applyFill="1" applyBorder="1" applyAlignment="1">
      <alignment horizontal="center" vertical="center" wrapText="1" shrinkToFit="1"/>
    </xf>
    <xf numFmtId="0" fontId="59" fillId="33" borderId="54" xfId="0" applyFont="1" applyFill="1" applyBorder="1" applyAlignment="1">
      <alignment horizontal="center" vertical="center" wrapText="1" shrinkToFit="1"/>
    </xf>
    <xf numFmtId="0" fontId="60" fillId="28" borderId="4" xfId="0" applyFont="1" applyFill="1" applyBorder="1" applyAlignment="1">
      <alignment horizontal="center" vertical="center" wrapText="1"/>
    </xf>
    <xf numFmtId="0" fontId="60" fillId="28" borderId="36" xfId="0" applyFont="1" applyFill="1" applyBorder="1" applyAlignment="1">
      <alignment horizontal="center" vertical="center" wrapText="1"/>
    </xf>
    <xf numFmtId="0" fontId="60" fillId="28" borderId="53" xfId="0" applyFont="1" applyFill="1" applyBorder="1" applyAlignment="1">
      <alignment horizontal="center" vertical="center" wrapText="1"/>
    </xf>
    <xf numFmtId="0" fontId="59" fillId="28" borderId="77" xfId="0" applyFont="1" applyFill="1" applyBorder="1" applyAlignment="1">
      <alignment horizontal="justify" vertical="center"/>
    </xf>
    <xf numFmtId="0" fontId="59" fillId="28" borderId="41" xfId="0" applyFont="1" applyFill="1" applyBorder="1" applyAlignment="1">
      <alignment horizontal="justify" vertical="center"/>
    </xf>
    <xf numFmtId="0" fontId="59" fillId="28" borderId="54" xfId="0" applyFont="1" applyFill="1" applyBorder="1" applyAlignment="1">
      <alignment horizontal="justify" vertical="center"/>
    </xf>
    <xf numFmtId="0" fontId="60" fillId="32" borderId="4" xfId="0" applyFont="1" applyFill="1" applyBorder="1" applyAlignment="1">
      <alignment horizontal="center" vertical="center" wrapText="1"/>
    </xf>
    <xf numFmtId="0" fontId="60" fillId="32" borderId="36" xfId="0" applyFont="1" applyFill="1" applyBorder="1" applyAlignment="1">
      <alignment horizontal="center" vertical="center" wrapText="1"/>
    </xf>
    <xf numFmtId="0" fontId="60" fillId="32" borderId="53" xfId="0" applyFont="1" applyFill="1" applyBorder="1" applyAlignment="1">
      <alignment horizontal="center" vertical="center" wrapText="1"/>
    </xf>
    <xf numFmtId="0" fontId="59" fillId="11" borderId="77" xfId="0" applyFont="1" applyFill="1" applyBorder="1" applyAlignment="1">
      <alignment horizontal="justify" vertical="center"/>
    </xf>
    <xf numFmtId="0" fontId="59" fillId="11" borderId="41" xfId="0" applyFont="1" applyFill="1" applyBorder="1" applyAlignment="1">
      <alignment horizontal="justify" vertical="center"/>
    </xf>
    <xf numFmtId="0" fontId="59" fillId="11" borderId="54" xfId="0" applyFont="1" applyFill="1" applyBorder="1" applyAlignment="1">
      <alignment horizontal="justify" vertical="center"/>
    </xf>
    <xf numFmtId="0" fontId="60" fillId="31" borderId="4" xfId="0" applyFont="1" applyFill="1" applyBorder="1" applyAlignment="1">
      <alignment horizontal="center" vertical="center" wrapText="1"/>
    </xf>
    <xf numFmtId="0" fontId="60" fillId="31" borderId="36" xfId="0" applyFont="1" applyFill="1" applyBorder="1" applyAlignment="1">
      <alignment horizontal="center" vertical="center" wrapText="1"/>
    </xf>
    <xf numFmtId="0" fontId="60" fillId="31" borderId="53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justify" vertical="center"/>
    </xf>
    <xf numFmtId="0" fontId="59" fillId="31" borderId="41" xfId="0" applyFont="1" applyFill="1" applyBorder="1" applyAlignment="1">
      <alignment horizontal="justify" vertical="center"/>
    </xf>
    <xf numFmtId="0" fontId="59" fillId="31" borderId="54" xfId="0" applyFont="1" applyFill="1" applyBorder="1" applyAlignment="1">
      <alignment horizontal="justify" vertical="center"/>
    </xf>
    <xf numFmtId="0" fontId="63" fillId="28" borderId="77" xfId="0" applyFont="1" applyFill="1" applyBorder="1" applyAlignment="1">
      <alignment horizontal="center" vertical="center" wrapText="1"/>
    </xf>
    <xf numFmtId="0" fontId="63" fillId="28" borderId="41" xfId="0" applyFont="1" applyFill="1" applyBorder="1" applyAlignment="1">
      <alignment horizontal="center" vertical="center" wrapText="1"/>
    </xf>
    <xf numFmtId="0" fontId="63" fillId="28" borderId="23" xfId="0" applyFont="1" applyFill="1" applyBorder="1" applyAlignment="1">
      <alignment horizontal="center" vertical="center" wrapText="1"/>
    </xf>
    <xf numFmtId="0" fontId="59" fillId="18" borderId="64" xfId="0" applyFont="1" applyFill="1" applyBorder="1" applyAlignment="1">
      <alignment horizontal="center" vertical="center"/>
    </xf>
    <xf numFmtId="0" fontId="59" fillId="18" borderId="67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59" fillId="18" borderId="39" xfId="0" applyFont="1" applyFill="1" applyBorder="1" applyAlignment="1">
      <alignment horizontal="center" vertical="center"/>
    </xf>
    <xf numFmtId="0" fontId="63" fillId="28" borderId="29" xfId="0" applyFont="1" applyFill="1" applyBorder="1" applyAlignment="1">
      <alignment horizontal="center" vertical="center" wrapText="1"/>
    </xf>
    <xf numFmtId="0" fontId="60" fillId="29" borderId="36" xfId="0" applyFont="1" applyFill="1" applyBorder="1" applyAlignment="1">
      <alignment horizontal="center" vertical="center" wrapText="1"/>
    </xf>
    <xf numFmtId="0" fontId="60" fillId="29" borderId="53" xfId="0" applyFont="1" applyFill="1" applyBorder="1" applyAlignment="1">
      <alignment horizontal="center" vertical="center" wrapText="1"/>
    </xf>
    <xf numFmtId="0" fontId="63" fillId="29" borderId="5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36" xfId="0" applyFont="1" applyFill="1" applyBorder="1" applyAlignment="1">
      <alignment horizontal="center" vertical="center" wrapText="1"/>
    </xf>
    <xf numFmtId="0" fontId="60" fillId="7" borderId="53" xfId="0" applyFont="1" applyFill="1" applyBorder="1" applyAlignment="1">
      <alignment horizontal="center" vertical="center" wrapText="1"/>
    </xf>
    <xf numFmtId="0" fontId="63" fillId="7" borderId="77" xfId="0" applyFont="1" applyFill="1" applyBorder="1" applyAlignment="1">
      <alignment horizontal="center" vertical="center" wrapText="1"/>
    </xf>
    <xf numFmtId="0" fontId="63" fillId="7" borderId="41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59" fillId="7" borderId="63" xfId="0" applyFont="1" applyFill="1" applyBorder="1" applyAlignment="1">
      <alignment horizontal="center"/>
    </xf>
    <xf numFmtId="0" fontId="59" fillId="7" borderId="64" xfId="0" applyFont="1" applyFill="1" applyBorder="1" applyAlignment="1">
      <alignment horizontal="center"/>
    </xf>
    <xf numFmtId="0" fontId="59" fillId="7" borderId="67" xfId="0" applyFont="1" applyFill="1" applyBorder="1" applyAlignment="1">
      <alignment horizontal="center"/>
    </xf>
    <xf numFmtId="0" fontId="59" fillId="7" borderId="59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59" fillId="7" borderId="39" xfId="0" applyFont="1" applyFill="1" applyBorder="1" applyAlignment="1">
      <alignment horizontal="center"/>
    </xf>
    <xf numFmtId="0" fontId="59" fillId="7" borderId="65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9" fillId="7" borderId="68" xfId="0" applyFont="1" applyFill="1" applyBorder="1" applyAlignment="1">
      <alignment horizontal="center"/>
    </xf>
    <xf numFmtId="0" fontId="63" fillId="7" borderId="29" xfId="0" applyFont="1" applyFill="1" applyBorder="1" applyAlignment="1">
      <alignment horizontal="center" vertical="center" wrapText="1"/>
    </xf>
    <xf numFmtId="0" fontId="63" fillId="7" borderId="54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/>
    </xf>
    <xf numFmtId="0" fontId="59" fillId="4" borderId="41" xfId="0" applyFont="1" applyFill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/>
    </xf>
    <xf numFmtId="0" fontId="59" fillId="31" borderId="77" xfId="0" applyFont="1" applyFill="1" applyBorder="1" applyAlignment="1">
      <alignment horizontal="center" vertical="center"/>
    </xf>
    <xf numFmtId="0" fontId="59" fillId="31" borderId="41" xfId="0" applyFont="1" applyFill="1" applyBorder="1" applyAlignment="1">
      <alignment horizontal="center" vertical="center"/>
    </xf>
    <xf numFmtId="0" fontId="59" fillId="31" borderId="23" xfId="0" applyFont="1" applyFill="1" applyBorder="1" applyAlignment="1">
      <alignment horizontal="center" vertical="center"/>
    </xf>
    <xf numFmtId="3" fontId="60" fillId="31" borderId="4" xfId="0" applyNumberFormat="1" applyFont="1" applyFill="1" applyBorder="1" applyAlignment="1">
      <alignment horizontal="center" vertical="center"/>
    </xf>
    <xf numFmtId="3" fontId="60" fillId="31" borderId="36" xfId="0" applyNumberFormat="1" applyFont="1" applyFill="1" applyBorder="1" applyAlignment="1">
      <alignment horizontal="center" vertical="center"/>
    </xf>
    <xf numFmtId="3" fontId="60" fillId="31" borderId="53" xfId="0" applyNumberFormat="1" applyFont="1" applyFill="1" applyBorder="1" applyAlignment="1">
      <alignment horizontal="center" vertical="center"/>
    </xf>
    <xf numFmtId="0" fontId="59" fillId="31" borderId="29" xfId="0" applyFont="1" applyFill="1" applyBorder="1" applyAlignment="1">
      <alignment horizontal="center" vertical="center" wrapText="1"/>
    </xf>
    <xf numFmtId="0" fontId="59" fillId="31" borderId="41" xfId="0" applyFont="1" applyFill="1" applyBorder="1" applyAlignment="1">
      <alignment horizontal="center" vertical="center" wrapText="1"/>
    </xf>
    <xf numFmtId="0" fontId="34" fillId="27" borderId="2" xfId="7" applyFont="1" applyFill="1" applyBorder="1" applyAlignment="1">
      <alignment horizontal="left"/>
    </xf>
    <xf numFmtId="0" fontId="34" fillId="27" borderId="6" xfId="7" applyFont="1" applyFill="1" applyBorder="1" applyAlignment="1">
      <alignment horizontal="left"/>
    </xf>
    <xf numFmtId="0" fontId="31" fillId="0" borderId="2" xfId="0" applyFont="1" applyBorder="1" applyAlignment="1">
      <alignment horizontal="left" wrapText="1"/>
    </xf>
    <xf numFmtId="0" fontId="31" fillId="0" borderId="30" xfId="0" applyFont="1" applyBorder="1" applyAlignment="1">
      <alignment horizontal="left" wrapText="1"/>
    </xf>
    <xf numFmtId="0" fontId="34" fillId="8" borderId="49" xfId="6" applyFont="1" applyFill="1" applyBorder="1" applyAlignment="1">
      <alignment horizontal="center" wrapText="1"/>
    </xf>
    <xf numFmtId="0" fontId="34" fillId="8" borderId="48" xfId="6" applyFont="1" applyFill="1" applyBorder="1" applyAlignment="1">
      <alignment horizontal="center" wrapText="1"/>
    </xf>
    <xf numFmtId="0" fontId="31" fillId="0" borderId="0" xfId="6" applyFont="1" applyAlignment="1">
      <alignment horizontal="left"/>
    </xf>
    <xf numFmtId="0" fontId="42" fillId="0" borderId="0" xfId="6" applyFont="1" applyAlignment="1">
      <alignment horizontal="left"/>
    </xf>
    <xf numFmtId="0" fontId="31" fillId="5" borderId="2" xfId="0" applyFont="1" applyFill="1" applyBorder="1" applyAlignment="1">
      <alignment horizontal="left" wrapText="1"/>
    </xf>
    <xf numFmtId="0" fontId="31" fillId="5" borderId="30" xfId="0" applyFont="1" applyFill="1" applyBorder="1" applyAlignment="1">
      <alignment horizontal="left" wrapText="1"/>
    </xf>
    <xf numFmtId="0" fontId="34" fillId="0" borderId="49" xfId="6" applyFont="1" applyBorder="1" applyAlignment="1">
      <alignment horizontal="left" wrapText="1"/>
    </xf>
    <xf numFmtId="0" fontId="34" fillId="0" borderId="48" xfId="6" applyFont="1" applyBorder="1" applyAlignment="1">
      <alignment horizontal="left" wrapText="1"/>
    </xf>
    <xf numFmtId="0" fontId="31" fillId="5" borderId="22" xfId="0" applyFont="1" applyFill="1" applyBorder="1" applyAlignment="1">
      <alignment horizontal="left" wrapText="1"/>
    </xf>
    <xf numFmtId="0" fontId="34" fillId="8" borderId="49" xfId="6" applyFont="1" applyFill="1" applyBorder="1" applyAlignment="1">
      <alignment horizontal="left" wrapText="1"/>
    </xf>
    <xf numFmtId="0" fontId="34" fillId="8" borderId="48" xfId="6" applyFont="1" applyFill="1" applyBorder="1" applyAlignment="1">
      <alignment horizontal="left" wrapText="1"/>
    </xf>
    <xf numFmtId="0" fontId="127" fillId="5" borderId="2" xfId="0" applyFont="1" applyFill="1" applyBorder="1" applyAlignment="1">
      <alignment horizontal="left" wrapText="1"/>
    </xf>
    <xf numFmtId="0" fontId="127" fillId="5" borderId="30" xfId="0" applyFont="1" applyFill="1" applyBorder="1" applyAlignment="1">
      <alignment horizontal="left" wrapText="1"/>
    </xf>
    <xf numFmtId="0" fontId="127" fillId="5" borderId="22" xfId="0" applyFont="1" applyFill="1" applyBorder="1" applyAlignment="1">
      <alignment horizontal="left" wrapText="1"/>
    </xf>
    <xf numFmtId="0" fontId="127" fillId="8" borderId="49" xfId="6" applyFont="1" applyFill="1" applyBorder="1" applyAlignment="1">
      <alignment horizontal="center" wrapText="1"/>
    </xf>
    <xf numFmtId="0" fontId="127" fillId="8" borderId="48" xfId="6" applyFont="1" applyFill="1" applyBorder="1" applyAlignment="1">
      <alignment horizontal="center" wrapText="1"/>
    </xf>
    <xf numFmtId="0" fontId="127" fillId="34" borderId="49" xfId="6" applyFont="1" applyFill="1" applyBorder="1" applyAlignment="1">
      <alignment horizontal="center" wrapText="1"/>
    </xf>
    <xf numFmtId="0" fontId="127" fillId="34" borderId="48" xfId="6" applyFont="1" applyFill="1" applyBorder="1" applyAlignment="1">
      <alignment horizontal="center" wrapText="1"/>
    </xf>
    <xf numFmtId="0" fontId="127" fillId="34" borderId="32" xfId="6" applyFont="1" applyFill="1" applyBorder="1" applyAlignment="1">
      <alignment horizontal="left" wrapText="1"/>
    </xf>
    <xf numFmtId="0" fontId="127" fillId="34" borderId="48" xfId="6" applyFont="1" applyFill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11" fillId="0" borderId="74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53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3" fillId="39" borderId="76" xfId="20" applyFont="1" applyAlignment="1">
      <alignment horizontal="center"/>
    </xf>
    <xf numFmtId="0" fontId="154" fillId="39" borderId="99" xfId="19" applyFont="1" applyBorder="1" applyAlignment="1">
      <alignment horizontal="center"/>
    </xf>
    <xf numFmtId="0" fontId="154" fillId="39" borderId="100" xfId="19" applyFont="1" applyBorder="1" applyAlignment="1">
      <alignment horizontal="center"/>
    </xf>
  </cellXfs>
  <cellStyles count="23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191588330</c:v>
                </c:pt>
                <c:pt idx="1">
                  <c:v>30997235</c:v>
                </c:pt>
                <c:pt idx="2">
                  <c:v>13519038</c:v>
                </c:pt>
                <c:pt idx="3">
                  <c:v>67601821</c:v>
                </c:pt>
                <c:pt idx="4">
                  <c:v>131788654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240125786.9982</c:v>
                </c:pt>
                <c:pt idx="1">
                  <c:v>169262974</c:v>
                </c:pt>
                <c:pt idx="2">
                  <c:v>26106317.001800001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D4">
            <v>72000</v>
          </cell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1197990</v>
          </cell>
        </row>
        <row r="5">
          <cell r="B5">
            <v>735912</v>
          </cell>
        </row>
        <row r="6">
          <cell r="B6">
            <v>462078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10829500</v>
          </cell>
        </row>
        <row r="47">
          <cell r="B47">
            <v>0</v>
          </cell>
        </row>
        <row r="48">
          <cell r="B48">
            <v>10829500</v>
          </cell>
        </row>
        <row r="53">
          <cell r="B53">
            <v>6300000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D22">
            <v>180000</v>
          </cell>
          <cell r="E22">
            <v>0</v>
          </cell>
        </row>
        <row r="23">
          <cell r="B23">
            <v>150000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430000</v>
          </cell>
          <cell r="E25">
            <v>0</v>
          </cell>
        </row>
        <row r="26">
          <cell r="B26">
            <v>100000</v>
          </cell>
        </row>
        <row r="27">
          <cell r="B27">
            <v>330000</v>
          </cell>
        </row>
        <row r="33">
          <cell r="B33">
            <v>0</v>
          </cell>
          <cell r="D33"/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750000</v>
          </cell>
          <cell r="E27">
            <v>0</v>
          </cell>
        </row>
        <row r="28">
          <cell r="B28">
            <v>450000</v>
          </cell>
        </row>
        <row r="29">
          <cell r="B29">
            <v>300000</v>
          </cell>
        </row>
        <row r="35">
          <cell r="B35">
            <v>100000</v>
          </cell>
          <cell r="D35">
            <v>100000</v>
          </cell>
          <cell r="E35"/>
        </row>
        <row r="36">
          <cell r="B36">
            <v>115000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854100</v>
          </cell>
          <cell r="E14">
            <v>70000</v>
          </cell>
        </row>
        <row r="15">
          <cell r="B15">
            <v>504100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1660000</v>
          </cell>
          <cell r="E11">
            <v>0</v>
          </cell>
        </row>
        <row r="12">
          <cell r="B12">
            <v>660000</v>
          </cell>
        </row>
        <row r="13">
          <cell r="B13">
            <v>1000000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550000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0</v>
          </cell>
        </row>
        <row r="16">
          <cell r="B16">
            <v>300000</v>
          </cell>
        </row>
        <row r="21">
          <cell r="B21">
            <v>200000</v>
          </cell>
        </row>
        <row r="22">
          <cell r="B22">
            <v>200000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1500000</v>
          </cell>
          <cell r="E11">
            <v>0</v>
          </cell>
        </row>
        <row r="12">
          <cell r="B12">
            <v>1500000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430000</v>
          </cell>
          <cell r="E4">
            <v>0</v>
          </cell>
        </row>
        <row r="5">
          <cell r="B5">
            <v>350000</v>
          </cell>
        </row>
        <row r="6">
          <cell r="B6">
            <v>4000</v>
          </cell>
        </row>
        <row r="7">
          <cell r="B7">
            <v>76000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1246400</v>
          </cell>
          <cell r="E37">
            <v>0</v>
          </cell>
        </row>
        <row r="38">
          <cell r="B38">
            <v>351000</v>
          </cell>
        </row>
        <row r="39">
          <cell r="B39">
            <v>0</v>
          </cell>
        </row>
        <row r="40">
          <cell r="B40">
            <v>605000</v>
          </cell>
        </row>
        <row r="41">
          <cell r="B41">
            <v>290400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D19">
            <v>40400</v>
          </cell>
          <cell r="E19">
            <v>0</v>
          </cell>
        </row>
        <row r="20">
          <cell r="B20">
            <v>400</v>
          </cell>
        </row>
        <row r="21">
          <cell r="B21">
            <v>40000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18336200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895400</v>
          </cell>
        </row>
        <row r="47">
          <cell r="B47">
            <v>0</v>
          </cell>
        </row>
        <row r="48">
          <cell r="B48">
            <v>822800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/>
        </row>
        <row r="54">
          <cell r="B54">
            <v>300000</v>
          </cell>
        </row>
        <row r="55">
          <cell r="B55">
            <v>0</v>
          </cell>
        </row>
        <row r="56">
          <cell r="B56">
            <v>1900000</v>
          </cell>
        </row>
        <row r="57">
          <cell r="B57">
            <v>400000</v>
          </cell>
        </row>
        <row r="58">
          <cell r="B58">
            <v>340000</v>
          </cell>
        </row>
        <row r="59">
          <cell r="B59">
            <v>0</v>
          </cell>
        </row>
        <row r="60">
          <cell r="B60">
            <v>3900000</v>
          </cell>
        </row>
        <row r="61">
          <cell r="B61">
            <v>59000</v>
          </cell>
        </row>
        <row r="62">
          <cell r="B62">
            <v>530000</v>
          </cell>
        </row>
        <row r="63">
          <cell r="B63">
            <v>0</v>
          </cell>
        </row>
        <row r="64">
          <cell r="B64"/>
        </row>
        <row r="65">
          <cell r="B65">
            <v>1400000</v>
          </cell>
        </row>
        <row r="66">
          <cell r="B66">
            <v>1300000</v>
          </cell>
        </row>
        <row r="67">
          <cell r="B67">
            <v>1089000</v>
          </cell>
          <cell r="E67"/>
        </row>
        <row r="69">
          <cell r="B69">
            <v>0</v>
          </cell>
        </row>
        <row r="70">
          <cell r="D70">
            <v>500000</v>
          </cell>
        </row>
        <row r="71">
          <cell r="B71">
            <v>250000</v>
          </cell>
        </row>
        <row r="72">
          <cell r="B72">
            <v>2000000</v>
          </cell>
        </row>
        <row r="73">
          <cell r="B73">
            <v>500000</v>
          </cell>
        </row>
        <row r="78">
          <cell r="B78">
            <v>540000</v>
          </cell>
        </row>
        <row r="80">
          <cell r="B80">
            <v>240000</v>
          </cell>
        </row>
        <row r="81">
          <cell r="D81">
            <v>300000</v>
          </cell>
        </row>
      </sheetData>
      <sheetData sheetId="27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3320000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14">
          <cell r="B14">
            <v>2900000</v>
          </cell>
        </row>
        <row r="15">
          <cell r="B15">
            <v>270000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9200000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  <row r="43">
          <cell r="B43">
            <v>5800000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9835899</v>
          </cell>
        </row>
        <row r="5">
          <cell r="B5">
            <v>1000000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9835899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12950000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1500000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3700000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6000000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7958080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10000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42914703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C12">
            <v>30398512</v>
          </cell>
          <cell r="D12">
            <v>7936191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34195200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14000000</v>
          </cell>
          <cell r="D53">
            <v>20145200</v>
          </cell>
        </row>
        <row r="54">
          <cell r="B54">
            <v>0</v>
          </cell>
        </row>
        <row r="60">
          <cell r="C60">
            <v>14000000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1"/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/>
      <sheetData sheetId="1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>
            <v>0</v>
          </cell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2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/>
        </row>
      </sheetData>
      <sheetData sheetId="3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23600000</v>
          </cell>
        </row>
        <row r="86">
          <cell r="B86">
            <v>0</v>
          </cell>
        </row>
        <row r="87">
          <cell r="B87">
            <v>23600000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4"/>
      <sheetData sheetId="5">
        <row r="4">
          <cell r="B4">
            <v>74053.766499999998</v>
          </cell>
        </row>
      </sheetData>
      <sheetData sheetId="6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7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8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9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10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1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2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>
        <row r="4">
          <cell r="B4">
            <v>10000</v>
          </cell>
        </row>
      </sheetData>
      <sheetData sheetId="15">
        <row r="4">
          <cell r="B4">
            <v>15000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9">
        <row r="4">
          <cell r="B4">
            <v>0</v>
          </cell>
        </row>
        <row r="11">
          <cell r="B11">
            <v>1200000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1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2">
        <row r="4">
          <cell r="B4">
            <v>650000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4274000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589056</v>
          </cell>
        </row>
        <row r="31">
          <cell r="B31">
            <v>250000</v>
          </cell>
        </row>
        <row r="32">
          <cell r="B32">
            <v>339056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101500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35000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52420</v>
          </cell>
        </row>
        <row r="20">
          <cell r="D20">
            <v>1354000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1104000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M244"/>
  <sheetViews>
    <sheetView zoomScale="81" zoomScaleNormal="81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C43" sqref="C43"/>
    </sheetView>
  </sheetViews>
  <sheetFormatPr defaultColWidth="9" defaultRowHeight="14.65" outlineLevelRow="1" outlineLevelCol="1"/>
  <cols>
    <col min="1" max="1" width="10.59765625" style="2175" customWidth="1"/>
    <col min="2" max="2" width="81.265625" style="2175" customWidth="1"/>
    <col min="3" max="3" width="8.59765625" style="2489" bestFit="1" customWidth="1"/>
    <col min="4" max="4" width="16" style="2216" hidden="1" customWidth="1"/>
    <col min="5" max="5" width="15.73046875" style="2216" hidden="1" customWidth="1"/>
    <col min="6" max="7" width="15" style="2216" hidden="1" customWidth="1"/>
    <col min="8" max="9" width="19.3984375" style="2216" customWidth="1"/>
    <col min="10" max="10" width="16" style="2216" customWidth="1"/>
    <col min="11" max="11" width="14.265625" style="2237" bestFit="1" customWidth="1" outlineLevel="1"/>
    <col min="12" max="12" width="12.265625" style="2175" bestFit="1" customWidth="1"/>
    <col min="13" max="16384" width="9" style="2175"/>
  </cols>
  <sheetData>
    <row r="1" spans="1:11">
      <c r="A1" s="2333"/>
      <c r="B1" s="2333"/>
      <c r="C1" s="2334"/>
      <c r="D1" s="2335"/>
      <c r="E1" s="2335"/>
      <c r="F1" s="2335"/>
      <c r="G1" s="2335"/>
      <c r="H1" s="2335"/>
      <c r="I1" s="2335"/>
      <c r="J1" s="2335"/>
      <c r="K1" s="2336"/>
    </row>
    <row r="2" spans="1:11">
      <c r="A2" s="2337" t="s">
        <v>2371</v>
      </c>
      <c r="B2" s="2337"/>
      <c r="C2" s="2338"/>
      <c r="D2" s="2339"/>
      <c r="E2" s="2339"/>
      <c r="F2" s="2339"/>
      <c r="G2" s="2339"/>
      <c r="H2" s="2339"/>
      <c r="I2" s="2339"/>
      <c r="J2" s="2339"/>
      <c r="K2" s="2340"/>
    </row>
    <row r="3" spans="1:11">
      <c r="A3" s="2341"/>
      <c r="B3" s="2341"/>
      <c r="C3" s="2338"/>
      <c r="D3" s="2342"/>
      <c r="E3" s="2342"/>
      <c r="F3" s="2342"/>
      <c r="G3" s="2342"/>
      <c r="H3" s="2342"/>
      <c r="I3" s="2342"/>
      <c r="J3" s="2342"/>
      <c r="K3" s="2343"/>
    </row>
    <row r="4" spans="1:11" s="2242" customFormat="1" ht="29.65" thickBot="1">
      <c r="A4" s="2344" t="s">
        <v>220</v>
      </c>
      <c r="B4" s="2345"/>
      <c r="C4" s="2346" t="s">
        <v>63</v>
      </c>
      <c r="D4" s="2347" t="s">
        <v>2128</v>
      </c>
      <c r="E4" s="2347" t="s">
        <v>2372</v>
      </c>
      <c r="F4" s="2347" t="s">
        <v>1953</v>
      </c>
      <c r="G4" s="2347" t="s">
        <v>2687</v>
      </c>
      <c r="H4" s="2347" t="s">
        <v>2810</v>
      </c>
      <c r="I4" s="2347" t="s">
        <v>2128</v>
      </c>
      <c r="J4" s="2347" t="s">
        <v>2878</v>
      </c>
      <c r="K4" s="2348" t="s">
        <v>5</v>
      </c>
    </row>
    <row r="5" spans="1:11" ht="12" customHeight="1" thickBot="1">
      <c r="A5" s="2170"/>
      <c r="B5" s="2170"/>
      <c r="C5" s="2349"/>
      <c r="D5" s="2350"/>
      <c r="E5" s="2350"/>
      <c r="F5" s="2350"/>
      <c r="G5" s="2350"/>
      <c r="H5" s="2350"/>
      <c r="I5" s="2350"/>
      <c r="J5" s="2350"/>
      <c r="K5" s="2351"/>
    </row>
    <row r="6" spans="1:11" s="2242" customFormat="1" ht="15" customHeight="1" thickBot="1">
      <c r="A6" s="2352" t="s">
        <v>221</v>
      </c>
      <c r="B6" s="2353" t="s">
        <v>222</v>
      </c>
      <c r="C6" s="2354"/>
      <c r="D6" s="2355">
        <v>170345711</v>
      </c>
      <c r="E6" s="2355">
        <v>175911229</v>
      </c>
      <c r="F6" s="2355">
        <v>191588330</v>
      </c>
      <c r="G6" s="2355">
        <v>191588330</v>
      </c>
      <c r="H6" s="2355">
        <v>191588330</v>
      </c>
      <c r="I6" s="2355">
        <v>191588330</v>
      </c>
      <c r="J6" s="2356">
        <f>SUM(J7:J27)</f>
        <v>191588330</v>
      </c>
      <c r="K6" s="2357">
        <f>+J6-I6</f>
        <v>0</v>
      </c>
    </row>
    <row r="7" spans="1:11" s="2300" customFormat="1" ht="18" customHeight="1" outlineLevel="1" thickTop="1">
      <c r="A7" s="2358"/>
      <c r="B7" s="2359" t="s">
        <v>1150</v>
      </c>
      <c r="C7" s="2360">
        <v>1111</v>
      </c>
      <c r="D7" s="2211">
        <v>24855312</v>
      </c>
      <c r="E7" s="2211">
        <v>27863123</v>
      </c>
      <c r="F7" s="2211">
        <v>27863123</v>
      </c>
      <c r="G7" s="2211">
        <v>27863123</v>
      </c>
      <c r="H7" s="2211">
        <v>27863123</v>
      </c>
      <c r="I7" s="2211">
        <v>27863123</v>
      </c>
      <c r="J7" s="2361">
        <f>'Příjmy kapitol celkem'!K7</f>
        <v>27863123</v>
      </c>
      <c r="K7" s="2362">
        <f t="shared" ref="K7:K70" si="0">+J7-I7</f>
        <v>0</v>
      </c>
    </row>
    <row r="8" spans="1:11" s="2300" customFormat="1" ht="18" customHeight="1" outlineLevel="1">
      <c r="A8" s="2358"/>
      <c r="B8" s="2363" t="s">
        <v>1152</v>
      </c>
      <c r="C8" s="2364">
        <v>1112</v>
      </c>
      <c r="D8" s="2221">
        <v>1716548</v>
      </c>
      <c r="E8" s="2221">
        <v>2369138</v>
      </c>
      <c r="F8" s="2221">
        <v>2369138</v>
      </c>
      <c r="G8" s="2221">
        <v>2369138</v>
      </c>
      <c r="H8" s="2221">
        <v>2369138</v>
      </c>
      <c r="I8" s="2221">
        <v>2369138</v>
      </c>
      <c r="J8" s="2365">
        <f>'Příjmy kapitol celkem'!K8</f>
        <v>2369138</v>
      </c>
      <c r="K8" s="2362">
        <f t="shared" si="0"/>
        <v>0</v>
      </c>
    </row>
    <row r="9" spans="1:11" s="2300" customFormat="1" ht="18" customHeight="1" outlineLevel="1">
      <c r="A9" s="2358"/>
      <c r="B9" s="2363" t="s">
        <v>1151</v>
      </c>
      <c r="C9" s="2364">
        <v>1113</v>
      </c>
      <c r="D9" s="2221">
        <v>4953190</v>
      </c>
      <c r="E9" s="2221">
        <v>4995791</v>
      </c>
      <c r="F9" s="2221">
        <v>4995791</v>
      </c>
      <c r="G9" s="2221">
        <v>4995791</v>
      </c>
      <c r="H9" s="2221">
        <v>4995791</v>
      </c>
      <c r="I9" s="2221">
        <v>4995791</v>
      </c>
      <c r="J9" s="2365">
        <f>'Příjmy kapitol celkem'!K9</f>
        <v>4995791</v>
      </c>
      <c r="K9" s="2362">
        <f t="shared" si="0"/>
        <v>0</v>
      </c>
    </row>
    <row r="10" spans="1:11" s="2300" customFormat="1" ht="18" customHeight="1" outlineLevel="1">
      <c r="A10" s="2358"/>
      <c r="B10" s="2363" t="s">
        <v>1153</v>
      </c>
      <c r="C10" s="2364">
        <v>1111</v>
      </c>
      <c r="D10" s="2221">
        <v>771800</v>
      </c>
      <c r="E10" s="2221">
        <v>1094834</v>
      </c>
      <c r="F10" s="2221">
        <v>1094834</v>
      </c>
      <c r="G10" s="2221">
        <v>1094834</v>
      </c>
      <c r="H10" s="2221">
        <v>1094834</v>
      </c>
      <c r="I10" s="2221">
        <v>1094834</v>
      </c>
      <c r="J10" s="2365">
        <f>'Příjmy kapitol celkem'!K10</f>
        <v>1094834</v>
      </c>
      <c r="K10" s="2362">
        <f t="shared" si="0"/>
        <v>0</v>
      </c>
    </row>
    <row r="11" spans="1:11" s="2300" customFormat="1" ht="18" hidden="1" customHeight="1" outlineLevel="1">
      <c r="A11" s="2358"/>
      <c r="B11" s="2363" t="s">
        <v>2355</v>
      </c>
      <c r="C11" s="2364">
        <v>1122</v>
      </c>
      <c r="D11" s="2221">
        <v>2118860</v>
      </c>
      <c r="E11" s="2221"/>
      <c r="F11" s="2221"/>
      <c r="G11" s="2221"/>
      <c r="H11" s="2221"/>
      <c r="I11" s="2221"/>
      <c r="J11" s="2365"/>
      <c r="K11" s="2362">
        <f t="shared" si="0"/>
        <v>0</v>
      </c>
    </row>
    <row r="12" spans="1:11" s="2300" customFormat="1" ht="18" customHeight="1" outlineLevel="1">
      <c r="A12" s="2358"/>
      <c r="B12" s="2363" t="s">
        <v>15</v>
      </c>
      <c r="C12" s="2364">
        <v>1121</v>
      </c>
      <c r="D12" s="2221">
        <v>35922921</v>
      </c>
      <c r="E12" s="2221">
        <v>39502801</v>
      </c>
      <c r="F12" s="2221">
        <v>39502801</v>
      </c>
      <c r="G12" s="2221">
        <v>39502801</v>
      </c>
      <c r="H12" s="2221">
        <v>39502801</v>
      </c>
      <c r="I12" s="2221">
        <v>39502801</v>
      </c>
      <c r="J12" s="2365">
        <f>'Příjmy kapitol celkem'!K12</f>
        <v>39502801</v>
      </c>
      <c r="K12" s="2362">
        <f t="shared" si="0"/>
        <v>0</v>
      </c>
    </row>
    <row r="13" spans="1:11" s="2300" customFormat="1" ht="18" hidden="1" customHeight="1" outlineLevel="1">
      <c r="A13" s="2358"/>
      <c r="B13" s="2363" t="s">
        <v>16</v>
      </c>
      <c r="C13" s="2364">
        <v>1122</v>
      </c>
      <c r="D13" s="2221">
        <v>80505412</v>
      </c>
      <c r="E13" s="2221"/>
      <c r="F13" s="2221"/>
      <c r="G13" s="2221"/>
      <c r="H13" s="2221"/>
      <c r="I13" s="2221"/>
      <c r="J13" s="2365"/>
      <c r="K13" s="2362">
        <f t="shared" si="0"/>
        <v>0</v>
      </c>
    </row>
    <row r="14" spans="1:11" s="2300" customFormat="1" ht="18" customHeight="1" outlineLevel="1">
      <c r="A14" s="2358"/>
      <c r="B14" s="2363" t="s">
        <v>16</v>
      </c>
      <c r="C14" s="2364">
        <v>1211</v>
      </c>
      <c r="D14" s="2221">
        <v>80505412</v>
      </c>
      <c r="E14" s="2221">
        <v>77563518</v>
      </c>
      <c r="F14" s="2221">
        <v>77563518</v>
      </c>
      <c r="G14" s="2221">
        <v>77563518</v>
      </c>
      <c r="H14" s="2221">
        <v>77563518</v>
      </c>
      <c r="I14" s="2221">
        <v>77563518</v>
      </c>
      <c r="J14" s="2365">
        <f>'Příjmy kapitol celkem'!K13</f>
        <v>77563518</v>
      </c>
      <c r="K14" s="2362">
        <f t="shared" si="0"/>
        <v>0</v>
      </c>
    </row>
    <row r="15" spans="1:11" ht="18" customHeight="1" outlineLevel="1">
      <c r="A15" s="2366"/>
      <c r="B15" s="2367" t="s">
        <v>1951</v>
      </c>
      <c r="C15" s="2368" t="s">
        <v>17</v>
      </c>
      <c r="D15" s="2283">
        <v>26000</v>
      </c>
      <c r="E15" s="2283">
        <v>26000</v>
      </c>
      <c r="F15" s="2283">
        <v>26000</v>
      </c>
      <c r="G15" s="2283">
        <v>26000</v>
      </c>
      <c r="H15" s="2283">
        <v>26000</v>
      </c>
      <c r="I15" s="2283">
        <v>26000</v>
      </c>
      <c r="J15" s="2369">
        <f>'Příjmy kapitol celkem'!K14</f>
        <v>26000</v>
      </c>
      <c r="K15" s="2362">
        <f t="shared" si="0"/>
        <v>0</v>
      </c>
    </row>
    <row r="16" spans="1:11" s="2375" customFormat="1" ht="18" customHeight="1" outlineLevel="1">
      <c r="A16" s="2370"/>
      <c r="B16" s="2371" t="s">
        <v>20</v>
      </c>
      <c r="C16" s="2372" t="s">
        <v>19</v>
      </c>
      <c r="D16" s="2373">
        <v>7326528</v>
      </c>
      <c r="E16" s="2373">
        <v>7924224</v>
      </c>
      <c r="F16" s="2373">
        <v>7924224</v>
      </c>
      <c r="G16" s="2373">
        <v>7924224</v>
      </c>
      <c r="H16" s="2373">
        <v>7924224</v>
      </c>
      <c r="I16" s="2373">
        <v>7924224</v>
      </c>
      <c r="J16" s="2374">
        <f>'Příjmy kapitol celkem'!K15</f>
        <v>7924224</v>
      </c>
      <c r="K16" s="2362">
        <f t="shared" si="0"/>
        <v>0</v>
      </c>
    </row>
    <row r="17" spans="1:11" ht="18" customHeight="1" outlineLevel="1">
      <c r="A17" s="2366"/>
      <c r="B17" s="2367" t="s">
        <v>21</v>
      </c>
      <c r="C17" s="2368">
        <v>1341</v>
      </c>
      <c r="D17" s="2283">
        <v>260000</v>
      </c>
      <c r="E17" s="2283">
        <v>260000</v>
      </c>
      <c r="F17" s="2283">
        <v>260000</v>
      </c>
      <c r="G17" s="2283">
        <v>260000</v>
      </c>
      <c r="H17" s="2283">
        <v>260000</v>
      </c>
      <c r="I17" s="2283">
        <v>260000</v>
      </c>
      <c r="J17" s="2369">
        <f>'Příjmy kapitol celkem'!K16</f>
        <v>260000</v>
      </c>
      <c r="K17" s="2362">
        <f t="shared" si="0"/>
        <v>0</v>
      </c>
    </row>
    <row r="18" spans="1:11" ht="18" customHeight="1" outlineLevel="1">
      <c r="A18" s="2366"/>
      <c r="B18" s="2367" t="s">
        <v>22</v>
      </c>
      <c r="C18" s="2368">
        <v>1343</v>
      </c>
      <c r="D18" s="2283">
        <v>75000</v>
      </c>
      <c r="E18" s="2283">
        <v>75000</v>
      </c>
      <c r="F18" s="2283">
        <v>75000</v>
      </c>
      <c r="G18" s="2283">
        <v>75000</v>
      </c>
      <c r="H18" s="2283">
        <v>75000</v>
      </c>
      <c r="I18" s="2283">
        <v>75000</v>
      </c>
      <c r="J18" s="2369">
        <f>'Příjmy kapitol celkem'!K17</f>
        <v>75000</v>
      </c>
      <c r="K18" s="2362">
        <f t="shared" si="0"/>
        <v>0</v>
      </c>
    </row>
    <row r="19" spans="1:11" ht="18" customHeight="1" outlineLevel="1">
      <c r="A19" s="2366"/>
      <c r="B19" s="2367" t="s">
        <v>23</v>
      </c>
      <c r="C19" s="2368">
        <v>1344</v>
      </c>
      <c r="D19" s="2283">
        <v>3000</v>
      </c>
      <c r="E19" s="2283">
        <v>3000</v>
      </c>
      <c r="F19" s="2283">
        <v>3000</v>
      </c>
      <c r="G19" s="2283">
        <v>3000</v>
      </c>
      <c r="H19" s="2283">
        <v>3000</v>
      </c>
      <c r="I19" s="2283">
        <v>3000</v>
      </c>
      <c r="J19" s="2369">
        <f>'Příjmy kapitol celkem'!K18</f>
        <v>3000</v>
      </c>
      <c r="K19" s="2362">
        <f t="shared" si="0"/>
        <v>0</v>
      </c>
    </row>
    <row r="20" spans="1:11" ht="18" customHeight="1" outlineLevel="1">
      <c r="A20" s="2366"/>
      <c r="B20" s="2367" t="s">
        <v>24</v>
      </c>
      <c r="C20" s="2368">
        <v>1345</v>
      </c>
      <c r="D20" s="2283">
        <v>20000</v>
      </c>
      <c r="E20" s="2283">
        <v>20000</v>
      </c>
      <c r="F20" s="2283">
        <v>20000</v>
      </c>
      <c r="G20" s="2283">
        <v>20000</v>
      </c>
      <c r="H20" s="2283">
        <v>20000</v>
      </c>
      <c r="I20" s="2283">
        <v>20000</v>
      </c>
      <c r="J20" s="2369">
        <f>'Příjmy kapitol celkem'!K19</f>
        <v>20000</v>
      </c>
      <c r="K20" s="2362">
        <f t="shared" si="0"/>
        <v>0</v>
      </c>
    </row>
    <row r="21" spans="1:11" ht="18" hidden="1" customHeight="1" outlineLevel="1">
      <c r="A21" s="2366"/>
      <c r="B21" s="2367" t="s">
        <v>25</v>
      </c>
      <c r="C21" s="2368">
        <v>1347</v>
      </c>
      <c r="D21" s="2283">
        <v>0</v>
      </c>
      <c r="E21" s="2283">
        <v>0</v>
      </c>
      <c r="F21" s="2283">
        <v>0</v>
      </c>
      <c r="G21" s="2283">
        <v>0</v>
      </c>
      <c r="H21" s="2283">
        <v>0</v>
      </c>
      <c r="I21" s="2283">
        <v>0</v>
      </c>
      <c r="J21" s="2369">
        <f>'Příjmy kapitol celkem'!K20</f>
        <v>0</v>
      </c>
      <c r="K21" s="2362">
        <f t="shared" si="0"/>
        <v>0</v>
      </c>
    </row>
    <row r="22" spans="1:11" ht="18" customHeight="1" outlineLevel="1">
      <c r="A22" s="2366"/>
      <c r="B22" s="2367" t="s">
        <v>27</v>
      </c>
      <c r="C22" s="2368" t="s">
        <v>26</v>
      </c>
      <c r="D22" s="2283">
        <v>2500000</v>
      </c>
      <c r="E22" s="2283">
        <v>2520000</v>
      </c>
      <c r="F22" s="2283">
        <v>2520000</v>
      </c>
      <c r="G22" s="2283">
        <v>2520000</v>
      </c>
      <c r="H22" s="2283">
        <v>2520000</v>
      </c>
      <c r="I22" s="2283">
        <v>2520000</v>
      </c>
      <c r="J22" s="2369">
        <f>'Příjmy kapitol celkem'!K21</f>
        <v>2520000</v>
      </c>
      <c r="K22" s="2362">
        <f t="shared" si="0"/>
        <v>0</v>
      </c>
    </row>
    <row r="23" spans="1:11" s="2375" customFormat="1" outlineLevel="1">
      <c r="A23" s="2370"/>
      <c r="B23" s="2376" t="s">
        <v>480</v>
      </c>
      <c r="C23" s="2368" t="s">
        <v>26</v>
      </c>
      <c r="D23" s="2283">
        <v>5000000</v>
      </c>
      <c r="E23" s="2283">
        <v>0</v>
      </c>
      <c r="F23" s="2283">
        <v>13080000</v>
      </c>
      <c r="G23" s="2283">
        <v>13080000</v>
      </c>
      <c r="H23" s="2283">
        <v>13080000</v>
      </c>
      <c r="I23" s="2283">
        <v>13080000</v>
      </c>
      <c r="J23" s="2369">
        <f>'Příjmy kapitol celkem'!K22</f>
        <v>13080000</v>
      </c>
      <c r="K23" s="2362">
        <f t="shared" si="0"/>
        <v>0</v>
      </c>
    </row>
    <row r="24" spans="1:11" s="2375" customFormat="1" outlineLevel="1">
      <c r="A24" s="2370"/>
      <c r="B24" s="2367" t="s">
        <v>30</v>
      </c>
      <c r="C24" s="2368" t="s">
        <v>29</v>
      </c>
      <c r="D24" s="2283">
        <v>1500000</v>
      </c>
      <c r="E24" s="2283">
        <v>500000</v>
      </c>
      <c r="F24" s="2283">
        <v>500000</v>
      </c>
      <c r="G24" s="2283">
        <v>500000</v>
      </c>
      <c r="H24" s="2283">
        <v>500000</v>
      </c>
      <c r="I24" s="2283">
        <v>500000</v>
      </c>
      <c r="J24" s="2369">
        <f>'Příjmy kapitol celkem'!K25</f>
        <v>500000</v>
      </c>
      <c r="K24" s="2362">
        <f t="shared" si="0"/>
        <v>0</v>
      </c>
    </row>
    <row r="25" spans="1:11" ht="18" hidden="1" customHeight="1" outlineLevel="1">
      <c r="A25" s="2366"/>
      <c r="B25" s="2367" t="s">
        <v>28</v>
      </c>
      <c r="C25" s="2368">
        <v>1381</v>
      </c>
      <c r="D25" s="2283">
        <v>1000000</v>
      </c>
      <c r="E25" s="2283">
        <v>0</v>
      </c>
      <c r="F25" s="2283">
        <v>0</v>
      </c>
      <c r="G25" s="2283">
        <v>0</v>
      </c>
      <c r="H25" s="2283">
        <v>0</v>
      </c>
      <c r="I25" s="2283">
        <v>0</v>
      </c>
      <c r="J25" s="2369">
        <f>'Příjmy kapitol celkem'!K24</f>
        <v>0</v>
      </c>
      <c r="K25" s="2362">
        <f t="shared" si="0"/>
        <v>0</v>
      </c>
    </row>
    <row r="26" spans="1:11" ht="18" hidden="1" customHeight="1" outlineLevel="1">
      <c r="A26" s="2366"/>
      <c r="B26" s="2367" t="s">
        <v>482</v>
      </c>
      <c r="C26" s="2368">
        <v>1385</v>
      </c>
      <c r="D26" s="2283">
        <v>3100000</v>
      </c>
      <c r="E26" s="2283">
        <v>0</v>
      </c>
      <c r="F26" s="2283">
        <v>0</v>
      </c>
      <c r="G26" s="2283">
        <v>0</v>
      </c>
      <c r="H26" s="2283">
        <v>0</v>
      </c>
      <c r="I26" s="2283">
        <v>0</v>
      </c>
      <c r="J26" s="2369">
        <f>'Příjmy kapitol celkem'!K23</f>
        <v>0</v>
      </c>
      <c r="K26" s="2362">
        <f t="shared" si="0"/>
        <v>0</v>
      </c>
    </row>
    <row r="27" spans="1:11" s="2375" customFormat="1" ht="18" customHeight="1" outlineLevel="1">
      <c r="A27" s="2370"/>
      <c r="B27" s="2363" t="s">
        <v>31</v>
      </c>
      <c r="C27" s="2364">
        <v>1511</v>
      </c>
      <c r="D27" s="2221">
        <v>7810000</v>
      </c>
      <c r="E27" s="2221">
        <v>11193800</v>
      </c>
      <c r="F27" s="2221">
        <v>13790901</v>
      </c>
      <c r="G27" s="2221">
        <v>13790901</v>
      </c>
      <c r="H27" s="2221">
        <v>13790901</v>
      </c>
      <c r="I27" s="2221">
        <v>13790901</v>
      </c>
      <c r="J27" s="2365">
        <f>'Příjmy kapitol celkem'!K26</f>
        <v>13790901</v>
      </c>
      <c r="K27" s="2362">
        <f t="shared" si="0"/>
        <v>0</v>
      </c>
    </row>
    <row r="28" spans="1:11" s="2375" customFormat="1" ht="18" hidden="1" customHeight="1" outlineLevel="1">
      <c r="A28" s="2370"/>
      <c r="B28" s="2363"/>
      <c r="C28" s="2377"/>
      <c r="D28" s="2252"/>
      <c r="E28" s="2252"/>
      <c r="F28" s="2252"/>
      <c r="G28" s="2252"/>
      <c r="H28" s="2252"/>
      <c r="I28" s="2252"/>
      <c r="J28" s="2378"/>
      <c r="K28" s="2362">
        <f t="shared" si="0"/>
        <v>0</v>
      </c>
    </row>
    <row r="29" spans="1:11" ht="13.5" hidden="1" customHeight="1">
      <c r="A29" s="2366"/>
      <c r="B29" s="2379"/>
      <c r="C29" s="2380"/>
      <c r="D29" s="2381"/>
      <c r="E29" s="2381"/>
      <c r="F29" s="2381"/>
      <c r="G29" s="2381"/>
      <c r="H29" s="2381"/>
      <c r="I29" s="2381"/>
      <c r="J29" s="2382"/>
      <c r="K29" s="2362">
        <f t="shared" si="0"/>
        <v>0</v>
      </c>
    </row>
    <row r="30" spans="1:11" s="2242" customFormat="1" ht="15" thickBot="1">
      <c r="A30" s="2383" t="s">
        <v>223</v>
      </c>
      <c r="B30" s="2384" t="s">
        <v>224</v>
      </c>
      <c r="C30" s="2385"/>
      <c r="D30" s="2386">
        <v>28952967</v>
      </c>
      <c r="E30" s="2386">
        <v>28231954</v>
      </c>
      <c r="F30" s="2386">
        <v>30465922</v>
      </c>
      <c r="G30" s="2386">
        <v>30743135</v>
      </c>
      <c r="H30" s="2386">
        <v>30743135</v>
      </c>
      <c r="I30" s="2386">
        <v>30997235</v>
      </c>
      <c r="J30" s="2387">
        <f>SUM(J31:J78)</f>
        <v>30997235</v>
      </c>
      <c r="K30" s="2362">
        <f t="shared" si="0"/>
        <v>0</v>
      </c>
    </row>
    <row r="31" spans="1:11" ht="16.5" hidden="1" customHeight="1" outlineLevel="1" thickTop="1">
      <c r="A31" s="2366"/>
      <c r="B31" s="2388" t="s">
        <v>33</v>
      </c>
      <c r="C31" s="2389" t="s">
        <v>32</v>
      </c>
      <c r="D31" s="2390">
        <v>0</v>
      </c>
      <c r="E31" s="2390">
        <v>0</v>
      </c>
      <c r="F31" s="2390">
        <v>0</v>
      </c>
      <c r="G31" s="2390">
        <v>0</v>
      </c>
      <c r="H31" s="2390">
        <v>0</v>
      </c>
      <c r="I31" s="2390">
        <v>0</v>
      </c>
      <c r="J31" s="2391">
        <f>'Příjmy kapitol celkem'!K27</f>
        <v>0</v>
      </c>
      <c r="K31" s="2362">
        <f t="shared" si="0"/>
        <v>0</v>
      </c>
    </row>
    <row r="32" spans="1:11" ht="17.25" customHeight="1" outlineLevel="1" thickTop="1">
      <c r="A32" s="2366"/>
      <c r="B32" s="2392" t="s">
        <v>1537</v>
      </c>
      <c r="C32" s="2393">
        <v>2111</v>
      </c>
      <c r="D32" s="2394">
        <v>21950</v>
      </c>
      <c r="E32" s="2394">
        <v>21950</v>
      </c>
      <c r="F32" s="2394">
        <v>21950</v>
      </c>
      <c r="G32" s="2394">
        <v>21950</v>
      </c>
      <c r="H32" s="2394">
        <v>21950</v>
      </c>
      <c r="I32" s="2394">
        <v>21950</v>
      </c>
      <c r="J32" s="2395">
        <f>'Příjmy kapitol celkem'!K32</f>
        <v>21950</v>
      </c>
      <c r="K32" s="2362">
        <f t="shared" si="0"/>
        <v>0</v>
      </c>
    </row>
    <row r="33" spans="1:11" ht="17.25" hidden="1" customHeight="1" outlineLevel="1">
      <c r="A33" s="2366"/>
      <c r="B33" s="2392" t="s">
        <v>1538</v>
      </c>
      <c r="C33" s="2393">
        <v>2322</v>
      </c>
      <c r="D33" s="2394">
        <v>0</v>
      </c>
      <c r="E33" s="2394">
        <v>0</v>
      </c>
      <c r="F33" s="2394">
        <v>0</v>
      </c>
      <c r="G33" s="2394">
        <v>0</v>
      </c>
      <c r="H33" s="2394">
        <v>0</v>
      </c>
      <c r="I33" s="2394">
        <v>0</v>
      </c>
      <c r="J33" s="2395">
        <f>'Příjmy kapitol celkem'!K33</f>
        <v>0</v>
      </c>
      <c r="K33" s="2362">
        <f t="shared" si="0"/>
        <v>0</v>
      </c>
    </row>
    <row r="34" spans="1:11" s="2300" customFormat="1" ht="17.25" customHeight="1" outlineLevel="1">
      <c r="A34" s="2358"/>
      <c r="B34" s="2363" t="s">
        <v>41</v>
      </c>
      <c r="C34" s="2364" t="s">
        <v>40</v>
      </c>
      <c r="D34" s="2221">
        <v>4806120</v>
      </c>
      <c r="E34" s="2221">
        <v>4806120</v>
      </c>
      <c r="F34" s="2221">
        <v>4806120</v>
      </c>
      <c r="G34" s="2221">
        <v>4806120</v>
      </c>
      <c r="H34" s="2221">
        <v>4806120</v>
      </c>
      <c r="I34" s="2221">
        <v>4806120</v>
      </c>
      <c r="J34" s="2365">
        <f>'Příjmy kapitol celkem'!K34</f>
        <v>4806120</v>
      </c>
      <c r="K34" s="2362">
        <f t="shared" si="0"/>
        <v>0</v>
      </c>
    </row>
    <row r="35" spans="1:11" s="2300" customFormat="1" ht="17.25" customHeight="1" outlineLevel="1">
      <c r="A35" s="2358"/>
      <c r="B35" s="2363" t="s">
        <v>43</v>
      </c>
      <c r="C35" s="2364" t="s">
        <v>40</v>
      </c>
      <c r="D35" s="2221">
        <v>8646660</v>
      </c>
      <c r="E35" s="2221">
        <v>8646660</v>
      </c>
      <c r="F35" s="2221">
        <v>8646660</v>
      </c>
      <c r="G35" s="2221">
        <v>8646660</v>
      </c>
      <c r="H35" s="2221">
        <v>8646660</v>
      </c>
      <c r="I35" s="2221">
        <v>8646660</v>
      </c>
      <c r="J35" s="2365">
        <f>'Příjmy kapitol celkem'!K35</f>
        <v>8646660</v>
      </c>
      <c r="K35" s="2362">
        <f t="shared" si="0"/>
        <v>0</v>
      </c>
    </row>
    <row r="36" spans="1:11" ht="17.25" customHeight="1" outlineLevel="1">
      <c r="A36" s="2366"/>
      <c r="B36" s="2392" t="s">
        <v>45</v>
      </c>
      <c r="C36" s="2393" t="s">
        <v>44</v>
      </c>
      <c r="D36" s="2283">
        <v>50000</v>
      </c>
      <c r="E36" s="2283">
        <v>50000</v>
      </c>
      <c r="F36" s="2283">
        <v>50000</v>
      </c>
      <c r="G36" s="2283">
        <v>50000</v>
      </c>
      <c r="H36" s="2283">
        <v>50000</v>
      </c>
      <c r="I36" s="2283">
        <v>50000</v>
      </c>
      <c r="J36" s="2395">
        <f>'Příjmy kapitol celkem'!K36</f>
        <v>50000</v>
      </c>
      <c r="K36" s="2362">
        <f t="shared" si="0"/>
        <v>0</v>
      </c>
    </row>
    <row r="37" spans="1:11" ht="17.25" customHeight="1" outlineLevel="1">
      <c r="A37" s="2366"/>
      <c r="B37" s="2392" t="s">
        <v>46</v>
      </c>
      <c r="C37" s="2393" t="s">
        <v>40</v>
      </c>
      <c r="D37" s="2394">
        <v>249000</v>
      </c>
      <c r="E37" s="2394">
        <v>249000</v>
      </c>
      <c r="F37" s="2394">
        <v>249000</v>
      </c>
      <c r="G37" s="2394">
        <v>249000</v>
      </c>
      <c r="H37" s="2394">
        <v>249000</v>
      </c>
      <c r="I37" s="2394">
        <v>249000</v>
      </c>
      <c r="J37" s="2395">
        <f>'Příjmy kapitol celkem'!K37</f>
        <v>249000</v>
      </c>
      <c r="K37" s="2362">
        <f t="shared" si="0"/>
        <v>0</v>
      </c>
    </row>
    <row r="38" spans="1:11" ht="17.25" customHeight="1" outlineLevel="1">
      <c r="A38" s="2366"/>
      <c r="B38" s="2392" t="s">
        <v>47</v>
      </c>
      <c r="C38" s="2393">
        <v>2111</v>
      </c>
      <c r="D38" s="2394">
        <v>50000</v>
      </c>
      <c r="E38" s="2394">
        <v>20000</v>
      </c>
      <c r="F38" s="2394">
        <v>20000</v>
      </c>
      <c r="G38" s="2394">
        <v>20000</v>
      </c>
      <c r="H38" s="2394">
        <v>20000</v>
      </c>
      <c r="I38" s="2394">
        <v>20000</v>
      </c>
      <c r="J38" s="2395">
        <f>'Příjmy kapitol celkem'!K38</f>
        <v>20000</v>
      </c>
      <c r="K38" s="2362">
        <f t="shared" si="0"/>
        <v>0</v>
      </c>
    </row>
    <row r="39" spans="1:11" ht="17.25" hidden="1" customHeight="1" outlineLevel="1">
      <c r="A39" s="2366"/>
      <c r="B39" s="2392" t="s">
        <v>1539</v>
      </c>
      <c r="C39" s="2393">
        <v>2321</v>
      </c>
      <c r="D39" s="2394">
        <v>0</v>
      </c>
      <c r="E39" s="2394">
        <v>0</v>
      </c>
      <c r="F39" s="2394">
        <v>0</v>
      </c>
      <c r="G39" s="2394">
        <v>0</v>
      </c>
      <c r="H39" s="2394">
        <v>0</v>
      </c>
      <c r="I39" s="2394">
        <v>0</v>
      </c>
      <c r="J39" s="2395">
        <f>'Příjmy kapitol celkem'!K39</f>
        <v>0</v>
      </c>
      <c r="K39" s="2362">
        <f t="shared" si="0"/>
        <v>0</v>
      </c>
    </row>
    <row r="40" spans="1:11" ht="17.25" customHeight="1" outlineLevel="1">
      <c r="A40" s="2366"/>
      <c r="B40" s="2392" t="s">
        <v>48</v>
      </c>
      <c r="C40" s="2393">
        <v>2111</v>
      </c>
      <c r="D40" s="2394">
        <v>250000</v>
      </c>
      <c r="E40" s="2394">
        <v>250000</v>
      </c>
      <c r="F40" s="2394">
        <v>250000</v>
      </c>
      <c r="G40" s="2394">
        <v>250000</v>
      </c>
      <c r="H40" s="2394">
        <v>250000</v>
      </c>
      <c r="I40" s="2394">
        <v>250000</v>
      </c>
      <c r="J40" s="2395">
        <f>'Příjmy kapitol celkem'!K40</f>
        <v>250000</v>
      </c>
      <c r="K40" s="2362">
        <f t="shared" si="0"/>
        <v>0</v>
      </c>
    </row>
    <row r="41" spans="1:11" ht="17.25" customHeight="1" outlineLevel="1">
      <c r="A41" s="2366"/>
      <c r="B41" s="2392" t="s">
        <v>49</v>
      </c>
      <c r="C41" s="2393" t="s">
        <v>44</v>
      </c>
      <c r="D41" s="2394">
        <v>70000</v>
      </c>
      <c r="E41" s="2394">
        <v>70000</v>
      </c>
      <c r="F41" s="2394">
        <v>70000</v>
      </c>
      <c r="G41" s="2394">
        <v>70000</v>
      </c>
      <c r="H41" s="2394">
        <v>70000</v>
      </c>
      <c r="I41" s="2394">
        <v>70000</v>
      </c>
      <c r="J41" s="2395">
        <f>'Příjmy kapitol celkem'!K41</f>
        <v>70000</v>
      </c>
      <c r="K41" s="2362">
        <f t="shared" si="0"/>
        <v>0</v>
      </c>
    </row>
    <row r="42" spans="1:11" ht="17.25" customHeight="1" outlineLevel="1">
      <c r="A42" s="2366"/>
      <c r="B42" s="2392" t="s">
        <v>50</v>
      </c>
      <c r="C42" s="2393">
        <v>2132</v>
      </c>
      <c r="D42" s="2394">
        <v>660010</v>
      </c>
      <c r="E42" s="2394">
        <v>330005</v>
      </c>
      <c r="F42" s="2394">
        <v>330005</v>
      </c>
      <c r="G42" s="2394">
        <v>330005</v>
      </c>
      <c r="H42" s="2394">
        <v>330005</v>
      </c>
      <c r="I42" s="2394">
        <v>330005</v>
      </c>
      <c r="J42" s="2395">
        <f>'Příjmy kapitol celkem'!K42</f>
        <v>330005</v>
      </c>
      <c r="K42" s="2362">
        <f t="shared" si="0"/>
        <v>0</v>
      </c>
    </row>
    <row r="43" spans="1:11" ht="17.25" customHeight="1" outlineLevel="1">
      <c r="A43" s="2366"/>
      <c r="B43" s="2392" t="s">
        <v>2875</v>
      </c>
      <c r="C43" s="2393">
        <v>3121</v>
      </c>
      <c r="D43" s="2394"/>
      <c r="E43" s="2394"/>
      <c r="F43" s="2394"/>
      <c r="G43" s="2394"/>
      <c r="H43" s="2394">
        <v>0</v>
      </c>
      <c r="I43" s="2394">
        <v>254100</v>
      </c>
      <c r="J43" s="2395">
        <f>+'Příjmy kapitol celkem'!K43</f>
        <v>254100</v>
      </c>
      <c r="K43" s="2362">
        <f t="shared" si="0"/>
        <v>0</v>
      </c>
    </row>
    <row r="44" spans="1:11" ht="17.25" customHeight="1" outlineLevel="1">
      <c r="A44" s="2366"/>
      <c r="B44" s="2392" t="s">
        <v>51</v>
      </c>
      <c r="C44" s="2393">
        <v>2132</v>
      </c>
      <c r="D44" s="2394">
        <v>828800</v>
      </c>
      <c r="E44" s="2394">
        <v>828800</v>
      </c>
      <c r="F44" s="2394">
        <v>983600</v>
      </c>
      <c r="G44" s="2394">
        <v>983600</v>
      </c>
      <c r="H44" s="2394">
        <v>983600</v>
      </c>
      <c r="I44" s="2394">
        <v>983600</v>
      </c>
      <c r="J44" s="2395">
        <f>'Příjmy kapitol celkem'!K44</f>
        <v>983600</v>
      </c>
      <c r="K44" s="2362">
        <f t="shared" si="0"/>
        <v>0</v>
      </c>
    </row>
    <row r="45" spans="1:11" ht="17.25" customHeight="1" outlineLevel="1">
      <c r="A45" s="2366"/>
      <c r="B45" s="2392" t="s">
        <v>52</v>
      </c>
      <c r="C45" s="2393">
        <v>2111</v>
      </c>
      <c r="D45" s="2394">
        <v>2950832</v>
      </c>
      <c r="E45" s="2394">
        <v>2950832</v>
      </c>
      <c r="F45" s="2394">
        <v>4230000</v>
      </c>
      <c r="G45" s="2394">
        <v>4230000</v>
      </c>
      <c r="H45" s="2394">
        <v>4230000</v>
      </c>
      <c r="I45" s="2394">
        <v>4230000</v>
      </c>
      <c r="J45" s="2395">
        <f>'Příjmy kapitol celkem'!K45</f>
        <v>4230000</v>
      </c>
      <c r="K45" s="2362">
        <f t="shared" si="0"/>
        <v>0</v>
      </c>
    </row>
    <row r="46" spans="1:11" ht="17.25" customHeight="1" outlineLevel="1">
      <c r="A46" s="2366"/>
      <c r="B46" s="2392" t="s">
        <v>53</v>
      </c>
      <c r="C46" s="2393">
        <v>2132</v>
      </c>
      <c r="D46" s="2394">
        <v>4800000</v>
      </c>
      <c r="E46" s="2394">
        <v>4800000</v>
      </c>
      <c r="F46" s="2394">
        <v>5600000</v>
      </c>
      <c r="G46" s="2394">
        <v>5801000</v>
      </c>
      <c r="H46" s="2394">
        <v>5801000</v>
      </c>
      <c r="I46" s="2394">
        <v>5801000</v>
      </c>
      <c r="J46" s="2395">
        <f>'Příjmy kapitol celkem'!K46</f>
        <v>5801000</v>
      </c>
      <c r="K46" s="2362">
        <f t="shared" si="0"/>
        <v>0</v>
      </c>
    </row>
    <row r="47" spans="1:11" ht="17.25" hidden="1" customHeight="1" outlineLevel="1">
      <c r="A47" s="2366"/>
      <c r="B47" s="2392" t="s">
        <v>1540</v>
      </c>
      <c r="C47" s="2393">
        <v>2322</v>
      </c>
      <c r="D47" s="2394">
        <v>0</v>
      </c>
      <c r="E47" s="2394">
        <v>0</v>
      </c>
      <c r="F47" s="2394">
        <v>0</v>
      </c>
      <c r="G47" s="2394">
        <v>0</v>
      </c>
      <c r="H47" s="2394">
        <v>0</v>
      </c>
      <c r="I47" s="2394">
        <v>0</v>
      </c>
      <c r="J47" s="2395">
        <f>'Příjmy kapitol celkem'!K47</f>
        <v>0</v>
      </c>
      <c r="K47" s="2362">
        <f t="shared" si="0"/>
        <v>0</v>
      </c>
    </row>
    <row r="48" spans="1:11" ht="17.25" hidden="1" customHeight="1" outlineLevel="1">
      <c r="A48" s="2366"/>
      <c r="B48" s="2392" t="s">
        <v>1236</v>
      </c>
      <c r="C48" s="2393">
        <v>3122</v>
      </c>
      <c r="D48" s="2394">
        <v>0</v>
      </c>
      <c r="E48" s="2394">
        <v>0</v>
      </c>
      <c r="F48" s="2394">
        <v>0</v>
      </c>
      <c r="G48" s="2394">
        <v>0</v>
      </c>
      <c r="H48" s="2394">
        <v>0</v>
      </c>
      <c r="I48" s="2394">
        <v>0</v>
      </c>
      <c r="J48" s="2395">
        <f>'Příjmy kapitol celkem'!K48</f>
        <v>0</v>
      </c>
      <c r="K48" s="2362">
        <f t="shared" si="0"/>
        <v>0</v>
      </c>
    </row>
    <row r="49" spans="1:11" ht="17.25" customHeight="1" outlineLevel="1">
      <c r="A49" s="2366"/>
      <c r="B49" s="2392" t="s">
        <v>2600</v>
      </c>
      <c r="C49" s="2393">
        <v>2132</v>
      </c>
      <c r="D49" s="2394"/>
      <c r="E49" s="2394">
        <v>231792</v>
      </c>
      <c r="F49" s="2394">
        <v>231792</v>
      </c>
      <c r="G49" s="2394">
        <v>231792</v>
      </c>
      <c r="H49" s="2394">
        <v>231792</v>
      </c>
      <c r="I49" s="2394">
        <v>231792</v>
      </c>
      <c r="J49" s="2395">
        <f>+'Příjmy kapitol celkem'!K50</f>
        <v>231792</v>
      </c>
      <c r="K49" s="2362">
        <f t="shared" si="0"/>
        <v>0</v>
      </c>
    </row>
    <row r="50" spans="1:11" ht="17.25" customHeight="1" outlineLevel="1">
      <c r="A50" s="2366"/>
      <c r="B50" s="2392" t="s">
        <v>54</v>
      </c>
      <c r="C50" s="2393" t="s">
        <v>44</v>
      </c>
      <c r="D50" s="2394">
        <v>81000</v>
      </c>
      <c r="E50" s="2394">
        <v>81000</v>
      </c>
      <c r="F50" s="2394">
        <v>81000</v>
      </c>
      <c r="G50" s="2394">
        <v>81000</v>
      </c>
      <c r="H50" s="2394">
        <v>81000</v>
      </c>
      <c r="I50" s="2394">
        <v>81000</v>
      </c>
      <c r="J50" s="2395">
        <f>'Příjmy kapitol celkem'!K49</f>
        <v>81000</v>
      </c>
      <c r="K50" s="2362">
        <f t="shared" si="0"/>
        <v>0</v>
      </c>
    </row>
    <row r="51" spans="1:11" ht="17.25" customHeight="1" outlineLevel="1">
      <c r="A51" s="2366"/>
      <c r="B51" s="2392" t="s">
        <v>503</v>
      </c>
      <c r="C51" s="2393">
        <v>2132</v>
      </c>
      <c r="D51" s="2394">
        <v>179395</v>
      </c>
      <c r="E51" s="2394">
        <v>179395</v>
      </c>
      <c r="F51" s="2394">
        <v>179395</v>
      </c>
      <c r="G51" s="2394">
        <v>179395</v>
      </c>
      <c r="H51" s="2394">
        <v>179395</v>
      </c>
      <c r="I51" s="2394">
        <v>179395</v>
      </c>
      <c r="J51" s="2395">
        <f>'Příjmy kapitol celkem'!K51</f>
        <v>179395</v>
      </c>
      <c r="K51" s="2362">
        <f t="shared" si="0"/>
        <v>0</v>
      </c>
    </row>
    <row r="52" spans="1:11" ht="17.25" customHeight="1" outlineLevel="1">
      <c r="A52" s="2366"/>
      <c r="B52" s="2392" t="s">
        <v>741</v>
      </c>
      <c r="C52" s="2393">
        <v>2111</v>
      </c>
      <c r="D52" s="2394">
        <v>78000</v>
      </c>
      <c r="E52" s="2394">
        <v>78000</v>
      </c>
      <c r="F52" s="2394">
        <v>78000</v>
      </c>
      <c r="G52" s="2394">
        <v>78000</v>
      </c>
      <c r="H52" s="2394">
        <v>78000</v>
      </c>
      <c r="I52" s="2394">
        <v>78000</v>
      </c>
      <c r="J52" s="2395">
        <f>'Příjmy kapitol celkem'!K52</f>
        <v>78000</v>
      </c>
      <c r="K52" s="2362">
        <f t="shared" si="0"/>
        <v>0</v>
      </c>
    </row>
    <row r="53" spans="1:11" ht="17.25" customHeight="1" outlineLevel="1">
      <c r="A53" s="2366"/>
      <c r="B53" s="2392" t="s">
        <v>55</v>
      </c>
      <c r="C53" s="2393">
        <v>2132</v>
      </c>
      <c r="D53" s="2394">
        <v>400000</v>
      </c>
      <c r="E53" s="2394">
        <v>400000</v>
      </c>
      <c r="F53" s="2394">
        <v>400000</v>
      </c>
      <c r="G53" s="2394">
        <v>400000</v>
      </c>
      <c r="H53" s="2394">
        <v>400000</v>
      </c>
      <c r="I53" s="2394">
        <v>400000</v>
      </c>
      <c r="J53" s="2395">
        <f>'Příjmy kapitol celkem'!K53</f>
        <v>400000</v>
      </c>
      <c r="K53" s="2362">
        <f t="shared" si="0"/>
        <v>0</v>
      </c>
    </row>
    <row r="54" spans="1:11" ht="17.25" customHeight="1" outlineLevel="1">
      <c r="A54" s="2366"/>
      <c r="B54" s="2392" t="s">
        <v>488</v>
      </c>
      <c r="C54" s="2393">
        <v>2132</v>
      </c>
      <c r="D54" s="2394">
        <v>1063000</v>
      </c>
      <c r="E54" s="2394">
        <v>1063000</v>
      </c>
      <c r="F54" s="2394">
        <v>1063000</v>
      </c>
      <c r="G54" s="2394">
        <v>1063000</v>
      </c>
      <c r="H54" s="2394">
        <v>1063000</v>
      </c>
      <c r="I54" s="2394">
        <v>1063000</v>
      </c>
      <c r="J54" s="2395">
        <f>'Příjmy kapitol celkem'!K54</f>
        <v>1063000</v>
      </c>
      <c r="K54" s="2362">
        <f t="shared" si="0"/>
        <v>0</v>
      </c>
    </row>
    <row r="55" spans="1:11" s="2375" customFormat="1" ht="17.25" customHeight="1" outlineLevel="1">
      <c r="A55" s="2370"/>
      <c r="B55" s="2367" t="s">
        <v>56</v>
      </c>
      <c r="C55" s="2368">
        <v>2111</v>
      </c>
      <c r="D55" s="2394">
        <v>250000</v>
      </c>
      <c r="E55" s="2394">
        <v>250000</v>
      </c>
      <c r="F55" s="2394">
        <v>250000</v>
      </c>
      <c r="G55" s="2394">
        <v>250000</v>
      </c>
      <c r="H55" s="2394">
        <v>250000</v>
      </c>
      <c r="I55" s="2394">
        <v>250000</v>
      </c>
      <c r="J55" s="2395">
        <f>'Příjmy kapitol celkem'!K55</f>
        <v>250000</v>
      </c>
      <c r="K55" s="2362">
        <f t="shared" si="0"/>
        <v>0</v>
      </c>
    </row>
    <row r="56" spans="1:11" s="2375" customFormat="1" ht="17.25" hidden="1" customHeight="1" outlineLevel="1">
      <c r="A56" s="2370"/>
      <c r="B56" s="2367" t="s">
        <v>1541</v>
      </c>
      <c r="C56" s="2368">
        <v>2321</v>
      </c>
      <c r="D56" s="2394">
        <v>300000</v>
      </c>
      <c r="E56" s="2394">
        <v>0</v>
      </c>
      <c r="F56" s="2394">
        <v>0</v>
      </c>
      <c r="G56" s="2394">
        <v>0</v>
      </c>
      <c r="H56" s="2394">
        <v>0</v>
      </c>
      <c r="I56" s="2394">
        <v>0</v>
      </c>
      <c r="J56" s="2395">
        <f>'Příjmy kapitol celkem'!K56</f>
        <v>0</v>
      </c>
      <c r="K56" s="2362">
        <f t="shared" si="0"/>
        <v>0</v>
      </c>
    </row>
    <row r="57" spans="1:11" s="2375" customFormat="1" ht="17.25" hidden="1" customHeight="1" outlineLevel="1">
      <c r="A57" s="2370"/>
      <c r="B57" s="2367" t="s">
        <v>1540</v>
      </c>
      <c r="C57" s="2368">
        <v>2322</v>
      </c>
      <c r="D57" s="2394">
        <v>0</v>
      </c>
      <c r="E57" s="2394">
        <v>0</v>
      </c>
      <c r="F57" s="2394">
        <v>0</v>
      </c>
      <c r="G57" s="2394">
        <v>0</v>
      </c>
      <c r="H57" s="2394">
        <v>0</v>
      </c>
      <c r="I57" s="2394">
        <v>0</v>
      </c>
      <c r="J57" s="2395">
        <f>'Příjmy kapitol celkem'!K57</f>
        <v>0</v>
      </c>
      <c r="K57" s="2362">
        <f t="shared" si="0"/>
        <v>0</v>
      </c>
    </row>
    <row r="58" spans="1:11" ht="17.25" customHeight="1" outlineLevel="1">
      <c r="A58" s="2366"/>
      <c r="B58" s="2392" t="s">
        <v>964</v>
      </c>
      <c r="C58" s="2393" t="s">
        <v>44</v>
      </c>
      <c r="D58" s="2394">
        <v>1950000</v>
      </c>
      <c r="E58" s="2394">
        <v>1950000</v>
      </c>
      <c r="F58" s="2394">
        <v>1950000</v>
      </c>
      <c r="G58" s="2394">
        <v>1950000</v>
      </c>
      <c r="H58" s="2394">
        <v>1950000</v>
      </c>
      <c r="I58" s="2394">
        <v>1950000</v>
      </c>
      <c r="J58" s="2395">
        <f>'Příjmy kapitol celkem'!K58</f>
        <v>1950000</v>
      </c>
      <c r="K58" s="2362">
        <f t="shared" si="0"/>
        <v>0</v>
      </c>
    </row>
    <row r="59" spans="1:11" ht="17.25" customHeight="1" outlineLevel="1">
      <c r="A59" s="2366"/>
      <c r="B59" s="2392" t="s">
        <v>477</v>
      </c>
      <c r="C59" s="2393" t="s">
        <v>44</v>
      </c>
      <c r="D59" s="2394">
        <v>600000</v>
      </c>
      <c r="E59" s="2394">
        <v>600000</v>
      </c>
      <c r="F59" s="2394">
        <v>600000</v>
      </c>
      <c r="G59" s="2394">
        <v>600000</v>
      </c>
      <c r="H59" s="2394">
        <v>600000</v>
      </c>
      <c r="I59" s="2394">
        <v>600000</v>
      </c>
      <c r="J59" s="2395">
        <f>'Příjmy kapitol celkem'!K59</f>
        <v>600000</v>
      </c>
      <c r="K59" s="2362">
        <f t="shared" si="0"/>
        <v>0</v>
      </c>
    </row>
    <row r="60" spans="1:11" ht="17.25" customHeight="1" outlineLevel="1">
      <c r="A60" s="2366"/>
      <c r="B60" s="2392" t="s">
        <v>742</v>
      </c>
      <c r="C60" s="2393">
        <v>2111</v>
      </c>
      <c r="D60" s="2394">
        <v>20000</v>
      </c>
      <c r="E60" s="2394">
        <v>20000</v>
      </c>
      <c r="F60" s="2394">
        <v>20000</v>
      </c>
      <c r="G60" s="2394">
        <v>20000</v>
      </c>
      <c r="H60" s="2394">
        <v>20000</v>
      </c>
      <c r="I60" s="2394">
        <v>20000</v>
      </c>
      <c r="J60" s="2395">
        <f>'Příjmy kapitol celkem'!K60</f>
        <v>20000</v>
      </c>
      <c r="K60" s="2362">
        <f t="shared" si="0"/>
        <v>0</v>
      </c>
    </row>
    <row r="61" spans="1:11" ht="17.25" hidden="1" customHeight="1" outlineLevel="1">
      <c r="A61" s="2366"/>
      <c r="B61" s="2392" t="s">
        <v>2080</v>
      </c>
      <c r="C61" s="2393">
        <v>2324</v>
      </c>
      <c r="D61" s="2394">
        <v>0</v>
      </c>
      <c r="E61" s="2394">
        <v>0</v>
      </c>
      <c r="F61" s="2394">
        <v>0</v>
      </c>
      <c r="G61" s="2394">
        <v>0</v>
      </c>
      <c r="H61" s="2394">
        <v>0</v>
      </c>
      <c r="I61" s="2394">
        <v>0</v>
      </c>
      <c r="J61" s="2395">
        <f>'Příjmy kapitol celkem'!K61</f>
        <v>0</v>
      </c>
      <c r="K61" s="2362">
        <f t="shared" si="0"/>
        <v>0</v>
      </c>
    </row>
    <row r="62" spans="1:11" ht="17.25" hidden="1" customHeight="1" outlineLevel="1">
      <c r="A62" s="2366"/>
      <c r="B62" s="2392" t="s">
        <v>1512</v>
      </c>
      <c r="C62" s="2393">
        <v>2321</v>
      </c>
      <c r="D62" s="2394">
        <v>0</v>
      </c>
      <c r="E62" s="2394">
        <v>0</v>
      </c>
      <c r="F62" s="2394">
        <v>0</v>
      </c>
      <c r="G62" s="2394">
        <v>0</v>
      </c>
      <c r="H62" s="2394">
        <v>0</v>
      </c>
      <c r="I62" s="2394">
        <v>0</v>
      </c>
      <c r="J62" s="2395">
        <f>'Příjmy kapitol celkem'!K63</f>
        <v>0</v>
      </c>
      <c r="K62" s="2362">
        <f t="shared" si="0"/>
        <v>0</v>
      </c>
    </row>
    <row r="63" spans="1:11" ht="17.25" hidden="1" customHeight="1" outlineLevel="1">
      <c r="A63" s="2366"/>
      <c r="B63" s="2392" t="s">
        <v>2123</v>
      </c>
      <c r="C63" s="2393">
        <v>2324</v>
      </c>
      <c r="D63" s="2394">
        <v>292800</v>
      </c>
      <c r="E63" s="2394">
        <v>0</v>
      </c>
      <c r="F63" s="2394">
        <v>0</v>
      </c>
      <c r="G63" s="2394">
        <v>0</v>
      </c>
      <c r="H63" s="2394">
        <v>0</v>
      </c>
      <c r="I63" s="2394">
        <v>0</v>
      </c>
      <c r="J63" s="2395">
        <f>'Příjmy kapitol celkem'!K62</f>
        <v>0</v>
      </c>
      <c r="K63" s="2362">
        <f t="shared" si="0"/>
        <v>0</v>
      </c>
    </row>
    <row r="64" spans="1:11" ht="17.25" customHeight="1" outlineLevel="1">
      <c r="A64" s="2366"/>
      <c r="B64" s="2392" t="s">
        <v>743</v>
      </c>
      <c r="C64" s="2393">
        <v>2132</v>
      </c>
      <c r="D64" s="2394">
        <v>24000</v>
      </c>
      <c r="E64" s="2394">
        <v>24000</v>
      </c>
      <c r="F64" s="2394">
        <v>24000</v>
      </c>
      <c r="G64" s="2394">
        <v>24000</v>
      </c>
      <c r="H64" s="2394">
        <v>24000</v>
      </c>
      <c r="I64" s="2394">
        <v>24000</v>
      </c>
      <c r="J64" s="2395">
        <f>'Příjmy kapitol celkem'!K64</f>
        <v>24000</v>
      </c>
      <c r="K64" s="2362">
        <f t="shared" si="0"/>
        <v>0</v>
      </c>
    </row>
    <row r="65" spans="1:11" ht="17.25" customHeight="1" outlineLevel="1">
      <c r="A65" s="2366"/>
      <c r="B65" s="2392" t="s">
        <v>57</v>
      </c>
      <c r="C65" s="2393">
        <v>2111</v>
      </c>
      <c r="D65" s="2394">
        <v>17000</v>
      </c>
      <c r="E65" s="2394">
        <v>17000</v>
      </c>
      <c r="F65" s="2394">
        <v>17000</v>
      </c>
      <c r="G65" s="2394">
        <v>17000</v>
      </c>
      <c r="H65" s="2394">
        <v>17000</v>
      </c>
      <c r="I65" s="2394">
        <v>17000</v>
      </c>
      <c r="J65" s="2395">
        <f>'Příjmy kapitol celkem'!K65</f>
        <v>17000</v>
      </c>
      <c r="K65" s="2362">
        <f t="shared" si="0"/>
        <v>0</v>
      </c>
    </row>
    <row r="66" spans="1:11" ht="17.25" customHeight="1" outlineLevel="1">
      <c r="A66" s="2366"/>
      <c r="B66" s="2392" t="s">
        <v>1237</v>
      </c>
      <c r="C66" s="2393">
        <v>2111</v>
      </c>
      <c r="D66" s="2394">
        <v>0</v>
      </c>
      <c r="E66" s="2394">
        <v>0</v>
      </c>
      <c r="F66" s="2394">
        <v>0</v>
      </c>
      <c r="G66" s="2394">
        <v>0</v>
      </c>
      <c r="H66" s="2394">
        <v>0</v>
      </c>
      <c r="I66" s="2394">
        <v>0</v>
      </c>
      <c r="J66" s="2395">
        <f>'Příjmy kapitol celkem'!K66</f>
        <v>0</v>
      </c>
      <c r="K66" s="2362">
        <f t="shared" si="0"/>
        <v>0</v>
      </c>
    </row>
    <row r="67" spans="1:11" ht="17.25" hidden="1" customHeight="1" outlineLevel="1">
      <c r="A67" s="2366"/>
      <c r="B67" s="2392" t="s">
        <v>1943</v>
      </c>
      <c r="C67" s="2393">
        <v>2324</v>
      </c>
      <c r="D67" s="2394"/>
      <c r="E67" s="2394"/>
      <c r="F67" s="2394"/>
      <c r="G67" s="2394"/>
      <c r="H67" s="2394"/>
      <c r="I67" s="2394"/>
      <c r="J67" s="2395"/>
      <c r="K67" s="2362">
        <f t="shared" si="0"/>
        <v>0</v>
      </c>
    </row>
    <row r="68" spans="1:11" ht="17.25" hidden="1" customHeight="1" outlineLevel="1">
      <c r="A68" s="2366"/>
      <c r="B68" s="2392" t="s">
        <v>553</v>
      </c>
      <c r="C68" s="2393">
        <v>2322</v>
      </c>
      <c r="D68" s="2394">
        <v>0</v>
      </c>
      <c r="E68" s="2394">
        <v>0</v>
      </c>
      <c r="F68" s="2394">
        <v>0</v>
      </c>
      <c r="G68" s="2394">
        <v>0</v>
      </c>
      <c r="H68" s="2394">
        <v>0</v>
      </c>
      <c r="I68" s="2394">
        <v>0</v>
      </c>
      <c r="J68" s="2395">
        <f>'Příjmy kapitol celkem'!K67</f>
        <v>0</v>
      </c>
      <c r="K68" s="2362">
        <f t="shared" si="0"/>
        <v>0</v>
      </c>
    </row>
    <row r="69" spans="1:11" ht="17.25" hidden="1" customHeight="1" outlineLevel="1">
      <c r="A69" s="2366"/>
      <c r="B69" s="2392" t="s">
        <v>1238</v>
      </c>
      <c r="C69" s="2393">
        <v>2321</v>
      </c>
      <c r="D69" s="2394">
        <v>0</v>
      </c>
      <c r="E69" s="2394">
        <v>0</v>
      </c>
      <c r="F69" s="2394">
        <v>0</v>
      </c>
      <c r="G69" s="2394">
        <v>0</v>
      </c>
      <c r="H69" s="2394">
        <v>0</v>
      </c>
      <c r="I69" s="2394">
        <v>0</v>
      </c>
      <c r="J69" s="2395">
        <f>'Příjmy kapitol celkem'!K68</f>
        <v>0</v>
      </c>
      <c r="K69" s="2362">
        <f t="shared" si="0"/>
        <v>0</v>
      </c>
    </row>
    <row r="70" spans="1:11" ht="17.25" hidden="1" customHeight="1" outlineLevel="1">
      <c r="A70" s="2366"/>
      <c r="B70" s="2392" t="s">
        <v>553</v>
      </c>
      <c r="C70" s="2393">
        <v>2322</v>
      </c>
      <c r="D70" s="2394">
        <v>0</v>
      </c>
      <c r="E70" s="2394">
        <v>0</v>
      </c>
      <c r="F70" s="2394">
        <v>0</v>
      </c>
      <c r="G70" s="2394">
        <v>0</v>
      </c>
      <c r="H70" s="2394">
        <v>0</v>
      </c>
      <c r="I70" s="2394">
        <v>0</v>
      </c>
      <c r="J70" s="2395">
        <f>'Příjmy kapitol celkem'!K69</f>
        <v>0</v>
      </c>
      <c r="K70" s="2362">
        <f t="shared" si="0"/>
        <v>0</v>
      </c>
    </row>
    <row r="71" spans="1:11" ht="17.25" hidden="1" customHeight="1" outlineLevel="1">
      <c r="A71" s="2366"/>
      <c r="B71" s="2392" t="s">
        <v>553</v>
      </c>
      <c r="C71" s="2393">
        <v>2322</v>
      </c>
      <c r="D71" s="2394">
        <v>0</v>
      </c>
      <c r="E71" s="2394">
        <v>0</v>
      </c>
      <c r="F71" s="2394">
        <v>0</v>
      </c>
      <c r="G71" s="2394">
        <v>0</v>
      </c>
      <c r="H71" s="2394">
        <v>0</v>
      </c>
      <c r="I71" s="2394">
        <v>0</v>
      </c>
      <c r="J71" s="2395">
        <f>'Příjmy kapitol celkem'!K70</f>
        <v>0</v>
      </c>
      <c r="K71" s="2362">
        <f t="shared" ref="K71:K134" si="1">+J71-I71</f>
        <v>0</v>
      </c>
    </row>
    <row r="72" spans="1:11" ht="17.25" hidden="1" customHeight="1" outlineLevel="1">
      <c r="A72" s="2366"/>
      <c r="B72" s="2392" t="s">
        <v>1239</v>
      </c>
      <c r="C72" s="2393">
        <v>2212</v>
      </c>
      <c r="D72" s="2394">
        <v>0</v>
      </c>
      <c r="E72" s="2394">
        <v>0</v>
      </c>
      <c r="F72" s="2394">
        <v>0</v>
      </c>
      <c r="G72" s="2394">
        <v>0</v>
      </c>
      <c r="H72" s="2394">
        <v>0</v>
      </c>
      <c r="I72" s="2394">
        <v>0</v>
      </c>
      <c r="J72" s="2395">
        <f>'Příjmy kapitol celkem'!K71</f>
        <v>0</v>
      </c>
      <c r="K72" s="2362">
        <f t="shared" si="1"/>
        <v>0</v>
      </c>
    </row>
    <row r="73" spans="1:11" ht="17.25" hidden="1" customHeight="1" outlineLevel="1">
      <c r="A73" s="2366"/>
      <c r="B73" s="2392" t="s">
        <v>225</v>
      </c>
      <c r="C73" s="2393">
        <v>2322</v>
      </c>
      <c r="D73" s="2394">
        <v>0</v>
      </c>
      <c r="E73" s="2394">
        <v>0</v>
      </c>
      <c r="F73" s="2394">
        <v>0</v>
      </c>
      <c r="G73" s="2394">
        <v>0</v>
      </c>
      <c r="H73" s="2394">
        <v>0</v>
      </c>
      <c r="I73" s="2394">
        <v>0</v>
      </c>
      <c r="J73" s="2395">
        <f>'Příjmy kapitol celkem'!K72</f>
        <v>0</v>
      </c>
      <c r="K73" s="2362">
        <f t="shared" si="1"/>
        <v>0</v>
      </c>
    </row>
    <row r="74" spans="1:11" ht="17.25" hidden="1" customHeight="1" outlineLevel="1">
      <c r="A74" s="2366"/>
      <c r="B74" s="2392" t="s">
        <v>1240</v>
      </c>
      <c r="C74" s="2393">
        <v>2212</v>
      </c>
      <c r="D74" s="2394">
        <v>0</v>
      </c>
      <c r="E74" s="2394">
        <v>0</v>
      </c>
      <c r="F74" s="2394">
        <v>0</v>
      </c>
      <c r="G74" s="2394">
        <v>0</v>
      </c>
      <c r="H74" s="2394">
        <v>0</v>
      </c>
      <c r="I74" s="2394">
        <v>0</v>
      </c>
      <c r="J74" s="2395">
        <f>'Příjmy kapitol celkem'!K73</f>
        <v>0</v>
      </c>
      <c r="K74" s="2362">
        <f t="shared" si="1"/>
        <v>0</v>
      </c>
    </row>
    <row r="75" spans="1:11" ht="17.25" customHeight="1" outlineLevel="1">
      <c r="A75" s="2366"/>
      <c r="B75" s="2392" t="s">
        <v>744</v>
      </c>
      <c r="C75" s="2393">
        <v>2141</v>
      </c>
      <c r="D75" s="2394">
        <v>10000</v>
      </c>
      <c r="E75" s="2394">
        <v>10000</v>
      </c>
      <c r="F75" s="2394">
        <v>10000</v>
      </c>
      <c r="G75" s="2394">
        <v>10000</v>
      </c>
      <c r="H75" s="2394">
        <v>10000</v>
      </c>
      <c r="I75" s="2394">
        <v>10000</v>
      </c>
      <c r="J75" s="2395">
        <f>'Příjmy kapitol celkem'!K74</f>
        <v>10000</v>
      </c>
      <c r="K75" s="2362">
        <f t="shared" si="1"/>
        <v>0</v>
      </c>
    </row>
    <row r="76" spans="1:11" ht="17.25" customHeight="1" outlineLevel="1">
      <c r="A76" s="2366"/>
      <c r="B76" s="2392" t="s">
        <v>483</v>
      </c>
      <c r="C76" s="2393">
        <v>2132</v>
      </c>
      <c r="D76" s="2394">
        <v>4400</v>
      </c>
      <c r="E76" s="2394">
        <v>4400</v>
      </c>
      <c r="F76" s="2394">
        <v>4400</v>
      </c>
      <c r="G76" s="2394">
        <v>4400</v>
      </c>
      <c r="H76" s="2394">
        <v>4400</v>
      </c>
      <c r="I76" s="2394">
        <v>4400</v>
      </c>
      <c r="J76" s="2395">
        <f>'Příjmy kapitol celkem'!K75</f>
        <v>4400</v>
      </c>
      <c r="K76" s="2362">
        <f t="shared" si="1"/>
        <v>0</v>
      </c>
    </row>
    <row r="77" spans="1:11" outlineLevel="1">
      <c r="A77" s="2366"/>
      <c r="B77" s="2392" t="s">
        <v>745</v>
      </c>
      <c r="C77" s="2393">
        <v>2119</v>
      </c>
      <c r="D77" s="2394">
        <v>300000</v>
      </c>
      <c r="E77" s="2394">
        <v>300000</v>
      </c>
      <c r="F77" s="2394">
        <v>300000</v>
      </c>
      <c r="G77" s="2394">
        <v>376213</v>
      </c>
      <c r="H77" s="2394">
        <v>376213</v>
      </c>
      <c r="I77" s="2394">
        <v>376213</v>
      </c>
      <c r="J77" s="2395">
        <f>'Příjmy kapitol celkem'!K77</f>
        <v>376213</v>
      </c>
      <c r="K77" s="2362">
        <f t="shared" si="1"/>
        <v>0</v>
      </c>
    </row>
    <row r="78" spans="1:11" outlineLevel="1">
      <c r="A78" s="2366"/>
      <c r="B78" s="2396" t="s">
        <v>61</v>
      </c>
      <c r="C78" s="2380" t="s">
        <v>44</v>
      </c>
      <c r="D78" s="2394">
        <v>0</v>
      </c>
      <c r="E78" s="2394">
        <v>0</v>
      </c>
      <c r="F78" s="2394">
        <v>0</v>
      </c>
      <c r="G78" s="2394">
        <v>0</v>
      </c>
      <c r="H78" s="2394">
        <v>0</v>
      </c>
      <c r="I78" s="2394">
        <v>0</v>
      </c>
      <c r="J78" s="2395">
        <f>'Příjmy kapitol celkem'!K80</f>
        <v>0</v>
      </c>
      <c r="K78" s="2362">
        <f t="shared" si="1"/>
        <v>0</v>
      </c>
    </row>
    <row r="79" spans="1:11" ht="18" hidden="1" customHeight="1">
      <c r="A79" s="2366"/>
      <c r="B79" s="2379"/>
      <c r="C79" s="2380"/>
      <c r="D79" s="2381"/>
      <c r="E79" s="2381"/>
      <c r="F79" s="2381"/>
      <c r="G79" s="2381"/>
      <c r="H79" s="2381"/>
      <c r="I79" s="2381"/>
      <c r="J79" s="2382"/>
      <c r="K79" s="2362">
        <f t="shared" si="1"/>
        <v>0</v>
      </c>
    </row>
    <row r="80" spans="1:11" s="2242" customFormat="1" ht="15" thickBot="1">
      <c r="A80" s="2383" t="s">
        <v>226</v>
      </c>
      <c r="B80" s="2384" t="s">
        <v>227</v>
      </c>
      <c r="C80" s="2385"/>
      <c r="D80" s="2386">
        <v>65000</v>
      </c>
      <c r="E80" s="2386">
        <v>65000</v>
      </c>
      <c r="F80" s="2386">
        <v>65000</v>
      </c>
      <c r="G80" s="2386">
        <v>123478</v>
      </c>
      <c r="H80" s="2386">
        <v>123478</v>
      </c>
      <c r="I80" s="2386">
        <v>13519038</v>
      </c>
      <c r="J80" s="2387">
        <f>SUM(J81:J84)</f>
        <v>13519038</v>
      </c>
      <c r="K80" s="2362">
        <f t="shared" si="1"/>
        <v>0</v>
      </c>
    </row>
    <row r="81" spans="1:11" ht="16.5" customHeight="1" outlineLevel="1" thickTop="1">
      <c r="A81" s="2366"/>
      <c r="B81" s="2388" t="s">
        <v>228</v>
      </c>
      <c r="C81" s="2389">
        <v>3111</v>
      </c>
      <c r="D81" s="2390">
        <v>0</v>
      </c>
      <c r="E81" s="2390">
        <v>0</v>
      </c>
      <c r="F81" s="2390">
        <v>0</v>
      </c>
      <c r="G81" s="2390">
        <v>0</v>
      </c>
      <c r="H81" s="2390">
        <v>0</v>
      </c>
      <c r="I81" s="2390">
        <v>0</v>
      </c>
      <c r="J81" s="2391">
        <f>'Příjmy kapitol celkem'!K79</f>
        <v>0</v>
      </c>
      <c r="K81" s="2362">
        <f t="shared" si="1"/>
        <v>0</v>
      </c>
    </row>
    <row r="82" spans="1:11" ht="16.5" customHeight="1" outlineLevel="1">
      <c r="A82" s="2397"/>
      <c r="B82" s="2398" t="s">
        <v>2601</v>
      </c>
      <c r="C82" s="2399">
        <v>3111</v>
      </c>
      <c r="D82" s="2400"/>
      <c r="E82" s="2400"/>
      <c r="F82" s="2400"/>
      <c r="G82" s="2400"/>
      <c r="H82" s="2400"/>
      <c r="I82" s="2400">
        <v>13395560</v>
      </c>
      <c r="J82" s="2401">
        <f>+'Příjmy kapitol celkem'!K78</f>
        <v>13395560</v>
      </c>
      <c r="K82" s="2362">
        <f t="shared" si="1"/>
        <v>0</v>
      </c>
    </row>
    <row r="83" spans="1:11" ht="16.5" customHeight="1" outlineLevel="1">
      <c r="A83" s="2366"/>
      <c r="B83" s="2392" t="s">
        <v>59</v>
      </c>
      <c r="C83" s="2393" t="s">
        <v>58</v>
      </c>
      <c r="D83" s="2394">
        <v>65000</v>
      </c>
      <c r="E83" s="2394">
        <v>65000</v>
      </c>
      <c r="F83" s="2394">
        <v>65000</v>
      </c>
      <c r="G83" s="2394">
        <v>123478</v>
      </c>
      <c r="H83" s="2394">
        <v>123478</v>
      </c>
      <c r="I83" s="2394">
        <v>123478</v>
      </c>
      <c r="J83" s="2395">
        <f>'Příjmy kapitol celkem'!K76</f>
        <v>123478</v>
      </c>
      <c r="K83" s="2362">
        <f t="shared" si="1"/>
        <v>0</v>
      </c>
    </row>
    <row r="84" spans="1:11" ht="16.5" hidden="1" customHeight="1" outlineLevel="1">
      <c r="A84" s="2366"/>
      <c r="B84" s="2392" t="s">
        <v>229</v>
      </c>
      <c r="C84" s="2393">
        <v>2132</v>
      </c>
      <c r="D84" s="2394"/>
      <c r="E84" s="2394"/>
      <c r="F84" s="2394"/>
      <c r="G84" s="2394"/>
      <c r="H84" s="2394"/>
      <c r="I84" s="2394"/>
      <c r="J84" s="2395"/>
      <c r="K84" s="2362">
        <f t="shared" si="1"/>
        <v>0</v>
      </c>
    </row>
    <row r="85" spans="1:11" ht="14.25" hidden="1" customHeight="1" outlineLevel="1">
      <c r="A85" s="2366"/>
      <c r="B85" s="2392"/>
      <c r="C85" s="2380"/>
      <c r="D85" s="2381"/>
      <c r="E85" s="2381"/>
      <c r="F85" s="2381"/>
      <c r="G85" s="2381"/>
      <c r="H85" s="2381"/>
      <c r="I85" s="2381"/>
      <c r="J85" s="2382"/>
      <c r="K85" s="2362">
        <f t="shared" si="1"/>
        <v>0</v>
      </c>
    </row>
    <row r="86" spans="1:11" s="2242" customFormat="1" ht="18.75" customHeight="1" thickBot="1">
      <c r="A86" s="2383" t="s">
        <v>230</v>
      </c>
      <c r="B86" s="2384" t="s">
        <v>231</v>
      </c>
      <c r="C86" s="2385"/>
      <c r="D86" s="2386">
        <v>29768876</v>
      </c>
      <c r="E86" s="2386">
        <v>78786021</v>
      </c>
      <c r="F86" s="2386">
        <v>78600821</v>
      </c>
      <c r="G86" s="2386">
        <v>78600821</v>
      </c>
      <c r="H86" s="2386">
        <v>78600821</v>
      </c>
      <c r="I86" s="2386">
        <v>67601821</v>
      </c>
      <c r="J86" s="2387">
        <f>SUM(J87:J114)</f>
        <v>67601821</v>
      </c>
      <c r="K86" s="2362">
        <f t="shared" si="1"/>
        <v>0</v>
      </c>
    </row>
    <row r="87" spans="1:11" ht="19.5" hidden="1" customHeight="1" outlineLevel="1" thickTop="1">
      <c r="A87" s="2366"/>
      <c r="B87" s="2392" t="s">
        <v>2106</v>
      </c>
      <c r="C87" s="2393">
        <v>4111</v>
      </c>
      <c r="D87" s="2394">
        <v>130800</v>
      </c>
      <c r="E87" s="2394">
        <v>0</v>
      </c>
      <c r="F87" s="2394">
        <v>0</v>
      </c>
      <c r="G87" s="2394">
        <v>0</v>
      </c>
      <c r="H87" s="2394">
        <v>0</v>
      </c>
      <c r="I87" s="2394">
        <v>0</v>
      </c>
      <c r="J87" s="2395">
        <f>'Příjmy kapitol celkem'!K29</f>
        <v>0</v>
      </c>
      <c r="K87" s="2362">
        <f t="shared" si="1"/>
        <v>0</v>
      </c>
    </row>
    <row r="88" spans="1:11" ht="19.5" hidden="1" customHeight="1" outlineLevel="1">
      <c r="A88" s="2366"/>
      <c r="B88" s="2392" t="s">
        <v>674</v>
      </c>
      <c r="C88" s="2393">
        <v>4116</v>
      </c>
      <c r="D88" s="2394">
        <v>60000</v>
      </c>
      <c r="E88" s="2394">
        <v>0</v>
      </c>
      <c r="F88" s="2394">
        <v>0</v>
      </c>
      <c r="G88" s="2394">
        <v>0</v>
      </c>
      <c r="H88" s="2394">
        <v>0</v>
      </c>
      <c r="I88" s="2394">
        <v>0</v>
      </c>
      <c r="J88" s="2395">
        <f>'Příjmy kapitol celkem'!K30</f>
        <v>0</v>
      </c>
      <c r="K88" s="2362">
        <f t="shared" si="1"/>
        <v>0</v>
      </c>
    </row>
    <row r="89" spans="1:11" ht="19.5" hidden="1" customHeight="1" outlineLevel="1">
      <c r="A89" s="2366"/>
      <c r="B89" s="2392" t="s">
        <v>2121</v>
      </c>
      <c r="C89" s="2389">
        <v>4121</v>
      </c>
      <c r="D89" s="2390">
        <v>0</v>
      </c>
      <c r="E89" s="2390">
        <v>0</v>
      </c>
      <c r="F89" s="2390">
        <v>0</v>
      </c>
      <c r="G89" s="2390">
        <v>0</v>
      </c>
      <c r="H89" s="2390">
        <v>0</v>
      </c>
      <c r="I89" s="2390">
        <v>0</v>
      </c>
      <c r="J89" s="2391">
        <f>'Příjmy kapitol celkem'!K31</f>
        <v>0</v>
      </c>
      <c r="K89" s="2362">
        <f t="shared" si="1"/>
        <v>0</v>
      </c>
    </row>
    <row r="90" spans="1:11" ht="19.5" hidden="1" customHeight="1" outlineLevel="1">
      <c r="A90" s="2366"/>
      <c r="B90" s="2402" t="s">
        <v>2081</v>
      </c>
      <c r="C90" s="2389" t="s">
        <v>34</v>
      </c>
      <c r="D90" s="2390"/>
      <c r="E90" s="2390"/>
      <c r="F90" s="2390"/>
      <c r="G90" s="2390"/>
      <c r="H90" s="2390"/>
      <c r="I90" s="2390"/>
      <c r="J90" s="2391"/>
      <c r="K90" s="2362">
        <f t="shared" si="1"/>
        <v>0</v>
      </c>
    </row>
    <row r="91" spans="1:11" ht="19.5" hidden="1" customHeight="1" outlineLevel="1">
      <c r="A91" s="2366"/>
      <c r="B91" s="2392" t="s">
        <v>2082</v>
      </c>
      <c r="C91" s="2393">
        <v>4121</v>
      </c>
      <c r="D91" s="2394"/>
      <c r="E91" s="2394"/>
      <c r="F91" s="2394"/>
      <c r="G91" s="2394"/>
      <c r="H91" s="2394"/>
      <c r="I91" s="2394"/>
      <c r="J91" s="2395"/>
      <c r="K91" s="2362">
        <f t="shared" si="1"/>
        <v>0</v>
      </c>
    </row>
    <row r="92" spans="1:11" ht="19.5" hidden="1" customHeight="1" outlineLevel="1">
      <c r="A92" s="2366"/>
      <c r="B92" s="2402" t="s">
        <v>2083</v>
      </c>
      <c r="C92" s="2389">
        <v>4121</v>
      </c>
      <c r="D92" s="2390"/>
      <c r="E92" s="2390"/>
      <c r="F92" s="2390"/>
      <c r="G92" s="2390"/>
      <c r="H92" s="2390"/>
      <c r="I92" s="2390"/>
      <c r="J92" s="2391"/>
      <c r="K92" s="2362">
        <f t="shared" si="1"/>
        <v>0</v>
      </c>
    </row>
    <row r="93" spans="1:11" ht="19.5" hidden="1" customHeight="1" outlineLevel="1">
      <c r="A93" s="2366"/>
      <c r="B93" s="2402" t="s">
        <v>2084</v>
      </c>
      <c r="C93" s="2389">
        <v>4122</v>
      </c>
      <c r="D93" s="2390"/>
      <c r="E93" s="2390"/>
      <c r="F93" s="2390"/>
      <c r="G93" s="2390"/>
      <c r="H93" s="2390"/>
      <c r="I93" s="2390"/>
      <c r="J93" s="2391"/>
      <c r="K93" s="2362">
        <f t="shared" si="1"/>
        <v>0</v>
      </c>
    </row>
    <row r="94" spans="1:11" ht="19.5" customHeight="1" outlineLevel="1" thickTop="1">
      <c r="A94" s="2366"/>
      <c r="B94" s="2402" t="s">
        <v>35</v>
      </c>
      <c r="C94" s="2389">
        <v>4112</v>
      </c>
      <c r="D94" s="2390">
        <v>10108300</v>
      </c>
      <c r="E94" s="2390">
        <v>10108300</v>
      </c>
      <c r="F94" s="2390">
        <v>10095200</v>
      </c>
      <c r="G94" s="2390">
        <v>10095200</v>
      </c>
      <c r="H94" s="2390">
        <v>10095200</v>
      </c>
      <c r="I94" s="2390">
        <v>10095200</v>
      </c>
      <c r="J94" s="2391">
        <f>'Příjmy kapitol celkem'!K81</f>
        <v>10095200</v>
      </c>
      <c r="K94" s="2362">
        <f t="shared" si="1"/>
        <v>0</v>
      </c>
    </row>
    <row r="95" spans="1:11" ht="19.5" hidden="1" customHeight="1" outlineLevel="1">
      <c r="A95" s="2366"/>
      <c r="B95" s="2402" t="s">
        <v>2088</v>
      </c>
      <c r="C95" s="2389">
        <v>4222</v>
      </c>
      <c r="D95" s="2390"/>
      <c r="E95" s="2390"/>
      <c r="F95" s="2390"/>
      <c r="G95" s="2390"/>
      <c r="H95" s="2390"/>
      <c r="I95" s="2390"/>
      <c r="J95" s="2391"/>
      <c r="K95" s="2362">
        <f t="shared" si="1"/>
        <v>0</v>
      </c>
    </row>
    <row r="96" spans="1:11" ht="19.5" customHeight="1" outlineLevel="1">
      <c r="A96" s="2366"/>
      <c r="B96" s="2402" t="s">
        <v>2130</v>
      </c>
      <c r="C96" s="2389">
        <v>4216</v>
      </c>
      <c r="D96" s="2390"/>
      <c r="E96" s="2390">
        <v>30398511</v>
      </c>
      <c r="F96" s="2390">
        <v>30398511</v>
      </c>
      <c r="G96" s="2390">
        <v>30398511</v>
      </c>
      <c r="H96" s="2390">
        <v>30398511</v>
      </c>
      <c r="I96" s="2390">
        <v>30398511</v>
      </c>
      <c r="J96" s="2391">
        <f>+'Příjmy kapitol celkem'!K28</f>
        <v>30398511</v>
      </c>
      <c r="K96" s="2362">
        <f t="shared" si="1"/>
        <v>0</v>
      </c>
    </row>
    <row r="97" spans="1:11" ht="19.5" hidden="1" customHeight="1" outlineLevel="1">
      <c r="A97" s="2366"/>
      <c r="B97" s="2402" t="s">
        <v>2085</v>
      </c>
      <c r="C97" s="2389" t="s">
        <v>36</v>
      </c>
      <c r="D97" s="2394"/>
      <c r="E97" s="2394"/>
      <c r="F97" s="2394"/>
      <c r="G97" s="2394"/>
      <c r="H97" s="2394"/>
      <c r="I97" s="2394"/>
      <c r="J97" s="2395"/>
      <c r="K97" s="2362">
        <f t="shared" si="1"/>
        <v>0</v>
      </c>
    </row>
    <row r="98" spans="1:11" ht="19.5" hidden="1" customHeight="1" outlineLevel="1">
      <c r="A98" s="2366"/>
      <c r="B98" s="2402" t="s">
        <v>2086</v>
      </c>
      <c r="C98" s="2389">
        <v>4216</v>
      </c>
      <c r="D98" s="2394"/>
      <c r="E98" s="2394"/>
      <c r="F98" s="2394"/>
      <c r="G98" s="2394"/>
      <c r="H98" s="2394"/>
      <c r="I98" s="2394"/>
      <c r="J98" s="2395"/>
      <c r="K98" s="2362">
        <f t="shared" si="1"/>
        <v>0</v>
      </c>
    </row>
    <row r="99" spans="1:11" ht="19.5" hidden="1" customHeight="1" outlineLevel="1">
      <c r="A99" s="2366"/>
      <c r="B99" s="2392" t="s">
        <v>1932</v>
      </c>
      <c r="C99" s="2393">
        <v>4117</v>
      </c>
      <c r="D99" s="2394"/>
      <c r="E99" s="2394"/>
      <c r="F99" s="2394"/>
      <c r="G99" s="2394"/>
      <c r="H99" s="2394"/>
      <c r="I99" s="2394"/>
      <c r="J99" s="2395"/>
      <c r="K99" s="2362">
        <f t="shared" si="1"/>
        <v>0</v>
      </c>
    </row>
    <row r="100" spans="1:11" ht="19.5" customHeight="1" outlineLevel="1">
      <c r="A100" s="2366"/>
      <c r="B100" s="2392" t="s">
        <v>349</v>
      </c>
      <c r="C100" s="2393">
        <v>4121</v>
      </c>
      <c r="D100" s="2394">
        <v>400000</v>
      </c>
      <c r="E100" s="2394">
        <v>100000</v>
      </c>
      <c r="F100" s="2394">
        <v>100000</v>
      </c>
      <c r="G100" s="2394">
        <v>100000</v>
      </c>
      <c r="H100" s="2394">
        <v>100000</v>
      </c>
      <c r="I100" s="2394">
        <v>100000</v>
      </c>
      <c r="J100" s="2395">
        <f>'Příjmy kapitol celkem'!K83</f>
        <v>100000</v>
      </c>
      <c r="K100" s="2362">
        <f t="shared" si="1"/>
        <v>0</v>
      </c>
    </row>
    <row r="101" spans="1:11" ht="19.5" customHeight="1" outlineLevel="1">
      <c r="A101" s="2366"/>
      <c r="B101" s="2392" t="s">
        <v>350</v>
      </c>
      <c r="C101" s="2393">
        <v>4121</v>
      </c>
      <c r="D101" s="2394">
        <v>898400</v>
      </c>
      <c r="E101" s="2394">
        <v>2229000</v>
      </c>
      <c r="F101" s="2394">
        <v>2229000</v>
      </c>
      <c r="G101" s="2394">
        <v>2229000</v>
      </c>
      <c r="H101" s="2394">
        <v>2229000</v>
      </c>
      <c r="I101" s="2394">
        <v>2229000</v>
      </c>
      <c r="J101" s="2395">
        <f>'Příjmy kapitol celkem'!K84</f>
        <v>2229000</v>
      </c>
      <c r="K101" s="2362">
        <f t="shared" si="1"/>
        <v>0</v>
      </c>
    </row>
    <row r="102" spans="1:11" ht="19.5" hidden="1" customHeight="1" outlineLevel="1">
      <c r="A102" s="2366"/>
      <c r="B102" s="2392" t="s">
        <v>962</v>
      </c>
      <c r="C102" s="2393">
        <v>4216</v>
      </c>
      <c r="D102" s="2394">
        <v>0</v>
      </c>
      <c r="E102" s="2394">
        <v>0</v>
      </c>
      <c r="F102" s="2394">
        <v>0</v>
      </c>
      <c r="G102" s="2394">
        <v>0</v>
      </c>
      <c r="H102" s="2394">
        <v>0</v>
      </c>
      <c r="I102" s="2394">
        <v>0</v>
      </c>
      <c r="J102" s="2395">
        <f>'Příjmy kapitol celkem'!K87</f>
        <v>0</v>
      </c>
      <c r="K102" s="2362">
        <f t="shared" si="1"/>
        <v>0</v>
      </c>
    </row>
    <row r="103" spans="1:11" ht="19.5" hidden="1" customHeight="1" outlineLevel="1">
      <c r="A103" s="2366"/>
      <c r="B103" s="2402" t="s">
        <v>2087</v>
      </c>
      <c r="C103" s="2389">
        <v>4216</v>
      </c>
      <c r="D103" s="2394">
        <v>0</v>
      </c>
      <c r="E103" s="2394">
        <v>0</v>
      </c>
      <c r="F103" s="2394">
        <v>0</v>
      </c>
      <c r="G103" s="2394">
        <v>0</v>
      </c>
      <c r="H103" s="2394">
        <v>0</v>
      </c>
      <c r="I103" s="2394">
        <v>0</v>
      </c>
      <c r="J103" s="2395">
        <f>'Příjmy kapitol celkem'!K88</f>
        <v>0</v>
      </c>
      <c r="K103" s="2362">
        <f t="shared" si="1"/>
        <v>0</v>
      </c>
    </row>
    <row r="104" spans="1:11" ht="19.5" hidden="1" customHeight="1" outlineLevel="1">
      <c r="A104" s="2366"/>
      <c r="B104" s="2392" t="s">
        <v>1243</v>
      </c>
      <c r="C104" s="2393">
        <v>4222</v>
      </c>
      <c r="D104" s="2394">
        <v>0</v>
      </c>
      <c r="E104" s="2394">
        <v>0</v>
      </c>
      <c r="F104" s="2394">
        <v>0</v>
      </c>
      <c r="G104" s="2394">
        <v>0</v>
      </c>
      <c r="H104" s="2394">
        <v>0</v>
      </c>
      <c r="I104" s="2394">
        <v>0</v>
      </c>
      <c r="J104" s="2395">
        <f>'Příjmy kapitol celkem'!K90</f>
        <v>0</v>
      </c>
      <c r="K104" s="2362">
        <f t="shared" si="1"/>
        <v>0</v>
      </c>
    </row>
    <row r="105" spans="1:11" ht="19.5" customHeight="1" outlineLevel="1">
      <c r="A105" s="2366"/>
      <c r="B105" s="2392" t="s">
        <v>2325</v>
      </c>
      <c r="C105" s="2393">
        <v>4216</v>
      </c>
      <c r="D105" s="2394"/>
      <c r="E105" s="2394">
        <v>15000</v>
      </c>
      <c r="F105" s="2394">
        <v>15000</v>
      </c>
      <c r="G105" s="2394">
        <v>15000</v>
      </c>
      <c r="H105" s="2394">
        <v>15000</v>
      </c>
      <c r="I105" s="2394">
        <v>15000</v>
      </c>
      <c r="J105" s="2395">
        <f>+'Příjmy kapitol celkem'!K89</f>
        <v>15000</v>
      </c>
      <c r="K105" s="2362">
        <f t="shared" si="1"/>
        <v>0</v>
      </c>
    </row>
    <row r="106" spans="1:11" ht="19.5" hidden="1" customHeight="1" outlineLevel="1">
      <c r="A106" s="2366"/>
      <c r="B106" s="2392" t="s">
        <v>1941</v>
      </c>
      <c r="C106" s="2393">
        <v>4216</v>
      </c>
      <c r="D106" s="2394">
        <v>15505276</v>
      </c>
      <c r="E106" s="2394">
        <v>0</v>
      </c>
      <c r="F106" s="2394">
        <v>0</v>
      </c>
      <c r="G106" s="2394">
        <v>0</v>
      </c>
      <c r="H106" s="2394">
        <v>0</v>
      </c>
      <c r="I106" s="2394">
        <v>0</v>
      </c>
      <c r="J106" s="2395">
        <f>'Příjmy kapitol celkem'!K91</f>
        <v>0</v>
      </c>
      <c r="K106" s="2362">
        <f t="shared" si="1"/>
        <v>0</v>
      </c>
    </row>
    <row r="107" spans="1:11" ht="19.5" customHeight="1" outlineLevel="1">
      <c r="A107" s="2366"/>
      <c r="B107" s="2392" t="s">
        <v>2595</v>
      </c>
      <c r="C107" s="2393">
        <v>4216</v>
      </c>
      <c r="D107" s="2394"/>
      <c r="E107" s="2394">
        <v>9020110</v>
      </c>
      <c r="F107" s="2394">
        <v>9020110</v>
      </c>
      <c r="G107" s="2394">
        <v>9020110</v>
      </c>
      <c r="H107" s="2394">
        <v>9020110</v>
      </c>
      <c r="I107" s="2394">
        <v>9020110</v>
      </c>
      <c r="J107" s="2395">
        <f>+'Příjmy kapitol celkem'!K85</f>
        <v>9020110</v>
      </c>
      <c r="K107" s="2362">
        <f t="shared" si="1"/>
        <v>0</v>
      </c>
    </row>
    <row r="108" spans="1:11" ht="19.5" customHeight="1" outlineLevel="1">
      <c r="A108" s="2366"/>
      <c r="B108" s="2392" t="s">
        <v>2596</v>
      </c>
      <c r="C108" s="2393">
        <v>4216</v>
      </c>
      <c r="D108" s="2394"/>
      <c r="E108" s="2394">
        <v>24999000</v>
      </c>
      <c r="F108" s="2394">
        <v>24999000</v>
      </c>
      <c r="G108" s="2394">
        <v>24999000</v>
      </c>
      <c r="H108" s="2394">
        <v>24999000</v>
      </c>
      <c r="I108" s="2394">
        <v>14000000</v>
      </c>
      <c r="J108" s="2395">
        <f>+'Příjmy kapitol celkem'!K86</f>
        <v>14000000</v>
      </c>
      <c r="K108" s="2362">
        <f t="shared" si="1"/>
        <v>0</v>
      </c>
    </row>
    <row r="109" spans="1:11" ht="19.5" hidden="1" customHeight="1" outlineLevel="1">
      <c r="A109" s="2366"/>
      <c r="B109" s="2392" t="s">
        <v>1155</v>
      </c>
      <c r="C109" s="2393" t="s">
        <v>36</v>
      </c>
      <c r="D109" s="2394">
        <v>750000</v>
      </c>
      <c r="E109" s="2394">
        <v>0</v>
      </c>
      <c r="F109" s="2394">
        <v>0</v>
      </c>
      <c r="G109" s="2394">
        <v>0</v>
      </c>
      <c r="H109" s="2394">
        <v>0</v>
      </c>
      <c r="I109" s="2394">
        <v>0</v>
      </c>
      <c r="J109" s="2395">
        <f>'Příjmy kapitol celkem'!K92</f>
        <v>0</v>
      </c>
      <c r="K109" s="2362">
        <f t="shared" si="1"/>
        <v>0</v>
      </c>
    </row>
    <row r="110" spans="1:11" ht="19.5" hidden="1" customHeight="1" outlineLevel="1">
      <c r="A110" s="2366"/>
      <c r="B110" s="2392" t="s">
        <v>963</v>
      </c>
      <c r="C110" s="2393">
        <v>4216</v>
      </c>
      <c r="D110" s="2394">
        <v>0</v>
      </c>
      <c r="E110" s="2394">
        <v>0</v>
      </c>
      <c r="F110" s="2394">
        <v>0</v>
      </c>
      <c r="G110" s="2394">
        <v>0</v>
      </c>
      <c r="H110" s="2394">
        <v>0</v>
      </c>
      <c r="I110" s="2394">
        <v>0</v>
      </c>
      <c r="J110" s="2395">
        <f>'Příjmy kapitol celkem'!K93</f>
        <v>0</v>
      </c>
      <c r="K110" s="2362">
        <f t="shared" si="1"/>
        <v>0</v>
      </c>
    </row>
    <row r="111" spans="1:11" ht="19.5" hidden="1" customHeight="1" outlineLevel="1">
      <c r="A111" s="2366"/>
      <c r="B111" s="2392" t="s">
        <v>1242</v>
      </c>
      <c r="C111" s="2393">
        <v>4216</v>
      </c>
      <c r="D111" s="2394">
        <v>0</v>
      </c>
      <c r="E111" s="2394">
        <v>0</v>
      </c>
      <c r="F111" s="2394">
        <v>0</v>
      </c>
      <c r="G111" s="2394">
        <v>0</v>
      </c>
      <c r="H111" s="2394">
        <v>0</v>
      </c>
      <c r="I111" s="2394">
        <v>0</v>
      </c>
      <c r="J111" s="2395">
        <f>'Příjmy kapitol celkem'!K94</f>
        <v>0</v>
      </c>
      <c r="K111" s="2362">
        <f t="shared" si="1"/>
        <v>0</v>
      </c>
    </row>
    <row r="112" spans="1:11" ht="30" hidden="1" customHeight="1" outlineLevel="1">
      <c r="A112" s="2366"/>
      <c r="B112" s="2403" t="s">
        <v>1156</v>
      </c>
      <c r="C112" s="2393" t="s">
        <v>36</v>
      </c>
      <c r="D112" s="2394">
        <v>0</v>
      </c>
      <c r="E112" s="2394">
        <v>0</v>
      </c>
      <c r="F112" s="2394">
        <v>0</v>
      </c>
      <c r="G112" s="2394">
        <v>0</v>
      </c>
      <c r="H112" s="2394">
        <v>0</v>
      </c>
      <c r="I112" s="2394">
        <v>0</v>
      </c>
      <c r="J112" s="2395">
        <f>'Příjmy kapitol celkem'!K95</f>
        <v>0</v>
      </c>
      <c r="K112" s="2362">
        <f t="shared" si="1"/>
        <v>0</v>
      </c>
    </row>
    <row r="113" spans="1:12" ht="19.5" hidden="1" customHeight="1" outlineLevel="1">
      <c r="A113" s="2366"/>
      <c r="B113" s="2392" t="s">
        <v>1157</v>
      </c>
      <c r="C113" s="2393" t="s">
        <v>36</v>
      </c>
      <c r="D113" s="2394">
        <v>0</v>
      </c>
      <c r="E113" s="2394">
        <v>0</v>
      </c>
      <c r="F113" s="2394">
        <v>0</v>
      </c>
      <c r="G113" s="2394">
        <v>0</v>
      </c>
      <c r="H113" s="2394">
        <v>0</v>
      </c>
      <c r="I113" s="2394">
        <v>0</v>
      </c>
      <c r="J113" s="2395">
        <f>'Příjmy kapitol celkem'!K96</f>
        <v>0</v>
      </c>
      <c r="K113" s="2362">
        <f t="shared" si="1"/>
        <v>0</v>
      </c>
    </row>
    <row r="114" spans="1:12" ht="19.5" customHeight="1" outlineLevel="1">
      <c r="A114" s="2366"/>
      <c r="B114" s="2392" t="s">
        <v>2122</v>
      </c>
      <c r="C114" s="2393">
        <v>4122</v>
      </c>
      <c r="D114" s="2394">
        <v>1916100</v>
      </c>
      <c r="E114" s="2394">
        <v>1916100</v>
      </c>
      <c r="F114" s="2394">
        <v>1744000</v>
      </c>
      <c r="G114" s="2394">
        <v>1744000</v>
      </c>
      <c r="H114" s="2394">
        <v>1744000</v>
      </c>
      <c r="I114" s="2394">
        <v>1744000</v>
      </c>
      <c r="J114" s="2395">
        <f>'Příjmy kapitol celkem'!K97</f>
        <v>1744000</v>
      </c>
      <c r="K114" s="2362">
        <f t="shared" si="1"/>
        <v>0</v>
      </c>
    </row>
    <row r="115" spans="1:12" ht="3" hidden="1" customHeight="1" outlineLevel="1">
      <c r="A115" s="2366"/>
      <c r="B115" s="2379"/>
      <c r="C115" s="2380"/>
      <c r="D115" s="2381"/>
      <c r="E115" s="2381"/>
      <c r="F115" s="2381"/>
      <c r="G115" s="2381"/>
      <c r="H115" s="2381"/>
      <c r="I115" s="2381"/>
      <c r="J115" s="2382"/>
      <c r="K115" s="2362">
        <f t="shared" si="1"/>
        <v>0</v>
      </c>
    </row>
    <row r="116" spans="1:12" s="2242" customFormat="1" ht="15" thickBot="1">
      <c r="A116" s="2383" t="s">
        <v>232</v>
      </c>
      <c r="B116" s="2384" t="s">
        <v>233</v>
      </c>
      <c r="C116" s="2385"/>
      <c r="D116" s="2386">
        <v>14800000</v>
      </c>
      <c r="E116" s="2386">
        <v>132960000</v>
      </c>
      <c r="F116" s="2386">
        <v>139348654</v>
      </c>
      <c r="G116" s="2386">
        <v>131788654</v>
      </c>
      <c r="H116" s="2386">
        <v>131788654</v>
      </c>
      <c r="I116" s="2386">
        <v>131788654</v>
      </c>
      <c r="J116" s="2387">
        <f>SUM(J117:J121)</f>
        <v>131788654</v>
      </c>
      <c r="K116" s="2362">
        <f t="shared" si="1"/>
        <v>0</v>
      </c>
    </row>
    <row r="117" spans="1:12" ht="17.25" customHeight="1" thickTop="1">
      <c r="A117" s="2170"/>
      <c r="B117" s="2402" t="s">
        <v>234</v>
      </c>
      <c r="C117" s="2389" t="s">
        <v>38</v>
      </c>
      <c r="D117" s="2209">
        <v>14800000</v>
      </c>
      <c r="E117" s="2390">
        <v>15000000</v>
      </c>
      <c r="F117" s="2390">
        <v>15000000</v>
      </c>
      <c r="G117" s="2390">
        <v>15000000</v>
      </c>
      <c r="H117" s="2390">
        <v>15000000</v>
      </c>
      <c r="I117" s="2390">
        <v>15000000</v>
      </c>
      <c r="J117" s="2404">
        <f>'Příjmy kapitol celkem'!K101</f>
        <v>15000000</v>
      </c>
      <c r="K117" s="2362">
        <f t="shared" si="1"/>
        <v>0</v>
      </c>
    </row>
    <row r="118" spans="1:12" ht="17.25" hidden="1" customHeight="1">
      <c r="A118" s="2170"/>
      <c r="B118" s="2392" t="s">
        <v>777</v>
      </c>
      <c r="C118" s="2393" t="s">
        <v>38</v>
      </c>
      <c r="D118" s="2219">
        <v>0</v>
      </c>
      <c r="E118" s="2394">
        <v>0</v>
      </c>
      <c r="F118" s="2394">
        <v>0</v>
      </c>
      <c r="G118" s="2394">
        <v>0</v>
      </c>
      <c r="H118" s="2394">
        <v>0</v>
      </c>
      <c r="I118" s="2394">
        <v>0</v>
      </c>
      <c r="J118" s="2395">
        <f>'Příjmy kapitol celkem'!K102</f>
        <v>0</v>
      </c>
      <c r="K118" s="2362">
        <f t="shared" si="1"/>
        <v>0</v>
      </c>
    </row>
    <row r="119" spans="1:12" ht="17.25" customHeight="1">
      <c r="A119" s="2170"/>
      <c r="B119" s="2392" t="s">
        <v>775</v>
      </c>
      <c r="C119" s="2393" t="s">
        <v>60</v>
      </c>
      <c r="D119" s="2219">
        <v>0</v>
      </c>
      <c r="E119" s="2394">
        <v>7560000</v>
      </c>
      <c r="F119" s="2394">
        <v>7560000</v>
      </c>
      <c r="G119" s="2394">
        <v>0</v>
      </c>
      <c r="H119" s="2394">
        <v>0</v>
      </c>
      <c r="I119" s="2394">
        <v>0</v>
      </c>
      <c r="J119" s="2395">
        <f>'Příjmy kapitol celkem'!K103</f>
        <v>0</v>
      </c>
      <c r="K119" s="2362">
        <f t="shared" si="1"/>
        <v>0</v>
      </c>
    </row>
    <row r="120" spans="1:12">
      <c r="A120" s="2170"/>
      <c r="B120" s="2392" t="s">
        <v>2583</v>
      </c>
      <c r="C120" s="2393" t="s">
        <v>60</v>
      </c>
      <c r="D120" s="2219"/>
      <c r="E120" s="2394">
        <v>81000000</v>
      </c>
      <c r="F120" s="2394">
        <v>87388654</v>
      </c>
      <c r="G120" s="2394">
        <v>87388654</v>
      </c>
      <c r="H120" s="2394">
        <v>87388654</v>
      </c>
      <c r="I120" s="2394">
        <v>87388654</v>
      </c>
      <c r="J120" s="2395">
        <f>+'Příjmy kapitol celkem'!K104</f>
        <v>87388654</v>
      </c>
      <c r="K120" s="2362">
        <f t="shared" si="1"/>
        <v>0</v>
      </c>
    </row>
    <row r="121" spans="1:12">
      <c r="A121" s="2170"/>
      <c r="B121" s="2392" t="s">
        <v>2686</v>
      </c>
      <c r="C121" s="2393" t="s">
        <v>115</v>
      </c>
      <c r="D121" s="2381"/>
      <c r="E121" s="2381">
        <v>29400000</v>
      </c>
      <c r="F121" s="2381">
        <v>29400000</v>
      </c>
      <c r="G121" s="2381">
        <v>29400000</v>
      </c>
      <c r="H121" s="2381">
        <v>29400000</v>
      </c>
      <c r="I121" s="2381">
        <v>29400000</v>
      </c>
      <c r="J121" s="2382">
        <f>'Příjmy kapitol celkem'!K105</f>
        <v>29400000</v>
      </c>
      <c r="K121" s="2362">
        <f t="shared" si="1"/>
        <v>0</v>
      </c>
    </row>
    <row r="122" spans="1:12" s="2242" customFormat="1" ht="15" thickBot="1">
      <c r="A122" s="2383" t="s">
        <v>235</v>
      </c>
      <c r="B122" s="2384"/>
      <c r="C122" s="2385"/>
      <c r="D122" s="2386">
        <v>243932554</v>
      </c>
      <c r="E122" s="2386">
        <v>415954204</v>
      </c>
      <c r="F122" s="2386">
        <v>440068727</v>
      </c>
      <c r="G122" s="2386">
        <v>432844418</v>
      </c>
      <c r="H122" s="2386">
        <v>432844418</v>
      </c>
      <c r="I122" s="2386">
        <v>435495078</v>
      </c>
      <c r="J122" s="2387">
        <f>+J116+J86+J80+J30+J6</f>
        <v>435495078</v>
      </c>
      <c r="K122" s="2362">
        <f t="shared" si="1"/>
        <v>0</v>
      </c>
    </row>
    <row r="123" spans="1:12" s="2300" customFormat="1" ht="12.75" customHeight="1" thickTop="1">
      <c r="A123" s="2172"/>
      <c r="B123" s="2405" t="s">
        <v>236</v>
      </c>
      <c r="C123" s="2406"/>
      <c r="D123" s="2297">
        <v>0</v>
      </c>
      <c r="E123" s="2297">
        <v>0</v>
      </c>
      <c r="F123" s="2297">
        <v>0</v>
      </c>
      <c r="G123" s="2297">
        <v>0</v>
      </c>
      <c r="H123" s="2297">
        <v>0</v>
      </c>
      <c r="I123" s="2297">
        <v>0</v>
      </c>
      <c r="J123" s="2297">
        <f>+J122-'Příjmy kapitol celkem'!K106</f>
        <v>0</v>
      </c>
      <c r="K123" s="2362">
        <f t="shared" si="1"/>
        <v>0</v>
      </c>
    </row>
    <row r="124" spans="1:12" ht="15" thickBot="1">
      <c r="A124" s="2170"/>
      <c r="B124" s="2170"/>
      <c r="C124" s="2349"/>
      <c r="D124" s="2407"/>
      <c r="E124" s="2407"/>
      <c r="F124" s="2407"/>
      <c r="G124" s="2407"/>
      <c r="H124" s="2407"/>
      <c r="I124" s="2407"/>
      <c r="J124" s="2408"/>
      <c r="K124" s="2362"/>
    </row>
    <row r="125" spans="1:12" ht="39" customHeight="1" thickBot="1">
      <c r="A125" s="2409" t="s">
        <v>237</v>
      </c>
      <c r="B125" s="2410"/>
      <c r="C125" s="2411" t="s">
        <v>63</v>
      </c>
      <c r="D125" s="2412" t="s">
        <v>1953</v>
      </c>
      <c r="E125" s="2412" t="s">
        <v>2372</v>
      </c>
      <c r="F125" s="2412" t="s">
        <v>1953</v>
      </c>
      <c r="G125" s="2412" t="s">
        <v>2687</v>
      </c>
      <c r="H125" s="2412" t="s">
        <v>2810</v>
      </c>
      <c r="I125" s="2412" t="s">
        <v>2128</v>
      </c>
      <c r="J125" s="2413" t="str">
        <f>J4</f>
        <v>RO č.5</v>
      </c>
      <c r="K125" s="2362"/>
    </row>
    <row r="126" spans="1:12" ht="15" thickBot="1">
      <c r="A126" s="2170"/>
      <c r="B126" s="2170"/>
      <c r="C126" s="2349"/>
      <c r="D126" s="2214"/>
      <c r="E126" s="2214"/>
      <c r="F126" s="2214"/>
      <c r="G126" s="2214"/>
      <c r="H126" s="2214"/>
      <c r="I126" s="2214"/>
      <c r="J126" s="2214"/>
      <c r="K126" s="2362"/>
    </row>
    <row r="127" spans="1:12" s="2242" customFormat="1" ht="15" thickBot="1">
      <c r="A127" s="2414" t="s">
        <v>238</v>
      </c>
      <c r="B127" s="2415" t="s">
        <v>239</v>
      </c>
      <c r="C127" s="2416"/>
      <c r="D127" s="2417">
        <v>157240969.61176002</v>
      </c>
      <c r="E127" s="2417">
        <v>211246024.9982</v>
      </c>
      <c r="F127" s="2417">
        <v>216404576.9982</v>
      </c>
      <c r="G127" s="2417">
        <v>219573986.9982</v>
      </c>
      <c r="H127" s="2417">
        <v>219573986.9982</v>
      </c>
      <c r="I127" s="2417">
        <v>229296286.9982</v>
      </c>
      <c r="J127" s="2418">
        <f>+J128+J138</f>
        <v>240125786.9982</v>
      </c>
      <c r="K127" s="2362">
        <f t="shared" si="1"/>
        <v>10829500</v>
      </c>
      <c r="L127" s="2330"/>
    </row>
    <row r="128" spans="1:12" s="2242" customFormat="1" ht="15" thickBot="1">
      <c r="A128" s="2419"/>
      <c r="B128" s="2420" t="s">
        <v>734</v>
      </c>
      <c r="C128" s="2421"/>
      <c r="D128" s="2422">
        <v>44009290</v>
      </c>
      <c r="E128" s="2422">
        <v>50799491.299999997</v>
      </c>
      <c r="F128" s="2422">
        <v>50799491.299999997</v>
      </c>
      <c r="G128" s="2422">
        <v>50799491.299999997</v>
      </c>
      <c r="H128" s="2422">
        <v>50799491.299999997</v>
      </c>
      <c r="I128" s="2422">
        <v>50271491.299999997</v>
      </c>
      <c r="J128" s="2423">
        <f>SUM(J129:J136)</f>
        <v>50271491.299999997</v>
      </c>
      <c r="K128" s="2362">
        <f t="shared" si="1"/>
        <v>0</v>
      </c>
    </row>
    <row r="129" spans="1:13" s="2429" customFormat="1" ht="15" outlineLevel="1" thickTop="1">
      <c r="A129" s="2424"/>
      <c r="B129" s="2425" t="s">
        <v>64</v>
      </c>
      <c r="C129" s="2426">
        <v>5011</v>
      </c>
      <c r="D129" s="2427">
        <v>27925000</v>
      </c>
      <c r="E129" s="2427">
        <v>31800000</v>
      </c>
      <c r="F129" s="2427">
        <v>31800000</v>
      </c>
      <c r="G129" s="2427">
        <v>31800000</v>
      </c>
      <c r="H129" s="2427">
        <v>31800000</v>
      </c>
      <c r="I129" s="2427">
        <v>31800000</v>
      </c>
      <c r="J129" s="2428">
        <f>'Výdaje kapitol celkem'!I8</f>
        <v>31800000</v>
      </c>
      <c r="K129" s="2362">
        <f t="shared" si="1"/>
        <v>0</v>
      </c>
    </row>
    <row r="130" spans="1:13" s="2429" customFormat="1" outlineLevel="1">
      <c r="A130" s="2424"/>
      <c r="B130" s="2430" t="s">
        <v>65</v>
      </c>
      <c r="C130" s="2431">
        <v>5021</v>
      </c>
      <c r="D130" s="2432">
        <v>1865000</v>
      </c>
      <c r="E130" s="2432">
        <v>2604500</v>
      </c>
      <c r="F130" s="2432">
        <v>2604500</v>
      </c>
      <c r="G130" s="2432">
        <v>2604500</v>
      </c>
      <c r="H130" s="2432">
        <v>2604500</v>
      </c>
      <c r="I130" s="2432">
        <v>2076500</v>
      </c>
      <c r="J130" s="2433">
        <f>'Výdaje kapitol celkem'!I9</f>
        <v>2076500</v>
      </c>
      <c r="K130" s="2362">
        <f t="shared" si="1"/>
        <v>0</v>
      </c>
    </row>
    <row r="131" spans="1:13" ht="18" customHeight="1" outlineLevel="1">
      <c r="A131" s="2366"/>
      <c r="B131" s="2392" t="s">
        <v>478</v>
      </c>
      <c r="C131" s="2393">
        <v>5023</v>
      </c>
      <c r="D131" s="2394">
        <v>3020000</v>
      </c>
      <c r="E131" s="2394">
        <v>3500000</v>
      </c>
      <c r="F131" s="2394">
        <v>3500000</v>
      </c>
      <c r="G131" s="2394">
        <v>3500000</v>
      </c>
      <c r="H131" s="2394">
        <v>3500000</v>
      </c>
      <c r="I131" s="2394">
        <v>3500000</v>
      </c>
      <c r="J131" s="2395">
        <f>'Výdaje kapitol celkem'!I10</f>
        <v>3500000</v>
      </c>
      <c r="K131" s="2362">
        <f t="shared" si="1"/>
        <v>0</v>
      </c>
    </row>
    <row r="132" spans="1:13" ht="18" hidden="1" customHeight="1" outlineLevel="1">
      <c r="A132" s="2366"/>
      <c r="B132" s="2363" t="s">
        <v>733</v>
      </c>
      <c r="C132" s="2364">
        <v>5024</v>
      </c>
      <c r="D132" s="2221">
        <v>0</v>
      </c>
      <c r="E132" s="2221">
        <v>0</v>
      </c>
      <c r="F132" s="2221">
        <v>0</v>
      </c>
      <c r="G132" s="2221">
        <v>0</v>
      </c>
      <c r="H132" s="2221">
        <v>0</v>
      </c>
      <c r="I132" s="2221">
        <v>0</v>
      </c>
      <c r="J132" s="2365">
        <f>'Výdaje kapitol celkem'!I11</f>
        <v>0</v>
      </c>
      <c r="K132" s="2362">
        <f t="shared" si="1"/>
        <v>0</v>
      </c>
    </row>
    <row r="133" spans="1:13" ht="18" customHeight="1" outlineLevel="1">
      <c r="A133" s="2366"/>
      <c r="B133" s="2392" t="s">
        <v>66</v>
      </c>
      <c r="C133" s="2393">
        <v>5029</v>
      </c>
      <c r="D133" s="2394">
        <v>30000</v>
      </c>
      <c r="E133" s="2394">
        <v>30000</v>
      </c>
      <c r="F133" s="2394">
        <v>30000</v>
      </c>
      <c r="G133" s="2394">
        <v>30000</v>
      </c>
      <c r="H133" s="2394">
        <v>30000</v>
      </c>
      <c r="I133" s="2394">
        <v>30000</v>
      </c>
      <c r="J133" s="2395">
        <f>'Výdaje kapitol celkem'!I12</f>
        <v>30000</v>
      </c>
      <c r="K133" s="2362">
        <f t="shared" si="1"/>
        <v>0</v>
      </c>
    </row>
    <row r="134" spans="1:13" ht="18" customHeight="1" outlineLevel="1">
      <c r="A134" s="2366"/>
      <c r="B134" s="2392" t="s">
        <v>67</v>
      </c>
      <c r="C134" s="2393">
        <v>5031</v>
      </c>
      <c r="D134" s="2394">
        <v>8112500</v>
      </c>
      <c r="E134" s="2394">
        <v>9344125</v>
      </c>
      <c r="F134" s="2394">
        <v>9344125</v>
      </c>
      <c r="G134" s="2394">
        <v>9344125</v>
      </c>
      <c r="H134" s="2394">
        <v>9344125</v>
      </c>
      <c r="I134" s="2394">
        <v>9344125</v>
      </c>
      <c r="J134" s="2395">
        <f>'Výdaje kapitol celkem'!I13</f>
        <v>9344125</v>
      </c>
      <c r="K134" s="2362">
        <f t="shared" si="1"/>
        <v>0</v>
      </c>
    </row>
    <row r="135" spans="1:13" ht="18" customHeight="1" outlineLevel="1">
      <c r="A135" s="2366"/>
      <c r="B135" s="2392" t="s">
        <v>68</v>
      </c>
      <c r="C135" s="2393">
        <v>5032</v>
      </c>
      <c r="D135" s="2394">
        <v>2920500</v>
      </c>
      <c r="E135" s="2394">
        <v>3363885</v>
      </c>
      <c r="F135" s="2394">
        <v>3363885</v>
      </c>
      <c r="G135" s="2394">
        <v>3363885</v>
      </c>
      <c r="H135" s="2394">
        <v>3363885</v>
      </c>
      <c r="I135" s="2394">
        <v>3363885</v>
      </c>
      <c r="J135" s="2395">
        <f>'Výdaje kapitol celkem'!I14</f>
        <v>3363885</v>
      </c>
      <c r="K135" s="2362">
        <f t="shared" ref="K135:K196" si="2">+J135-I135</f>
        <v>0</v>
      </c>
    </row>
    <row r="136" spans="1:13" ht="18" customHeight="1" outlineLevel="1">
      <c r="A136" s="2366"/>
      <c r="B136" s="2392" t="s">
        <v>69</v>
      </c>
      <c r="C136" s="2393">
        <v>5038</v>
      </c>
      <c r="D136" s="2394">
        <v>136289.99999999997</v>
      </c>
      <c r="E136" s="2394">
        <v>156981.29999999999</v>
      </c>
      <c r="F136" s="2394">
        <v>156981.29999999999</v>
      </c>
      <c r="G136" s="2394">
        <v>156981.29999999999</v>
      </c>
      <c r="H136" s="2394">
        <v>156981.29999999999</v>
      </c>
      <c r="I136" s="2394">
        <v>156981.29999999999</v>
      </c>
      <c r="J136" s="2395">
        <f>'Výdaje kapitol celkem'!I15</f>
        <v>156981.29999999999</v>
      </c>
      <c r="K136" s="2362">
        <f t="shared" si="2"/>
        <v>0</v>
      </c>
    </row>
    <row r="137" spans="1:13" hidden="1" outlineLevel="1">
      <c r="A137" s="2366"/>
      <c r="B137" s="2434"/>
      <c r="C137" s="2349"/>
      <c r="D137" s="2214"/>
      <c r="E137" s="2214"/>
      <c r="F137" s="2214"/>
      <c r="G137" s="2214"/>
      <c r="H137" s="2214"/>
      <c r="I137" s="2214"/>
      <c r="J137" s="2435"/>
      <c r="K137" s="2362">
        <f t="shared" si="2"/>
        <v>0</v>
      </c>
    </row>
    <row r="138" spans="1:13" s="2242" customFormat="1" ht="15" thickBot="1">
      <c r="A138" s="2419"/>
      <c r="B138" s="2436" t="s">
        <v>240</v>
      </c>
      <c r="C138" s="2385"/>
      <c r="D138" s="2386">
        <v>113231679.61176001</v>
      </c>
      <c r="E138" s="2386">
        <v>160446533.69819999</v>
      </c>
      <c r="F138" s="2386">
        <v>165605085.69819999</v>
      </c>
      <c r="G138" s="2386">
        <v>168774495.69819999</v>
      </c>
      <c r="H138" s="2386">
        <v>168774495.69819999</v>
      </c>
      <c r="I138" s="2386">
        <v>179024795.69819999</v>
      </c>
      <c r="J138" s="2387">
        <f>SUM(J139:J175)</f>
        <v>189854295.69819999</v>
      </c>
      <c r="K138" s="2362">
        <f t="shared" si="2"/>
        <v>10829500</v>
      </c>
      <c r="L138" s="2330"/>
      <c r="M138" s="2330"/>
    </row>
    <row r="139" spans="1:13" ht="18" hidden="1" customHeight="1" outlineLevel="1" thickTop="1">
      <c r="A139" s="2366"/>
      <c r="B139" s="2402" t="s">
        <v>71</v>
      </c>
      <c r="C139" s="2389">
        <v>5178</v>
      </c>
      <c r="D139" s="2390">
        <v>0</v>
      </c>
      <c r="E139" s="2390">
        <v>0</v>
      </c>
      <c r="F139" s="2390">
        <v>0</v>
      </c>
      <c r="G139" s="2390">
        <v>0</v>
      </c>
      <c r="H139" s="2390">
        <v>0</v>
      </c>
      <c r="I139" s="2390">
        <v>0</v>
      </c>
      <c r="J139" s="2391">
        <f>'Výdaje kapitol celkem'!P17</f>
        <v>0</v>
      </c>
      <c r="K139" s="2362">
        <f t="shared" si="2"/>
        <v>0</v>
      </c>
    </row>
    <row r="140" spans="1:13" ht="18" hidden="1" customHeight="1" outlineLevel="1">
      <c r="A140" s="2366"/>
      <c r="B140" s="2392" t="s">
        <v>72</v>
      </c>
      <c r="C140" s="2393">
        <v>5132</v>
      </c>
      <c r="D140" s="2394">
        <v>0</v>
      </c>
      <c r="E140" s="2394">
        <v>0</v>
      </c>
      <c r="F140" s="2394">
        <v>0</v>
      </c>
      <c r="G140" s="2394">
        <v>0</v>
      </c>
      <c r="H140" s="2394">
        <v>0</v>
      </c>
      <c r="I140" s="2394">
        <v>0</v>
      </c>
      <c r="J140" s="2395">
        <f>'Výdaje kapitol celkem'!P18</f>
        <v>0</v>
      </c>
      <c r="K140" s="2362">
        <f t="shared" si="2"/>
        <v>0</v>
      </c>
    </row>
    <row r="141" spans="1:13" ht="18" customHeight="1" outlineLevel="1" thickTop="1">
      <c r="A141" s="2366"/>
      <c r="B141" s="2392" t="s">
        <v>73</v>
      </c>
      <c r="C141" s="2393">
        <v>5134</v>
      </c>
      <c r="D141" s="2394">
        <v>195000</v>
      </c>
      <c r="E141" s="2394">
        <v>395000</v>
      </c>
      <c r="F141" s="2394">
        <v>395000</v>
      </c>
      <c r="G141" s="2394">
        <v>395000</v>
      </c>
      <c r="H141" s="2394">
        <v>395000</v>
      </c>
      <c r="I141" s="2394">
        <v>395000</v>
      </c>
      <c r="J141" s="2395">
        <f>'Výdaje kapitol celkem'!I19</f>
        <v>395000</v>
      </c>
      <c r="K141" s="2362">
        <f t="shared" si="2"/>
        <v>0</v>
      </c>
    </row>
    <row r="142" spans="1:13" ht="18" customHeight="1" outlineLevel="1">
      <c r="A142" s="2366"/>
      <c r="B142" s="2392" t="s">
        <v>74</v>
      </c>
      <c r="C142" s="2393">
        <v>5136</v>
      </c>
      <c r="D142" s="2394">
        <v>313000</v>
      </c>
      <c r="E142" s="2394">
        <v>363000</v>
      </c>
      <c r="F142" s="2394">
        <v>363000</v>
      </c>
      <c r="G142" s="2394">
        <v>363000</v>
      </c>
      <c r="H142" s="2394">
        <v>363000</v>
      </c>
      <c r="I142" s="2394">
        <v>363000</v>
      </c>
      <c r="J142" s="2395">
        <f>'Výdaje kapitol celkem'!I20</f>
        <v>363000</v>
      </c>
      <c r="K142" s="2362">
        <f t="shared" si="2"/>
        <v>0</v>
      </c>
    </row>
    <row r="143" spans="1:13" outlineLevel="1">
      <c r="A143" s="2424"/>
      <c r="B143" s="2430" t="s">
        <v>75</v>
      </c>
      <c r="C143" s="2431">
        <v>5137</v>
      </c>
      <c r="D143" s="2432">
        <v>2110000</v>
      </c>
      <c r="E143" s="2432">
        <v>2317000</v>
      </c>
      <c r="F143" s="2432">
        <v>2317000</v>
      </c>
      <c r="G143" s="2432">
        <v>2317000</v>
      </c>
      <c r="H143" s="2432">
        <v>2317000</v>
      </c>
      <c r="I143" s="2432">
        <v>2317000</v>
      </c>
      <c r="J143" s="2433">
        <f>'Výdaje kapitol celkem'!I21</f>
        <v>2317000</v>
      </c>
      <c r="K143" s="2362">
        <f t="shared" si="2"/>
        <v>0</v>
      </c>
    </row>
    <row r="144" spans="1:13" ht="18" customHeight="1" outlineLevel="1">
      <c r="A144" s="2366"/>
      <c r="B144" s="2392" t="s">
        <v>76</v>
      </c>
      <c r="C144" s="2393">
        <v>5139</v>
      </c>
      <c r="D144" s="2394">
        <v>2119000</v>
      </c>
      <c r="E144" s="2394">
        <v>3866000</v>
      </c>
      <c r="F144" s="2394">
        <v>3866000</v>
      </c>
      <c r="G144" s="2394">
        <v>3866000</v>
      </c>
      <c r="H144" s="2394">
        <v>3866000</v>
      </c>
      <c r="I144" s="2394">
        <v>3866000</v>
      </c>
      <c r="J144" s="2395">
        <f>'Výdaje kapitol celkem'!I22</f>
        <v>3866000</v>
      </c>
      <c r="K144" s="2362">
        <f t="shared" si="2"/>
        <v>0</v>
      </c>
    </row>
    <row r="145" spans="1:12" ht="18" customHeight="1" outlineLevel="1">
      <c r="A145" s="2366"/>
      <c r="B145" s="2392" t="s">
        <v>77</v>
      </c>
      <c r="C145" s="2393">
        <v>5151</v>
      </c>
      <c r="D145" s="2394">
        <v>710000</v>
      </c>
      <c r="E145" s="2394">
        <v>688000</v>
      </c>
      <c r="F145" s="2394">
        <v>688000</v>
      </c>
      <c r="G145" s="2394">
        <v>688000</v>
      </c>
      <c r="H145" s="2394">
        <v>688000</v>
      </c>
      <c r="I145" s="2394">
        <v>688000</v>
      </c>
      <c r="J145" s="2395">
        <f>'Výdaje kapitol celkem'!I23</f>
        <v>688000</v>
      </c>
      <c r="K145" s="2362">
        <f t="shared" si="2"/>
        <v>0</v>
      </c>
    </row>
    <row r="146" spans="1:12" ht="18" customHeight="1" outlineLevel="1">
      <c r="A146" s="2366"/>
      <c r="B146" s="2392" t="s">
        <v>78</v>
      </c>
      <c r="C146" s="2393">
        <v>5153</v>
      </c>
      <c r="D146" s="2394">
        <v>5440450</v>
      </c>
      <c r="E146" s="2394">
        <v>4034750</v>
      </c>
      <c r="F146" s="2394">
        <v>4036990</v>
      </c>
      <c r="G146" s="2394">
        <v>4036990</v>
      </c>
      <c r="H146" s="2394">
        <v>4036990</v>
      </c>
      <c r="I146" s="2394">
        <v>4036990</v>
      </c>
      <c r="J146" s="2395">
        <f>'Výdaje kapitol celkem'!I24</f>
        <v>4036990</v>
      </c>
      <c r="K146" s="2362">
        <f t="shared" si="2"/>
        <v>0</v>
      </c>
    </row>
    <row r="147" spans="1:12" ht="18" customHeight="1" outlineLevel="1">
      <c r="A147" s="2366"/>
      <c r="B147" s="2392" t="s">
        <v>79</v>
      </c>
      <c r="C147" s="2393">
        <v>5154</v>
      </c>
      <c r="D147" s="2394">
        <v>7444800</v>
      </c>
      <c r="E147" s="2394">
        <v>5656300</v>
      </c>
      <c r="F147" s="2394">
        <v>5680300</v>
      </c>
      <c r="G147" s="2394">
        <v>5680300</v>
      </c>
      <c r="H147" s="2394">
        <v>5680300</v>
      </c>
      <c r="I147" s="2394">
        <v>5680300</v>
      </c>
      <c r="J147" s="2395">
        <f>'Výdaje kapitol celkem'!I25</f>
        <v>5680300</v>
      </c>
      <c r="K147" s="2362">
        <f t="shared" si="2"/>
        <v>0</v>
      </c>
    </row>
    <row r="148" spans="1:12" ht="18" customHeight="1" outlineLevel="1">
      <c r="A148" s="2366"/>
      <c r="B148" s="2392" t="s">
        <v>80</v>
      </c>
      <c r="C148" s="2393">
        <v>5156</v>
      </c>
      <c r="D148" s="2394">
        <v>640000</v>
      </c>
      <c r="E148" s="2394">
        <v>647000</v>
      </c>
      <c r="F148" s="2394">
        <v>717000</v>
      </c>
      <c r="G148" s="2394">
        <v>717000</v>
      </c>
      <c r="H148" s="2394">
        <v>717000</v>
      </c>
      <c r="I148" s="2394">
        <v>717000</v>
      </c>
      <c r="J148" s="2395">
        <f>'Výdaje kapitol celkem'!I26</f>
        <v>717000</v>
      </c>
      <c r="K148" s="2362">
        <f t="shared" si="2"/>
        <v>0</v>
      </c>
    </row>
    <row r="149" spans="1:12" ht="18" customHeight="1" outlineLevel="1">
      <c r="A149" s="2366"/>
      <c r="B149" s="2392" t="s">
        <v>81</v>
      </c>
      <c r="C149" s="2393">
        <v>5161</v>
      </c>
      <c r="D149" s="2394">
        <v>695000</v>
      </c>
      <c r="E149" s="2394">
        <v>745000</v>
      </c>
      <c r="F149" s="2394">
        <v>745000</v>
      </c>
      <c r="G149" s="2394">
        <v>745000</v>
      </c>
      <c r="H149" s="2394">
        <v>745000</v>
      </c>
      <c r="I149" s="2394">
        <v>745000</v>
      </c>
      <c r="J149" s="2395">
        <f>'Výdaje kapitol celkem'!I27</f>
        <v>745000</v>
      </c>
      <c r="K149" s="2362">
        <f t="shared" si="2"/>
        <v>0</v>
      </c>
    </row>
    <row r="150" spans="1:12" ht="18" customHeight="1" outlineLevel="1">
      <c r="A150" s="2366"/>
      <c r="B150" s="2392" t="s">
        <v>82</v>
      </c>
      <c r="C150" s="2393">
        <v>5162</v>
      </c>
      <c r="D150" s="2394">
        <v>564000</v>
      </c>
      <c r="E150" s="2394">
        <v>808545</v>
      </c>
      <c r="F150" s="2394">
        <v>808545</v>
      </c>
      <c r="G150" s="2394">
        <v>808545</v>
      </c>
      <c r="H150" s="2394">
        <v>808545</v>
      </c>
      <c r="I150" s="2394">
        <v>808545</v>
      </c>
      <c r="J150" s="2395">
        <f>'Výdaje kapitol celkem'!I28</f>
        <v>808545</v>
      </c>
      <c r="K150" s="2362">
        <f t="shared" si="2"/>
        <v>0</v>
      </c>
    </row>
    <row r="151" spans="1:12" ht="18" customHeight="1" outlineLevel="1">
      <c r="A151" s="2366"/>
      <c r="B151" s="2392" t="s">
        <v>83</v>
      </c>
      <c r="C151" s="2393">
        <v>5163</v>
      </c>
      <c r="D151" s="2394">
        <v>920000</v>
      </c>
      <c r="E151" s="2394">
        <v>1220000</v>
      </c>
      <c r="F151" s="2394">
        <v>1220000</v>
      </c>
      <c r="G151" s="2394">
        <v>1307990</v>
      </c>
      <c r="H151" s="2394">
        <v>1307990</v>
      </c>
      <c r="I151" s="2394">
        <v>1307990</v>
      </c>
      <c r="J151" s="2395">
        <f>'Výdaje kapitol celkem'!I29</f>
        <v>1307990</v>
      </c>
      <c r="K151" s="2362">
        <f t="shared" si="2"/>
        <v>0</v>
      </c>
    </row>
    <row r="152" spans="1:12" ht="18" customHeight="1" outlineLevel="1">
      <c r="A152" s="2366"/>
      <c r="B152" s="2392" t="s">
        <v>84</v>
      </c>
      <c r="C152" s="2393">
        <v>5164</v>
      </c>
      <c r="D152" s="2394">
        <v>1538137</v>
      </c>
      <c r="E152" s="2394">
        <v>1699563</v>
      </c>
      <c r="F152" s="2394">
        <v>1683355</v>
      </c>
      <c r="G152" s="2394">
        <v>1583355</v>
      </c>
      <c r="H152" s="2394">
        <v>1583355</v>
      </c>
      <c r="I152" s="2394">
        <v>1623355</v>
      </c>
      <c r="J152" s="2395">
        <f>'Výdaje kapitol celkem'!I30</f>
        <v>1623355</v>
      </c>
      <c r="K152" s="2362">
        <f t="shared" si="2"/>
        <v>0</v>
      </c>
      <c r="L152" s="2216"/>
    </row>
    <row r="153" spans="1:12" ht="18" customHeight="1" outlineLevel="1">
      <c r="A153" s="2366"/>
      <c r="B153" s="2392" t="s">
        <v>85</v>
      </c>
      <c r="C153" s="2393">
        <v>5166</v>
      </c>
      <c r="D153" s="2394">
        <v>700000</v>
      </c>
      <c r="E153" s="2394">
        <v>800000</v>
      </c>
      <c r="F153" s="2394">
        <v>800000</v>
      </c>
      <c r="G153" s="2394">
        <v>800000</v>
      </c>
      <c r="H153" s="2394">
        <v>800000</v>
      </c>
      <c r="I153" s="2394">
        <v>800000</v>
      </c>
      <c r="J153" s="2395">
        <f>'Výdaje kapitol celkem'!I31</f>
        <v>800000</v>
      </c>
      <c r="K153" s="2362">
        <f t="shared" si="2"/>
        <v>0</v>
      </c>
    </row>
    <row r="154" spans="1:12" ht="18" customHeight="1" outlineLevel="1">
      <c r="A154" s="2366"/>
      <c r="B154" s="2392" t="s">
        <v>86</v>
      </c>
      <c r="C154" s="2393">
        <v>5167</v>
      </c>
      <c r="D154" s="2394">
        <v>375000</v>
      </c>
      <c r="E154" s="2394">
        <v>912900</v>
      </c>
      <c r="F154" s="2394">
        <v>912900</v>
      </c>
      <c r="G154" s="2394">
        <v>912900</v>
      </c>
      <c r="H154" s="2394">
        <v>912900</v>
      </c>
      <c r="I154" s="2394">
        <v>912900</v>
      </c>
      <c r="J154" s="2395">
        <f>'Výdaje kapitol celkem'!I32</f>
        <v>912900</v>
      </c>
      <c r="K154" s="2362">
        <f t="shared" si="2"/>
        <v>0</v>
      </c>
    </row>
    <row r="155" spans="1:12" ht="18" customHeight="1" outlineLevel="1">
      <c r="A155" s="2366"/>
      <c r="B155" s="2392" t="s">
        <v>87</v>
      </c>
      <c r="C155" s="2393">
        <v>5168</v>
      </c>
      <c r="D155" s="2394">
        <v>615000</v>
      </c>
      <c r="E155" s="2394">
        <v>915000</v>
      </c>
      <c r="F155" s="2394">
        <v>965000</v>
      </c>
      <c r="G155" s="2394">
        <v>967420</v>
      </c>
      <c r="H155" s="2394">
        <v>967420</v>
      </c>
      <c r="I155" s="2394">
        <v>967420</v>
      </c>
      <c r="J155" s="2395">
        <f>'Výdaje kapitol celkem'!I33</f>
        <v>967420</v>
      </c>
      <c r="K155" s="2362">
        <f t="shared" si="2"/>
        <v>0</v>
      </c>
    </row>
    <row r="156" spans="1:12" outlineLevel="1">
      <c r="A156" s="2424"/>
      <c r="B156" s="2430" t="s">
        <v>88</v>
      </c>
      <c r="C156" s="2431">
        <v>5169</v>
      </c>
      <c r="D156" s="2432">
        <v>18979100</v>
      </c>
      <c r="E156" s="2432">
        <v>22138600</v>
      </c>
      <c r="F156" s="2432">
        <v>22388600</v>
      </c>
      <c r="G156" s="2432">
        <v>23057600</v>
      </c>
      <c r="H156" s="2432">
        <v>23057600</v>
      </c>
      <c r="I156" s="2432">
        <v>26481700</v>
      </c>
      <c r="J156" s="2433">
        <f>'Výdaje kapitol celkem'!I34</f>
        <v>26481700</v>
      </c>
      <c r="K156" s="2362">
        <f t="shared" si="2"/>
        <v>0</v>
      </c>
      <c r="L156" s="2216"/>
    </row>
    <row r="157" spans="1:12" s="2429" customFormat="1" outlineLevel="1">
      <c r="A157" s="2424"/>
      <c r="B157" s="2430" t="s">
        <v>89</v>
      </c>
      <c r="C157" s="2431">
        <v>5171</v>
      </c>
      <c r="D157" s="2432">
        <v>18476480</v>
      </c>
      <c r="E157" s="2432">
        <v>37319480</v>
      </c>
      <c r="F157" s="2432">
        <v>42048000</v>
      </c>
      <c r="G157" s="2432">
        <v>44558000</v>
      </c>
      <c r="H157" s="2432">
        <v>44558000</v>
      </c>
      <c r="I157" s="2432">
        <v>51344200</v>
      </c>
      <c r="J157" s="2433">
        <f>'Výdaje kapitol celkem'!I35</f>
        <v>51344200</v>
      </c>
      <c r="K157" s="2362">
        <f t="shared" si="2"/>
        <v>0</v>
      </c>
    </row>
    <row r="158" spans="1:12" ht="18" customHeight="1" outlineLevel="1">
      <c r="A158" s="2366"/>
      <c r="B158" s="2392" t="s">
        <v>90</v>
      </c>
      <c r="C158" s="2393">
        <v>5172</v>
      </c>
      <c r="D158" s="2394">
        <v>3364300</v>
      </c>
      <c r="E158" s="2394">
        <v>3028000</v>
      </c>
      <c r="F158" s="2394">
        <v>3028000</v>
      </c>
      <c r="G158" s="2394">
        <v>3028000</v>
      </c>
      <c r="H158" s="2394">
        <v>3028000</v>
      </c>
      <c r="I158" s="2394">
        <v>3028000</v>
      </c>
      <c r="J158" s="2395">
        <f>'Výdaje kapitol celkem'!I36</f>
        <v>3028000</v>
      </c>
      <c r="K158" s="2362">
        <f t="shared" si="2"/>
        <v>0</v>
      </c>
    </row>
    <row r="159" spans="1:12" ht="18" customHeight="1" outlineLevel="1">
      <c r="A159" s="2366"/>
      <c r="B159" s="2392" t="s">
        <v>91</v>
      </c>
      <c r="C159" s="2393">
        <v>5173</v>
      </c>
      <c r="D159" s="2394">
        <v>62000</v>
      </c>
      <c r="E159" s="2394">
        <v>62000</v>
      </c>
      <c r="F159" s="2394">
        <v>62000</v>
      </c>
      <c r="G159" s="2394">
        <v>62000</v>
      </c>
      <c r="H159" s="2394">
        <v>62000</v>
      </c>
      <c r="I159" s="2394">
        <v>62000</v>
      </c>
      <c r="J159" s="2395">
        <f>'Výdaje kapitol celkem'!I37</f>
        <v>62000</v>
      </c>
      <c r="K159" s="2362">
        <f t="shared" si="2"/>
        <v>0</v>
      </c>
    </row>
    <row r="160" spans="1:12" ht="18" customHeight="1" outlineLevel="1">
      <c r="A160" s="2366"/>
      <c r="B160" s="2392" t="s">
        <v>92</v>
      </c>
      <c r="C160" s="2393">
        <v>5175</v>
      </c>
      <c r="D160" s="2394">
        <v>431000</v>
      </c>
      <c r="E160" s="2394">
        <v>443000</v>
      </c>
      <c r="F160" s="2394">
        <v>443000</v>
      </c>
      <c r="G160" s="2394">
        <v>443000</v>
      </c>
      <c r="H160" s="2394">
        <v>443000</v>
      </c>
      <c r="I160" s="2394">
        <v>443000</v>
      </c>
      <c r="J160" s="2395">
        <f>'Výdaje kapitol celkem'!I38</f>
        <v>443000</v>
      </c>
      <c r="K160" s="2362">
        <f t="shared" si="2"/>
        <v>0</v>
      </c>
    </row>
    <row r="161" spans="1:11" ht="18" hidden="1" customHeight="1" outlineLevel="1">
      <c r="A161" s="2366"/>
      <c r="B161" s="2392" t="s">
        <v>93</v>
      </c>
      <c r="C161" s="2393">
        <v>5179</v>
      </c>
      <c r="D161" s="2394">
        <v>0</v>
      </c>
      <c r="E161" s="2394">
        <v>0</v>
      </c>
      <c r="F161" s="2394">
        <v>0</v>
      </c>
      <c r="G161" s="2394">
        <v>0</v>
      </c>
      <c r="H161" s="2394">
        <v>0</v>
      </c>
      <c r="I161" s="2394">
        <v>0</v>
      </c>
      <c r="J161" s="2395">
        <f>'Výdaje kapitol celkem'!I39</f>
        <v>0</v>
      </c>
      <c r="K161" s="2362">
        <f t="shared" si="2"/>
        <v>0</v>
      </c>
    </row>
    <row r="162" spans="1:11" ht="18" hidden="1" customHeight="1" outlineLevel="1">
      <c r="A162" s="2366"/>
      <c r="B162" s="2392" t="s">
        <v>358</v>
      </c>
      <c r="C162" s="2393">
        <v>5192</v>
      </c>
      <c r="D162" s="2394">
        <v>0</v>
      </c>
      <c r="E162" s="2394">
        <v>0</v>
      </c>
      <c r="F162" s="2394">
        <v>0</v>
      </c>
      <c r="G162" s="2394">
        <v>0</v>
      </c>
      <c r="H162" s="2394">
        <v>0</v>
      </c>
      <c r="I162" s="2394">
        <v>0</v>
      </c>
      <c r="J162" s="2395">
        <f>'Výdaje kapitol celkem'!I40</f>
        <v>0</v>
      </c>
      <c r="K162" s="2362">
        <f t="shared" si="2"/>
        <v>0</v>
      </c>
    </row>
    <row r="163" spans="1:11" ht="18" customHeight="1" outlineLevel="1">
      <c r="A163" s="2366"/>
      <c r="B163" s="2392" t="s">
        <v>94</v>
      </c>
      <c r="C163" s="2393">
        <v>5193</v>
      </c>
      <c r="D163" s="2394">
        <v>2978575</v>
      </c>
      <c r="E163" s="2394">
        <v>4000000</v>
      </c>
      <c r="F163" s="2394">
        <v>4000000</v>
      </c>
      <c r="G163" s="2394">
        <v>4000000</v>
      </c>
      <c r="H163" s="2394">
        <v>4000000</v>
      </c>
      <c r="I163" s="2394">
        <v>4000000</v>
      </c>
      <c r="J163" s="2395">
        <f>'Výdaje kapitol celkem'!I41</f>
        <v>4000000</v>
      </c>
      <c r="K163" s="2362">
        <f t="shared" si="2"/>
        <v>0</v>
      </c>
    </row>
    <row r="164" spans="1:11" ht="18" customHeight="1" outlineLevel="1">
      <c r="A164" s="2366"/>
      <c r="B164" s="2392" t="s">
        <v>95</v>
      </c>
      <c r="C164" s="2393">
        <v>5194</v>
      </c>
      <c r="D164" s="2394">
        <v>310000</v>
      </c>
      <c r="E164" s="2394">
        <v>345000</v>
      </c>
      <c r="F164" s="2394">
        <v>345000</v>
      </c>
      <c r="G164" s="2394">
        <v>345000</v>
      </c>
      <c r="H164" s="2394">
        <v>345000</v>
      </c>
      <c r="I164" s="2394">
        <v>345000</v>
      </c>
      <c r="J164" s="2395">
        <f>'Výdaje kapitol celkem'!I42</f>
        <v>345000</v>
      </c>
      <c r="K164" s="2362">
        <f t="shared" si="2"/>
        <v>0</v>
      </c>
    </row>
    <row r="165" spans="1:11" ht="18" customHeight="1" outlineLevel="1">
      <c r="A165" s="2366"/>
      <c r="B165" s="2392" t="s">
        <v>96</v>
      </c>
      <c r="C165" s="2393">
        <v>5329</v>
      </c>
      <c r="D165" s="2394">
        <v>2514380</v>
      </c>
      <c r="E165" s="2394">
        <v>4274360</v>
      </c>
      <c r="F165" s="2394">
        <v>4274360</v>
      </c>
      <c r="G165" s="2394">
        <v>4274360</v>
      </c>
      <c r="H165" s="2394">
        <v>4274360</v>
      </c>
      <c r="I165" s="2394">
        <v>4274360</v>
      </c>
      <c r="J165" s="2395">
        <f>'Výdaje kapitol celkem'!I43</f>
        <v>4274360</v>
      </c>
      <c r="K165" s="2362">
        <f t="shared" si="2"/>
        <v>0</v>
      </c>
    </row>
    <row r="166" spans="1:11" s="2429" customFormat="1" outlineLevel="1">
      <c r="A166" s="2424"/>
      <c r="B166" s="2430" t="s">
        <v>97</v>
      </c>
      <c r="C166" s="2431">
        <v>5331</v>
      </c>
      <c r="D166" s="2432">
        <v>33799900</v>
      </c>
      <c r="E166" s="2432">
        <v>53986224</v>
      </c>
      <c r="F166" s="2432">
        <v>54036224</v>
      </c>
      <c r="G166" s="2432">
        <v>54036224</v>
      </c>
      <c r="H166" s="2432">
        <v>54036224</v>
      </c>
      <c r="I166" s="2432">
        <v>54036224</v>
      </c>
      <c r="J166" s="2433">
        <f>'Výdaje kapitol celkem'!I44</f>
        <v>54036224</v>
      </c>
      <c r="K166" s="2362">
        <f t="shared" si="2"/>
        <v>0</v>
      </c>
    </row>
    <row r="167" spans="1:11" ht="18" customHeight="1" outlineLevel="1">
      <c r="A167" s="2366"/>
      <c r="B167" s="2392" t="s">
        <v>98</v>
      </c>
      <c r="C167" s="2393">
        <v>5361</v>
      </c>
      <c r="D167" s="2394">
        <v>40000</v>
      </c>
      <c r="E167" s="2394">
        <v>40000</v>
      </c>
      <c r="F167" s="2394">
        <v>40000</v>
      </c>
      <c r="G167" s="2394">
        <v>40000</v>
      </c>
      <c r="H167" s="2394">
        <v>40000</v>
      </c>
      <c r="I167" s="2394">
        <v>40000</v>
      </c>
      <c r="J167" s="2395">
        <f>'Výdaje kapitol celkem'!I45</f>
        <v>40000</v>
      </c>
      <c r="K167" s="2362">
        <f t="shared" si="2"/>
        <v>0</v>
      </c>
    </row>
    <row r="168" spans="1:11" ht="18" customHeight="1" outlineLevel="1">
      <c r="A168" s="2366"/>
      <c r="B168" s="2392" t="s">
        <v>99</v>
      </c>
      <c r="C168" s="2393">
        <v>5362</v>
      </c>
      <c r="D168" s="2394">
        <v>1130000</v>
      </c>
      <c r="E168" s="2394">
        <v>3690000</v>
      </c>
      <c r="F168" s="2394">
        <v>3690000</v>
      </c>
      <c r="G168" s="2394">
        <v>3690000</v>
      </c>
      <c r="H168" s="2394">
        <v>3690000</v>
      </c>
      <c r="I168" s="2394">
        <v>3690000</v>
      </c>
      <c r="J168" s="2395">
        <f>'Výdaje kapitol celkem'!I46</f>
        <v>3690000</v>
      </c>
      <c r="K168" s="2362">
        <f t="shared" si="2"/>
        <v>0</v>
      </c>
    </row>
    <row r="169" spans="1:11" ht="18" hidden="1" customHeight="1" outlineLevel="1">
      <c r="A169" s="2366"/>
      <c r="B169" s="2392" t="s">
        <v>776</v>
      </c>
      <c r="C169" s="2393">
        <v>5363</v>
      </c>
      <c r="D169" s="2394">
        <v>0</v>
      </c>
      <c r="E169" s="2394">
        <v>0</v>
      </c>
      <c r="F169" s="2394">
        <v>0</v>
      </c>
      <c r="G169" s="2394">
        <v>0</v>
      </c>
      <c r="H169" s="2394">
        <v>0</v>
      </c>
      <c r="I169" s="2394">
        <v>0</v>
      </c>
      <c r="J169" s="2395">
        <f>'Výdaje kapitol celkem'!I47</f>
        <v>10829500</v>
      </c>
      <c r="K169" s="2362">
        <f t="shared" si="2"/>
        <v>10829500</v>
      </c>
    </row>
    <row r="170" spans="1:11" outlineLevel="1">
      <c r="A170" s="2366"/>
      <c r="B170" s="2392" t="s">
        <v>100</v>
      </c>
      <c r="C170" s="2393">
        <v>5492</v>
      </c>
      <c r="D170" s="2394">
        <v>925000</v>
      </c>
      <c r="E170" s="2394">
        <v>470000</v>
      </c>
      <c r="F170" s="2394">
        <v>470000</v>
      </c>
      <c r="G170" s="2394">
        <v>470000</v>
      </c>
      <c r="H170" s="2394">
        <v>470000</v>
      </c>
      <c r="I170" s="2394">
        <v>470000</v>
      </c>
      <c r="J170" s="2395">
        <f>'Výdaje kapitol celkem'!I48</f>
        <v>470000</v>
      </c>
      <c r="K170" s="2362">
        <f t="shared" si="2"/>
        <v>0</v>
      </c>
    </row>
    <row r="171" spans="1:11" ht="18" customHeight="1" outlineLevel="1">
      <c r="A171" s="2366"/>
      <c r="B171" s="2392" t="s">
        <v>735</v>
      </c>
      <c r="C171" s="2393">
        <v>5499</v>
      </c>
      <c r="D171" s="2394">
        <v>1620000</v>
      </c>
      <c r="E171" s="2394">
        <v>1980000</v>
      </c>
      <c r="F171" s="2394">
        <v>1980000</v>
      </c>
      <c r="G171" s="2394">
        <v>1980000</v>
      </c>
      <c r="H171" s="2394">
        <v>1980000</v>
      </c>
      <c r="I171" s="2394">
        <v>1980000</v>
      </c>
      <c r="J171" s="2395">
        <f>'Výdaje kapitol celkem'!I49</f>
        <v>1980000</v>
      </c>
      <c r="K171" s="2362">
        <f t="shared" si="2"/>
        <v>0</v>
      </c>
    </row>
    <row r="172" spans="1:11" ht="18" customHeight="1" outlineLevel="1">
      <c r="A172" s="2366"/>
      <c r="B172" s="2392" t="s">
        <v>101</v>
      </c>
      <c r="C172" s="2393">
        <v>5222</v>
      </c>
      <c r="D172" s="2394">
        <v>1200000</v>
      </c>
      <c r="E172" s="2394">
        <v>1200000</v>
      </c>
      <c r="F172" s="2394">
        <v>1200000</v>
      </c>
      <c r="G172" s="2394">
        <v>1200000</v>
      </c>
      <c r="H172" s="2394">
        <v>1200000</v>
      </c>
      <c r="I172" s="2394">
        <v>1200000</v>
      </c>
      <c r="J172" s="2395">
        <f>'Výdaje kapitol celkem'!I50</f>
        <v>1200000</v>
      </c>
      <c r="K172" s="2362">
        <f t="shared" si="2"/>
        <v>0</v>
      </c>
    </row>
    <row r="173" spans="1:11" ht="18" customHeight="1" outlineLevel="1">
      <c r="A173" s="2366"/>
      <c r="B173" s="2392" t="s">
        <v>762</v>
      </c>
      <c r="C173" s="2393">
        <v>5903</v>
      </c>
      <c r="D173" s="2394">
        <v>69012.591499999995</v>
      </c>
      <c r="E173" s="2394">
        <v>74053.766499999998</v>
      </c>
      <c r="F173" s="2394">
        <v>74053.766499999998</v>
      </c>
      <c r="G173" s="2394">
        <v>74053.766499999998</v>
      </c>
      <c r="H173" s="2394">
        <v>74053.766499999998</v>
      </c>
      <c r="I173" s="2394">
        <v>74053.766499999998</v>
      </c>
      <c r="J173" s="2395">
        <f>'Výdaje kapitol celkem'!I51</f>
        <v>74053.766499999998</v>
      </c>
      <c r="K173" s="2362">
        <f t="shared" si="2"/>
        <v>0</v>
      </c>
    </row>
    <row r="174" spans="1:11" s="2300" customFormat="1" ht="18" customHeight="1" outlineLevel="1">
      <c r="A174" s="2358"/>
      <c r="B174" s="2363" t="s">
        <v>129</v>
      </c>
      <c r="C174" s="2364">
        <v>5141</v>
      </c>
      <c r="D174" s="2221">
        <v>2952545.0202600001</v>
      </c>
      <c r="E174" s="2221">
        <v>2327757.9317000001</v>
      </c>
      <c r="F174" s="2221">
        <v>2327757.9317000001</v>
      </c>
      <c r="G174" s="2221">
        <v>2327757.9317000001</v>
      </c>
      <c r="H174" s="2221">
        <v>2327757.9317000001</v>
      </c>
      <c r="I174" s="2221">
        <v>2327757.9317000001</v>
      </c>
      <c r="J174" s="2365">
        <f>'Výdaje kapitol celkem'!I53</f>
        <v>2327757.9317000001</v>
      </c>
      <c r="K174" s="2362">
        <f t="shared" si="2"/>
        <v>0</v>
      </c>
    </row>
    <row r="175" spans="1:11" outlineLevel="1">
      <c r="A175" s="2366"/>
      <c r="B175" s="2392" t="s">
        <v>736</v>
      </c>
      <c r="C175" s="2380">
        <v>5144</v>
      </c>
      <c r="D175" s="2381">
        <v>0</v>
      </c>
      <c r="E175" s="2381">
        <v>0</v>
      </c>
      <c r="F175" s="2381">
        <v>0</v>
      </c>
      <c r="G175" s="2381">
        <v>0</v>
      </c>
      <c r="H175" s="2381">
        <v>0</v>
      </c>
      <c r="I175" s="2381">
        <v>0</v>
      </c>
      <c r="J175" s="2382">
        <f>'Výdaje kapitol celkem'!I54</f>
        <v>0</v>
      </c>
      <c r="K175" s="2362">
        <f t="shared" si="2"/>
        <v>0</v>
      </c>
    </row>
    <row r="176" spans="1:11" s="2242" customFormat="1" ht="15" thickBot="1">
      <c r="A176" s="2383" t="s">
        <v>241</v>
      </c>
      <c r="B176" s="2437" t="s">
        <v>242</v>
      </c>
      <c r="C176" s="2385"/>
      <c r="D176" s="2386">
        <v>67523654.480000004</v>
      </c>
      <c r="E176" s="2386">
        <v>177715916</v>
      </c>
      <c r="F176" s="2386">
        <v>196415916</v>
      </c>
      <c r="G176" s="2386">
        <v>196580871</v>
      </c>
      <c r="H176" s="2386">
        <v>196580871</v>
      </c>
      <c r="I176" s="2386">
        <v>169262974</v>
      </c>
      <c r="J176" s="2387">
        <f>SUM(J177:J187)</f>
        <v>169262974</v>
      </c>
      <c r="K176" s="2362">
        <f t="shared" si="2"/>
        <v>0</v>
      </c>
    </row>
    <row r="177" spans="1:11" ht="21" customHeight="1" outlineLevel="1" thickTop="1">
      <c r="A177" s="2366"/>
      <c r="B177" s="2388" t="s">
        <v>90</v>
      </c>
      <c r="C177" s="2389">
        <v>6111</v>
      </c>
      <c r="D177" s="2390">
        <v>0</v>
      </c>
      <c r="E177" s="2390">
        <v>3269880</v>
      </c>
      <c r="F177" s="2390">
        <v>3269880</v>
      </c>
      <c r="G177" s="2390">
        <v>3269880</v>
      </c>
      <c r="H177" s="2390">
        <v>3269880</v>
      </c>
      <c r="I177" s="2390">
        <v>3269880</v>
      </c>
      <c r="J177" s="2391">
        <f>'Výdaje kapitol celkem'!I57</f>
        <v>3269880</v>
      </c>
      <c r="K177" s="2362">
        <f t="shared" si="2"/>
        <v>0</v>
      </c>
    </row>
    <row r="178" spans="1:11" s="2429" customFormat="1" outlineLevel="1">
      <c r="A178" s="2424"/>
      <c r="B178" s="2430" t="s">
        <v>105</v>
      </c>
      <c r="C178" s="2431">
        <v>6121</v>
      </c>
      <c r="D178" s="2432">
        <v>51938654.480000004</v>
      </c>
      <c r="E178" s="2432">
        <v>120189200</v>
      </c>
      <c r="F178" s="2432">
        <v>138389200</v>
      </c>
      <c r="G178" s="2432">
        <v>135465099</v>
      </c>
      <c r="H178" s="2432">
        <f>141315099-50000</f>
        <v>141265099</v>
      </c>
      <c r="I178" s="2432">
        <v>111587202</v>
      </c>
      <c r="J178" s="2433">
        <f>'Výdaje kapitol celkem'!I58</f>
        <v>111587202</v>
      </c>
      <c r="K178" s="2362">
        <f t="shared" si="2"/>
        <v>0</v>
      </c>
    </row>
    <row r="179" spans="1:11" s="2429" customFormat="1" outlineLevel="1">
      <c r="A179" s="2424"/>
      <c r="B179" s="2430" t="s">
        <v>106</v>
      </c>
      <c r="C179" s="2431">
        <v>6121</v>
      </c>
      <c r="D179" s="2394">
        <v>9560000</v>
      </c>
      <c r="E179" s="2394">
        <v>8492604</v>
      </c>
      <c r="F179" s="2394">
        <v>8992604</v>
      </c>
      <c r="G179" s="2394">
        <v>9081660</v>
      </c>
      <c r="H179" s="2394">
        <v>9081660</v>
      </c>
      <c r="I179" s="2394">
        <v>9291660</v>
      </c>
      <c r="J179" s="2395">
        <f>'Výdaje kapitol celkem'!I59</f>
        <v>9291660</v>
      </c>
      <c r="K179" s="2362">
        <f t="shared" si="2"/>
        <v>0</v>
      </c>
    </row>
    <row r="180" spans="1:11" outlineLevel="1">
      <c r="A180" s="2424"/>
      <c r="B180" s="2430" t="s">
        <v>107</v>
      </c>
      <c r="C180" s="2431">
        <v>6122</v>
      </c>
      <c r="D180" s="2432">
        <v>200000</v>
      </c>
      <c r="E180" s="2432">
        <v>570000</v>
      </c>
      <c r="F180" s="2432">
        <v>570000</v>
      </c>
      <c r="G180" s="2432">
        <v>570000</v>
      </c>
      <c r="H180" s="2432">
        <v>570000</v>
      </c>
      <c r="I180" s="2432">
        <v>720000</v>
      </c>
      <c r="J180" s="2433">
        <f>'Výdaje kapitol celkem'!I60</f>
        <v>720000</v>
      </c>
      <c r="K180" s="2362">
        <f t="shared" si="2"/>
        <v>0</v>
      </c>
    </row>
    <row r="181" spans="1:11" ht="18.75" customHeight="1" outlineLevel="1">
      <c r="A181" s="2366"/>
      <c r="B181" s="2392" t="s">
        <v>108</v>
      </c>
      <c r="C181" s="2393">
        <v>6123</v>
      </c>
      <c r="D181" s="2394">
        <v>0</v>
      </c>
      <c r="E181" s="2394">
        <v>1200000</v>
      </c>
      <c r="F181" s="2394">
        <v>1200000</v>
      </c>
      <c r="G181" s="2394">
        <v>1200000</v>
      </c>
      <c r="H181" s="2394">
        <v>1200000</v>
      </c>
      <c r="I181" s="2394">
        <v>1200000</v>
      </c>
      <c r="J181" s="2395">
        <f>'Výdaje kapitol celkem'!I61</f>
        <v>1200000</v>
      </c>
      <c r="K181" s="2362">
        <f t="shared" si="2"/>
        <v>0</v>
      </c>
    </row>
    <row r="182" spans="1:11" ht="18.75" customHeight="1" outlineLevel="1">
      <c r="A182" s="2366"/>
      <c r="B182" s="2392" t="s">
        <v>109</v>
      </c>
      <c r="C182" s="2393">
        <v>6125</v>
      </c>
      <c r="D182" s="2394">
        <v>240000</v>
      </c>
      <c r="E182" s="2394">
        <v>4736152</v>
      </c>
      <c r="F182" s="2394">
        <v>4736152</v>
      </c>
      <c r="G182" s="2394">
        <v>4736152</v>
      </c>
      <c r="H182" s="2394">
        <v>4736152</v>
      </c>
      <c r="I182" s="2394">
        <v>4736152</v>
      </c>
      <c r="J182" s="2395">
        <f>'Výdaje kapitol celkem'!I62</f>
        <v>4736152</v>
      </c>
      <c r="K182" s="2362">
        <f t="shared" si="2"/>
        <v>0</v>
      </c>
    </row>
    <row r="183" spans="1:11" ht="18.75" hidden="1" customHeight="1" outlineLevel="1">
      <c r="A183" s="2366"/>
      <c r="B183" s="2392" t="s">
        <v>110</v>
      </c>
      <c r="C183" s="2393">
        <v>6129</v>
      </c>
      <c r="D183" s="2394">
        <v>0</v>
      </c>
      <c r="E183" s="2394">
        <v>0</v>
      </c>
      <c r="F183" s="2394">
        <v>0</v>
      </c>
      <c r="G183" s="2394">
        <v>0</v>
      </c>
      <c r="H183" s="2394">
        <v>0</v>
      </c>
      <c r="I183" s="2394">
        <v>0</v>
      </c>
      <c r="J183" s="2395">
        <f>'Výdaje kapitol celkem'!I63</f>
        <v>0</v>
      </c>
      <c r="K183" s="2362">
        <f t="shared" si="2"/>
        <v>0</v>
      </c>
    </row>
    <row r="184" spans="1:11" outlineLevel="1">
      <c r="A184" s="2366"/>
      <c r="B184" s="2392" t="s">
        <v>111</v>
      </c>
      <c r="C184" s="2393">
        <v>6130</v>
      </c>
      <c r="D184" s="2394">
        <v>2215000</v>
      </c>
      <c r="E184" s="2394">
        <v>5000000</v>
      </c>
      <c r="F184" s="2394">
        <v>5000000</v>
      </c>
      <c r="G184" s="2394">
        <v>6300000</v>
      </c>
      <c r="H184" s="2394">
        <v>6300000</v>
      </c>
      <c r="I184" s="2394">
        <v>6300000</v>
      </c>
      <c r="J184" s="2395">
        <f>'Výdaje kapitol celkem'!I64</f>
        <v>6300000</v>
      </c>
      <c r="K184" s="2362">
        <f t="shared" si="2"/>
        <v>0</v>
      </c>
    </row>
    <row r="185" spans="1:11" ht="18.75" customHeight="1" outlineLevel="1">
      <c r="A185" s="2366"/>
      <c r="B185" s="2392" t="s">
        <v>1149</v>
      </c>
      <c r="C185" s="2393">
        <v>6349</v>
      </c>
      <c r="D185" s="2394">
        <v>0</v>
      </c>
      <c r="E185" s="2394">
        <v>29400000</v>
      </c>
      <c r="F185" s="2394">
        <v>29400000</v>
      </c>
      <c r="G185" s="2394">
        <v>29400000</v>
      </c>
      <c r="H185" s="2394">
        <f>23550000+50000</f>
        <v>23600000</v>
      </c>
      <c r="I185" s="2394">
        <v>23600000</v>
      </c>
      <c r="J185" s="2395">
        <f>'Výdaje kapitol celkem'!I65</f>
        <v>23600000</v>
      </c>
      <c r="K185" s="2362">
        <f t="shared" si="2"/>
        <v>0</v>
      </c>
    </row>
    <row r="186" spans="1:11" ht="18.75" customHeight="1" outlineLevel="1">
      <c r="A186" s="2366"/>
      <c r="B186" s="2392" t="s">
        <v>295</v>
      </c>
      <c r="C186" s="2393">
        <v>6351</v>
      </c>
      <c r="D186" s="2394">
        <v>3370000</v>
      </c>
      <c r="E186" s="2394">
        <v>4858080</v>
      </c>
      <c r="F186" s="2394">
        <v>4858080</v>
      </c>
      <c r="G186" s="2394">
        <v>6558080</v>
      </c>
      <c r="H186" s="2394">
        <v>6558080</v>
      </c>
      <c r="I186" s="2394">
        <v>8558080</v>
      </c>
      <c r="J186" s="2395">
        <f>'Výdaje kapitol celkem'!I66</f>
        <v>8558080</v>
      </c>
      <c r="K186" s="2362">
        <f t="shared" si="2"/>
        <v>0</v>
      </c>
    </row>
    <row r="187" spans="1:11" ht="18.75" customHeight="1" outlineLevel="1">
      <c r="A187" s="2366" t="s">
        <v>582</v>
      </c>
      <c r="B187" s="2392" t="s">
        <v>295</v>
      </c>
      <c r="C187" s="2393">
        <v>6349</v>
      </c>
      <c r="D187" s="2394">
        <v>0</v>
      </c>
      <c r="E187" s="2394">
        <v>0</v>
      </c>
      <c r="F187" s="2394">
        <v>0</v>
      </c>
      <c r="G187" s="2394">
        <v>0</v>
      </c>
      <c r="H187" s="2394">
        <v>0</v>
      </c>
      <c r="I187" s="2394">
        <v>0</v>
      </c>
      <c r="J187" s="2395">
        <f>'Výdaje kapitol celkem'!I68</f>
        <v>0</v>
      </c>
      <c r="K187" s="2362">
        <f t="shared" si="2"/>
        <v>0</v>
      </c>
    </row>
    <row r="188" spans="1:11" hidden="1" outlineLevel="1">
      <c r="A188" s="2366"/>
      <c r="B188" s="2379"/>
      <c r="C188" s="2380"/>
      <c r="D188" s="2381"/>
      <c r="E188" s="2381"/>
      <c r="F188" s="2381"/>
      <c r="G188" s="2381"/>
      <c r="H188" s="2381"/>
      <c r="I188" s="2381"/>
      <c r="J188" s="2382"/>
      <c r="K188" s="2362">
        <f t="shared" si="2"/>
        <v>0</v>
      </c>
    </row>
    <row r="189" spans="1:11" s="2242" customFormat="1" ht="15" thickBot="1">
      <c r="A189" s="2383" t="s">
        <v>232</v>
      </c>
      <c r="B189" s="2437" t="s">
        <v>233</v>
      </c>
      <c r="C189" s="2385"/>
      <c r="D189" s="2386">
        <v>19167929.908239976</v>
      </c>
      <c r="E189" s="2386">
        <v>26992263.001800001</v>
      </c>
      <c r="F189" s="2386">
        <v>27248234.001800001</v>
      </c>
      <c r="G189" s="2386">
        <v>16689560.001800001</v>
      </c>
      <c r="H189" s="2386">
        <v>16689560.001800001</v>
      </c>
      <c r="I189" s="2386">
        <v>36935817.001800001</v>
      </c>
      <c r="J189" s="2387">
        <f>SUM(J190:J192)</f>
        <v>26106317.001800001</v>
      </c>
      <c r="K189" s="2362">
        <f t="shared" si="2"/>
        <v>-10829500</v>
      </c>
    </row>
    <row r="190" spans="1:11" ht="20.25" customHeight="1" outlineLevel="1" thickTop="1">
      <c r="A190" s="2366"/>
      <c r="B190" s="2388" t="s">
        <v>1536</v>
      </c>
      <c r="C190" s="2389">
        <v>8115</v>
      </c>
      <c r="D190" s="2390">
        <v>53665.908239975572</v>
      </c>
      <c r="E190" s="2390">
        <v>18511296.001800001</v>
      </c>
      <c r="F190" s="2390">
        <v>18767267.001800001</v>
      </c>
      <c r="G190" s="2390">
        <v>8208593.0018000007</v>
      </c>
      <c r="H190" s="2390">
        <v>8208593.0018000007</v>
      </c>
      <c r="I190" s="2390">
        <v>28454850.001800001</v>
      </c>
      <c r="J190" s="2391">
        <f>'Výdaje kapitol celkem'!I67</f>
        <v>17625350.001800001</v>
      </c>
      <c r="K190" s="2362">
        <f t="shared" si="2"/>
        <v>-10829500</v>
      </c>
    </row>
    <row r="191" spans="1:11" ht="20.25" hidden="1" customHeight="1" outlineLevel="1">
      <c r="A191" s="2366"/>
      <c r="B191" s="2392" t="s">
        <v>118</v>
      </c>
      <c r="C191" s="2393">
        <v>8115</v>
      </c>
      <c r="D191" s="2394"/>
      <c r="E191" s="2394"/>
      <c r="F191" s="2394"/>
      <c r="G191" s="2394"/>
      <c r="H191" s="2394"/>
      <c r="I191" s="2394"/>
      <c r="J191" s="2395"/>
      <c r="K191" s="2362">
        <f t="shared" si="2"/>
        <v>0</v>
      </c>
    </row>
    <row r="192" spans="1:11" s="2375" customFormat="1" ht="20.25" customHeight="1" outlineLevel="1" thickBot="1">
      <c r="A192" s="2370"/>
      <c r="B192" s="2363" t="s">
        <v>738</v>
      </c>
      <c r="C192" s="2364" t="s">
        <v>115</v>
      </c>
      <c r="D192" s="2221">
        <v>19114264</v>
      </c>
      <c r="E192" s="2221">
        <v>8480967</v>
      </c>
      <c r="F192" s="2221">
        <v>8480967</v>
      </c>
      <c r="G192" s="2221">
        <v>8480967</v>
      </c>
      <c r="H192" s="2221">
        <v>8480967</v>
      </c>
      <c r="I192" s="2221">
        <v>8480967</v>
      </c>
      <c r="J192" s="2365">
        <f>'Výdaje kapitol celkem'!I71</f>
        <v>8480967</v>
      </c>
      <c r="K192" s="2362">
        <f t="shared" si="2"/>
        <v>0</v>
      </c>
    </row>
    <row r="193" spans="1:11" ht="15" hidden="1" outlineLevel="1" thickBot="1">
      <c r="A193" s="2366"/>
      <c r="B193" s="2438"/>
      <c r="C193" s="2439"/>
      <c r="D193" s="2440"/>
      <c r="E193" s="2440"/>
      <c r="F193" s="2440"/>
      <c r="G193" s="2440"/>
      <c r="H193" s="2440"/>
      <c r="I193" s="2440"/>
      <c r="J193" s="2441"/>
      <c r="K193" s="2362">
        <f t="shared" si="2"/>
        <v>0</v>
      </c>
    </row>
    <row r="194" spans="1:11" s="2242" customFormat="1" ht="15" thickBot="1">
      <c r="A194" s="2414" t="s">
        <v>243</v>
      </c>
      <c r="B194" s="2415"/>
      <c r="C194" s="2416"/>
      <c r="D194" s="2417">
        <v>243932554</v>
      </c>
      <c r="E194" s="2417">
        <v>415954204</v>
      </c>
      <c r="F194" s="2417">
        <v>440068727</v>
      </c>
      <c r="G194" s="2417">
        <v>432844418</v>
      </c>
      <c r="H194" s="2417">
        <v>432844418</v>
      </c>
      <c r="I194" s="2417">
        <v>435495078</v>
      </c>
      <c r="J194" s="2418">
        <f>+J189+J176+J127</f>
        <v>435495078</v>
      </c>
      <c r="K194" s="2362">
        <f t="shared" si="2"/>
        <v>0</v>
      </c>
    </row>
    <row r="195" spans="1:11" s="2300" customFormat="1">
      <c r="A195" s="2172"/>
      <c r="B195" s="2172" t="s">
        <v>244</v>
      </c>
      <c r="C195" s="2406"/>
      <c r="D195" s="2297">
        <v>0</v>
      </c>
      <c r="E195" s="2297">
        <v>0</v>
      </c>
      <c r="F195" s="2297">
        <v>0</v>
      </c>
      <c r="G195" s="2297">
        <v>0</v>
      </c>
      <c r="H195" s="2297">
        <v>0</v>
      </c>
      <c r="I195" s="2297">
        <v>0</v>
      </c>
      <c r="J195" s="2297">
        <f>+J194-'Výdaje kapitol celkem'!I74</f>
        <v>0</v>
      </c>
      <c r="K195" s="2362">
        <f t="shared" si="2"/>
        <v>0</v>
      </c>
    </row>
    <row r="196" spans="1:11" s="2242" customFormat="1" ht="15" thickBot="1">
      <c r="A196" s="2442" t="s">
        <v>2623</v>
      </c>
      <c r="B196" s="2443"/>
      <c r="C196" s="2444"/>
      <c r="D196" s="2445">
        <v>0</v>
      </c>
      <c r="E196" s="2445">
        <v>0</v>
      </c>
      <c r="F196" s="2445">
        <v>0</v>
      </c>
      <c r="G196" s="2445">
        <v>0</v>
      </c>
      <c r="H196" s="2445">
        <v>0</v>
      </c>
      <c r="I196" s="2445">
        <v>0</v>
      </c>
      <c r="J196" s="2446">
        <f>+J122-J194</f>
        <v>0</v>
      </c>
      <c r="K196" s="2362">
        <f t="shared" si="2"/>
        <v>0</v>
      </c>
    </row>
    <row r="197" spans="1:11" s="2300" customFormat="1" ht="15" thickTop="1">
      <c r="A197" s="2172"/>
      <c r="B197" s="2172"/>
      <c r="C197" s="2406"/>
      <c r="D197" s="2297"/>
      <c r="E197" s="2297"/>
      <c r="F197" s="2297"/>
      <c r="G197" s="2297"/>
      <c r="H197" s="2297"/>
      <c r="I197" s="2297"/>
      <c r="J197" s="2362"/>
      <c r="K197" s="2297"/>
    </row>
    <row r="198" spans="1:11" ht="15.75" customHeight="1">
      <c r="A198" s="2170"/>
      <c r="B198" s="2170"/>
      <c r="C198" s="2349"/>
      <c r="D198" s="2214"/>
      <c r="E198" s="2214"/>
      <c r="F198" s="2214"/>
      <c r="G198" s="2214"/>
      <c r="H198" s="2214"/>
      <c r="I198" s="2214"/>
      <c r="J198" s="2214"/>
      <c r="K198" s="2297"/>
    </row>
    <row r="199" spans="1:11" ht="15.75" customHeight="1">
      <c r="A199" s="2170"/>
      <c r="B199" s="2170" t="s">
        <v>786</v>
      </c>
      <c r="C199" s="2349"/>
      <c r="D199" s="2447">
        <v>227481478</v>
      </c>
      <c r="E199" s="2447">
        <v>218496583</v>
      </c>
      <c r="F199" s="2447">
        <v>236222452</v>
      </c>
      <c r="G199" s="2447">
        <v>236499665</v>
      </c>
      <c r="H199" s="2447">
        <v>236499665</v>
      </c>
      <c r="I199" s="2447">
        <v>236753765</v>
      </c>
      <c r="J199" s="2447">
        <f>+J6+J30+J94+J100+J102+J114+J101+J88+J97++J90+J91+J92+J93</f>
        <v>236753765</v>
      </c>
      <c r="K199" s="2297"/>
    </row>
    <row r="200" spans="1:11" ht="15.75" customHeight="1">
      <c r="A200" s="2170"/>
      <c r="B200" s="2170" t="s">
        <v>787</v>
      </c>
      <c r="C200" s="2349"/>
      <c r="D200" s="2447">
        <v>176355233.61176002</v>
      </c>
      <c r="E200" s="2447">
        <v>211246024.9982</v>
      </c>
      <c r="F200" s="2447">
        <v>216404576.9982</v>
      </c>
      <c r="G200" s="2447">
        <v>219573986.9982</v>
      </c>
      <c r="H200" s="2447">
        <v>219573986.9982</v>
      </c>
      <c r="I200" s="2447">
        <v>229296286.9982</v>
      </c>
      <c r="J200" s="2447">
        <f>+J128+J138</f>
        <v>240125786.9982</v>
      </c>
      <c r="K200" s="2297"/>
    </row>
    <row r="201" spans="1:11" s="2453" customFormat="1" ht="15.75" customHeight="1" thickBot="1">
      <c r="A201" s="2448"/>
      <c r="B201" s="2449" t="s">
        <v>788</v>
      </c>
      <c r="C201" s="2450"/>
      <c r="D201" s="2451">
        <v>51126244.38823998</v>
      </c>
      <c r="E201" s="2451">
        <v>7250558.0018000007</v>
      </c>
      <c r="F201" s="2451">
        <v>19817875.001800001</v>
      </c>
      <c r="G201" s="2451">
        <v>16925678.001800001</v>
      </c>
      <c r="H201" s="2451">
        <v>16925678.001800001</v>
      </c>
      <c r="I201" s="2451">
        <v>7457478.0018000007</v>
      </c>
      <c r="J201" s="2451">
        <f>+J199-J200</f>
        <v>-3372021.9981999993</v>
      </c>
      <c r="K201" s="2452"/>
    </row>
    <row r="202" spans="1:11" s="2300" customFormat="1" ht="15.75" customHeight="1" thickTop="1">
      <c r="A202" s="2172"/>
      <c r="B202" s="2172" t="s">
        <v>1945</v>
      </c>
      <c r="C202" s="2406"/>
      <c r="D202" s="2454">
        <v>0.77525095740656313</v>
      </c>
      <c r="E202" s="2454">
        <v>0.96681614924019199</v>
      </c>
      <c r="F202" s="2454">
        <v>0.91610503221006279</v>
      </c>
      <c r="G202" s="2454">
        <v>0.92843254978056733</v>
      </c>
      <c r="H202" s="2454">
        <v>0.92843254978056733</v>
      </c>
      <c r="I202" s="2454">
        <v>0.9685011218224977</v>
      </c>
      <c r="J202" s="2454">
        <f>+J200/J199</f>
        <v>1.0142427386453601</v>
      </c>
      <c r="K202" s="2297"/>
    </row>
    <row r="203" spans="1:11" ht="15.75" customHeight="1">
      <c r="A203" s="2170"/>
      <c r="B203" s="2170"/>
      <c r="C203" s="2349"/>
      <c r="D203" s="2214"/>
      <c r="E203" s="2214"/>
      <c r="F203" s="2214"/>
      <c r="G203" s="2214"/>
      <c r="H203" s="2214"/>
      <c r="I203" s="2214"/>
      <c r="J203" s="2407"/>
      <c r="K203" s="2297"/>
    </row>
    <row r="204" spans="1:11" ht="15.75" customHeight="1">
      <c r="A204" s="2170"/>
      <c r="B204" s="2170" t="s">
        <v>789</v>
      </c>
      <c r="C204" s="2349"/>
      <c r="D204" s="2447">
        <v>19114264</v>
      </c>
      <c r="E204" s="2447">
        <v>8480967</v>
      </c>
      <c r="F204" s="2447">
        <v>8480967</v>
      </c>
      <c r="G204" s="2447">
        <v>8480967</v>
      </c>
      <c r="H204" s="2447">
        <v>8480967</v>
      </c>
      <c r="I204" s="2447">
        <v>8480967</v>
      </c>
      <c r="J204" s="2447">
        <f t="shared" ref="J204" si="3">+J192</f>
        <v>8480967</v>
      </c>
      <c r="K204" s="2454"/>
    </row>
    <row r="205" spans="1:11" s="2453" customFormat="1" ht="15.75" customHeight="1" thickBot="1">
      <c r="A205" s="2448"/>
      <c r="B205" s="2449" t="s">
        <v>790</v>
      </c>
      <c r="C205" s="2450"/>
      <c r="D205" s="2451">
        <v>32011980.38823998</v>
      </c>
      <c r="E205" s="2451">
        <v>-1230408.9981999993</v>
      </c>
      <c r="F205" s="2451">
        <v>11336908.001800001</v>
      </c>
      <c r="G205" s="2451">
        <v>8444711.0018000007</v>
      </c>
      <c r="H205" s="2451">
        <v>8444711.0018000007</v>
      </c>
      <c r="I205" s="2451">
        <v>-1023488.9981999993</v>
      </c>
      <c r="J205" s="2451">
        <f>+J201-J204</f>
        <v>-11852988.998199999</v>
      </c>
      <c r="K205" s="2452"/>
    </row>
    <row r="206" spans="1:11" ht="15.75" customHeight="1" thickTop="1">
      <c r="A206" s="2170"/>
      <c r="B206" s="2170"/>
      <c r="C206" s="2349"/>
      <c r="D206" s="2455"/>
      <c r="E206" s="2455"/>
      <c r="F206" s="2455"/>
      <c r="G206" s="2455"/>
      <c r="H206" s="2455"/>
      <c r="I206" s="2455"/>
      <c r="J206" s="2455"/>
      <c r="K206" s="2297"/>
    </row>
    <row r="207" spans="1:11" ht="15.75" customHeight="1">
      <c r="A207" s="2170"/>
      <c r="B207" s="2170" t="s">
        <v>2344</v>
      </c>
      <c r="C207" s="2349"/>
      <c r="D207" s="2447">
        <v>19260576</v>
      </c>
      <c r="E207" s="2447">
        <v>64497621</v>
      </c>
      <c r="F207" s="2447">
        <v>64497621</v>
      </c>
      <c r="G207" s="2447">
        <v>64556099</v>
      </c>
      <c r="H207" s="2447">
        <v>64556099</v>
      </c>
      <c r="I207" s="2447">
        <v>66952659</v>
      </c>
      <c r="J207" s="2447">
        <f>+J86-J94-J100-J102+J80-J101-J114</f>
        <v>66952659</v>
      </c>
      <c r="K207" s="2297"/>
    </row>
    <row r="208" spans="1:11" ht="15.75" customHeight="1">
      <c r="A208" s="2170"/>
      <c r="B208" s="2170" t="s">
        <v>2343</v>
      </c>
      <c r="C208" s="2349"/>
      <c r="D208" s="2447">
        <v>67523654.480000004</v>
      </c>
      <c r="E208" s="2447">
        <v>89155916</v>
      </c>
      <c r="F208" s="2447">
        <v>101467262</v>
      </c>
      <c r="G208" s="2447">
        <v>109192217</v>
      </c>
      <c r="H208" s="2447">
        <v>109192217</v>
      </c>
      <c r="I208" s="2447">
        <v>81874320</v>
      </c>
      <c r="J208" s="2447">
        <f>+J176-J215-J216</f>
        <v>81874320</v>
      </c>
      <c r="K208" s="2297"/>
    </row>
    <row r="209" spans="1:12" s="2453" customFormat="1" ht="15.75" customHeight="1">
      <c r="A209" s="2448"/>
      <c r="B209" s="2456" t="s">
        <v>2620</v>
      </c>
      <c r="C209" s="2457"/>
      <c r="D209" s="2458"/>
      <c r="E209" s="2458">
        <v>-24658295</v>
      </c>
      <c r="F209" s="2458">
        <v>-36969641</v>
      </c>
      <c r="G209" s="2458">
        <v>-44636118</v>
      </c>
      <c r="H209" s="2458">
        <v>-44636118</v>
      </c>
      <c r="I209" s="2458">
        <v>-14921661</v>
      </c>
      <c r="J209" s="2458">
        <f>+J207-J208</f>
        <v>-14921661</v>
      </c>
      <c r="K209" s="2452"/>
    </row>
    <row r="210" spans="1:12" s="2453" customFormat="1" ht="15.75" customHeight="1" thickBot="1">
      <c r="A210" s="2448"/>
      <c r="B210" s="2449" t="s">
        <v>792</v>
      </c>
      <c r="C210" s="2450"/>
      <c r="D210" s="2451">
        <v>-16251098.091760024</v>
      </c>
      <c r="E210" s="2451">
        <v>-25888703.998199999</v>
      </c>
      <c r="F210" s="2451">
        <v>-25632732.998199999</v>
      </c>
      <c r="G210" s="2451">
        <v>-36191406.998199999</v>
      </c>
      <c r="H210" s="2451">
        <v>-36191406.998199999</v>
      </c>
      <c r="I210" s="2451">
        <v>-15945149.998199999</v>
      </c>
      <c r="J210" s="2459">
        <f>+J205-(-J209)</f>
        <v>-26774649.998199999</v>
      </c>
      <c r="K210" s="2452"/>
    </row>
    <row r="211" spans="1:12" s="2300" customFormat="1" ht="15.75" customHeight="1" thickTop="1">
      <c r="A211" s="2172"/>
      <c r="B211" s="2172" t="s">
        <v>1946</v>
      </c>
      <c r="C211" s="2406"/>
      <c r="D211" s="2454">
        <v>0.29683143908533954</v>
      </c>
      <c r="E211" s="2454">
        <v>0.40804260998443165</v>
      </c>
      <c r="F211" s="2454">
        <v>0.42954114285461742</v>
      </c>
      <c r="G211" s="2454">
        <v>0.46170136012666235</v>
      </c>
      <c r="H211" s="2454">
        <v>0.46170136012666235</v>
      </c>
      <c r="I211" s="2454">
        <v>0.34582056171313685</v>
      </c>
      <c r="J211" s="2454">
        <f>+J208/(J199)</f>
        <v>0.34582056171313685</v>
      </c>
      <c r="K211" s="2297"/>
    </row>
    <row r="212" spans="1:12" ht="15.75" customHeight="1">
      <c r="A212" s="2170"/>
      <c r="B212" s="2170"/>
      <c r="C212" s="2349"/>
      <c r="D212" s="2455"/>
      <c r="E212" s="2455"/>
      <c r="F212" s="2455"/>
      <c r="G212" s="2455"/>
      <c r="H212" s="2455"/>
      <c r="I212" s="2455"/>
      <c r="J212" s="2460"/>
      <c r="K212" s="2297"/>
    </row>
    <row r="213" spans="1:12" s="2453" customFormat="1" ht="15.75" customHeight="1" thickBot="1">
      <c r="A213" s="2448"/>
      <c r="B213" s="2449" t="s">
        <v>793</v>
      </c>
      <c r="C213" s="2450"/>
      <c r="D213" s="2451">
        <v>14800000</v>
      </c>
      <c r="E213" s="2451">
        <v>103560000</v>
      </c>
      <c r="F213" s="2451">
        <v>109948654</v>
      </c>
      <c r="G213" s="2451">
        <v>102388654</v>
      </c>
      <c r="H213" s="2451">
        <v>102388654</v>
      </c>
      <c r="I213" s="2451">
        <v>102388654</v>
      </c>
      <c r="J213" s="2451">
        <f>+J214+J216+J215</f>
        <v>102388654</v>
      </c>
      <c r="K213" s="2452"/>
    </row>
    <row r="214" spans="1:12" ht="15.75" customHeight="1" thickTop="1">
      <c r="A214" s="2170"/>
      <c r="B214" s="2170" t="s">
        <v>794</v>
      </c>
      <c r="C214" s="2349"/>
      <c r="D214" s="2447">
        <v>14800000</v>
      </c>
      <c r="E214" s="2447">
        <v>15000000</v>
      </c>
      <c r="F214" s="2447">
        <v>15000000</v>
      </c>
      <c r="G214" s="2447">
        <v>15000000</v>
      </c>
      <c r="H214" s="2447">
        <v>15000000</v>
      </c>
      <c r="I214" s="2447">
        <v>15000000</v>
      </c>
      <c r="J214" s="2447">
        <f>+J117</f>
        <v>15000000</v>
      </c>
      <c r="K214" s="2297"/>
    </row>
    <row r="215" spans="1:12" ht="15.75" customHeight="1">
      <c r="A215" s="2170"/>
      <c r="B215" s="2170" t="s">
        <v>2618</v>
      </c>
      <c r="C215" s="2349"/>
      <c r="D215" s="2447"/>
      <c r="E215" s="2447">
        <v>7560000</v>
      </c>
      <c r="F215" s="2447">
        <v>7560000</v>
      </c>
      <c r="G215" s="2447">
        <v>0</v>
      </c>
      <c r="H215" s="2447">
        <v>0</v>
      </c>
      <c r="I215" s="2447">
        <v>0</v>
      </c>
      <c r="J215" s="2447">
        <f>+J119</f>
        <v>0</v>
      </c>
      <c r="K215" s="2297"/>
    </row>
    <row r="216" spans="1:12" ht="15.75" customHeight="1">
      <c r="A216" s="2170"/>
      <c r="B216" s="2170" t="s">
        <v>2619</v>
      </c>
      <c r="C216" s="2349"/>
      <c r="D216" s="2350"/>
      <c r="E216" s="2350">
        <v>81000000</v>
      </c>
      <c r="F216" s="2350">
        <v>87388654</v>
      </c>
      <c r="G216" s="2350">
        <v>87388654</v>
      </c>
      <c r="H216" s="2350">
        <v>87388654</v>
      </c>
      <c r="I216" s="2350">
        <v>87388654</v>
      </c>
      <c r="J216" s="2447">
        <f>+J120</f>
        <v>87388654</v>
      </c>
      <c r="K216" s="2297"/>
    </row>
    <row r="217" spans="1:12" ht="15.75" customHeight="1">
      <c r="A217" s="2170"/>
      <c r="B217" s="2170"/>
      <c r="C217" s="2349"/>
      <c r="D217" s="2214"/>
      <c r="E217" s="2214"/>
      <c r="F217" s="2214"/>
      <c r="G217" s="2214"/>
      <c r="H217" s="2214"/>
      <c r="I217" s="2214"/>
      <c r="J217" s="2214"/>
      <c r="K217" s="2297"/>
    </row>
    <row r="218" spans="1:12" s="2453" customFormat="1">
      <c r="A218" s="2448" t="s">
        <v>657</v>
      </c>
      <c r="B218" s="2448"/>
      <c r="C218" s="2461"/>
      <c r="D218" s="2462">
        <v>9.8482839779024847E-2</v>
      </c>
      <c r="E218" s="2462">
        <v>3.8202931259439729E-2</v>
      </c>
      <c r="F218" s="2462">
        <v>3.758575045793347E-2</v>
      </c>
      <c r="G218" s="2462">
        <v>3.7549553911480835E-2</v>
      </c>
      <c r="H218" s="2462">
        <v>3.7549553911480835E-2</v>
      </c>
      <c r="I218" s="2462">
        <v>3.9005546144843646E-2</v>
      </c>
      <c r="J218" s="2462">
        <f>+J225/J220</f>
        <v>3.9005546144843646E-2</v>
      </c>
      <c r="K218" s="2452"/>
    </row>
    <row r="219" spans="1:12">
      <c r="A219" s="2170"/>
      <c r="B219" s="2170"/>
      <c r="C219" s="2349"/>
      <c r="D219" s="2214"/>
      <c r="E219" s="2214"/>
      <c r="F219" s="2214"/>
      <c r="G219" s="2214"/>
      <c r="H219" s="2214"/>
      <c r="I219" s="2214"/>
      <c r="J219" s="2214"/>
      <c r="K219" s="2297"/>
    </row>
    <row r="220" spans="1:12" s="2469" customFormat="1" ht="15" thickBot="1">
      <c r="A220" s="2463"/>
      <c r="B220" s="2464" t="s">
        <v>652</v>
      </c>
      <c r="C220" s="2465"/>
      <c r="D220" s="2466">
        <v>224067554</v>
      </c>
      <c r="E220" s="2466">
        <v>282929204</v>
      </c>
      <c r="F220" s="2466">
        <v>287575073</v>
      </c>
      <c r="G220" s="2466">
        <v>287852286</v>
      </c>
      <c r="H220" s="2466">
        <v>287852286</v>
      </c>
      <c r="I220" s="2466">
        <v>277107386</v>
      </c>
      <c r="J220" s="2466">
        <f>SUM(J221:J223)</f>
        <v>277107386</v>
      </c>
      <c r="K220" s="2467"/>
      <c r="L220" s="2468"/>
    </row>
    <row r="221" spans="1:12" ht="15" thickTop="1">
      <c r="A221" s="2170"/>
      <c r="B221" s="2470" t="s">
        <v>654</v>
      </c>
      <c r="C221" s="2349"/>
      <c r="D221" s="2214">
        <v>165345711</v>
      </c>
      <c r="E221" s="2214">
        <v>175911229</v>
      </c>
      <c r="F221" s="2214">
        <v>178508330</v>
      </c>
      <c r="G221" s="2214">
        <v>178508330</v>
      </c>
      <c r="H221" s="2214">
        <v>178508330</v>
      </c>
      <c r="I221" s="2214">
        <v>178508330</v>
      </c>
      <c r="J221" s="2214">
        <f>+J6-J23</f>
        <v>178508330</v>
      </c>
      <c r="K221" s="2297"/>
    </row>
    <row r="222" spans="1:12">
      <c r="A222" s="2170"/>
      <c r="B222" s="2470" t="s">
        <v>655</v>
      </c>
      <c r="C222" s="2349"/>
      <c r="D222" s="2214">
        <v>28952967</v>
      </c>
      <c r="E222" s="2214">
        <v>28231954</v>
      </c>
      <c r="F222" s="2214">
        <v>30465922</v>
      </c>
      <c r="G222" s="2214">
        <v>30743135</v>
      </c>
      <c r="H222" s="2214">
        <v>30743135</v>
      </c>
      <c r="I222" s="2214">
        <v>30997235</v>
      </c>
      <c r="J222" s="2214">
        <f>+J30</f>
        <v>30997235</v>
      </c>
      <c r="K222" s="2297"/>
    </row>
    <row r="223" spans="1:12">
      <c r="A223" s="2170"/>
      <c r="B223" s="2470" t="s">
        <v>656</v>
      </c>
      <c r="C223" s="2349"/>
      <c r="D223" s="2214">
        <v>29768876</v>
      </c>
      <c r="E223" s="2214">
        <v>78786021</v>
      </c>
      <c r="F223" s="2214">
        <v>78600821</v>
      </c>
      <c r="G223" s="2214">
        <v>78600821</v>
      </c>
      <c r="H223" s="2214">
        <v>78600821</v>
      </c>
      <c r="I223" s="2214">
        <v>67601821</v>
      </c>
      <c r="J223" s="2214">
        <f>+J86</f>
        <v>67601821</v>
      </c>
      <c r="K223" s="2297"/>
    </row>
    <row r="224" spans="1:12" ht="14.25">
      <c r="A224" s="2170"/>
      <c r="B224" s="2170"/>
      <c r="C224" s="2297"/>
      <c r="D224" s="2170"/>
      <c r="E224" s="2170"/>
      <c r="F224" s="2170"/>
      <c r="G224" s="2170"/>
      <c r="H224" s="2170"/>
      <c r="I224" s="2170"/>
      <c r="J224" s="2170"/>
      <c r="K224" s="2172"/>
    </row>
    <row r="225" spans="1:12" s="2469" customFormat="1" ht="15" thickBot="1">
      <c r="A225" s="2463"/>
      <c r="B225" s="2464" t="s">
        <v>653</v>
      </c>
      <c r="C225" s="2465"/>
      <c r="D225" s="2466">
        <v>22066809.020259999</v>
      </c>
      <c r="E225" s="2466">
        <v>10808724.931700001</v>
      </c>
      <c r="F225" s="2466">
        <v>10808724.931700001</v>
      </c>
      <c r="G225" s="2466">
        <v>10808724.931700001</v>
      </c>
      <c r="H225" s="2466">
        <v>10808724.931700001</v>
      </c>
      <c r="I225" s="2466">
        <v>10808724.931700001</v>
      </c>
      <c r="J225" s="2466">
        <f>SUM(J226:J227)</f>
        <v>10808724.931700001</v>
      </c>
      <c r="K225" s="2467"/>
      <c r="L225" s="2468"/>
    </row>
    <row r="226" spans="1:12" ht="15" thickTop="1">
      <c r="A226" s="2170"/>
      <c r="B226" s="2470" t="s">
        <v>129</v>
      </c>
      <c r="C226" s="2349"/>
      <c r="D226" s="2214">
        <v>2952545.0202600001</v>
      </c>
      <c r="E226" s="2214">
        <v>2327757.9317000001</v>
      </c>
      <c r="F226" s="2214">
        <v>2327757.9317000001</v>
      </c>
      <c r="G226" s="2214">
        <v>2327757.9317000001</v>
      </c>
      <c r="H226" s="2214">
        <v>2327757.9317000001</v>
      </c>
      <c r="I226" s="2214">
        <v>2327757.9317000001</v>
      </c>
      <c r="J226" s="2214">
        <f>+J174+J175</f>
        <v>2327757.9317000001</v>
      </c>
      <c r="K226" s="2297"/>
    </row>
    <row r="227" spans="1:12">
      <c r="A227" s="2170"/>
      <c r="B227" s="2470" t="s">
        <v>738</v>
      </c>
      <c r="C227" s="2349"/>
      <c r="D227" s="2214">
        <v>19114264</v>
      </c>
      <c r="E227" s="2214">
        <v>8480967</v>
      </c>
      <c r="F227" s="2214">
        <v>8480967</v>
      </c>
      <c r="G227" s="2214">
        <v>8480967</v>
      </c>
      <c r="H227" s="2214">
        <v>8480967</v>
      </c>
      <c r="I227" s="2214">
        <v>8480967</v>
      </c>
      <c r="J227" s="2214">
        <f>+J192</f>
        <v>8480967</v>
      </c>
      <c r="K227" s="2297"/>
    </row>
    <row r="228" spans="1:12">
      <c r="A228" s="3025">
        <v>0.56111111111111112</v>
      </c>
      <c r="B228" s="2170"/>
      <c r="C228" s="2349"/>
      <c r="D228" s="2214"/>
      <c r="E228" s="2214"/>
      <c r="F228" s="2214"/>
      <c r="G228" s="2214"/>
      <c r="H228" s="2214"/>
      <c r="I228" s="2214"/>
      <c r="J228" s="2407"/>
      <c r="K228" s="2297"/>
    </row>
    <row r="229" spans="1:12">
      <c r="A229" s="2171" t="s">
        <v>245</v>
      </c>
      <c r="B229" s="2170"/>
      <c r="C229" s="2349"/>
      <c r="D229" s="2214"/>
      <c r="E229" s="2214"/>
      <c r="F229" s="2214"/>
      <c r="G229" s="2214"/>
      <c r="H229" s="2214"/>
      <c r="I229" s="2214"/>
      <c r="J229" s="2214"/>
      <c r="K229" s="2297"/>
    </row>
    <row r="230" spans="1:12" s="2242" customFormat="1">
      <c r="A230" s="2171"/>
      <c r="B230" s="2171" t="s">
        <v>246</v>
      </c>
      <c r="C230" s="2349"/>
      <c r="D230" s="2176">
        <v>48064408.38823998</v>
      </c>
      <c r="E230" s="2176">
        <v>7250558.0018000007</v>
      </c>
      <c r="F230" s="2176">
        <v>6737875.0018000007</v>
      </c>
      <c r="G230" s="2176">
        <v>3845678.0018000007</v>
      </c>
      <c r="H230" s="2176">
        <v>3845678.0018000007</v>
      </c>
      <c r="I230" s="2176">
        <v>-5622521.9981999993</v>
      </c>
      <c r="J230" s="2176">
        <f>+J6+J30+J94+J101-J127-J23+J114+J100</f>
        <v>-16452021.998199999</v>
      </c>
      <c r="K230" s="2467"/>
    </row>
    <row r="231" spans="1:12" s="2469" customFormat="1" ht="15" thickBot="1">
      <c r="A231" s="2171"/>
      <c r="B231" s="2464" t="s">
        <v>247</v>
      </c>
      <c r="C231" s="2465"/>
      <c r="D231" s="2471">
        <v>0.22901775094643639</v>
      </c>
      <c r="E231" s="2471">
        <v>3.3515792680199268E-2</v>
      </c>
      <c r="F231" s="2471">
        <v>2.8787146732902433E-2</v>
      </c>
      <c r="G231" s="2471">
        <v>1.6406886079060434E-2</v>
      </c>
      <c r="H231" s="2471">
        <v>1.6406886079060434E-2</v>
      </c>
      <c r="I231" s="2471">
        <v>-2.2667456030739858E-2</v>
      </c>
      <c r="J231" s="2471">
        <f>J230/(J6+J30+J94+J100+J80+J114)</f>
        <v>-6.6327083358740463E-2</v>
      </c>
      <c r="K231" s="2472"/>
    </row>
    <row r="232" spans="1:12" ht="15" thickTop="1">
      <c r="A232" s="2171"/>
      <c r="B232" s="2170"/>
      <c r="C232" s="2349"/>
      <c r="D232" s="2214"/>
      <c r="E232" s="2214"/>
      <c r="F232" s="2214"/>
      <c r="G232" s="2214"/>
      <c r="H232" s="2214"/>
      <c r="I232" s="2214"/>
      <c r="J232" s="2214"/>
      <c r="K232" s="2297"/>
    </row>
    <row r="233" spans="1:12" s="2242" customFormat="1">
      <c r="A233" s="2171"/>
      <c r="B233" s="2171" t="s">
        <v>676</v>
      </c>
      <c r="C233" s="2467"/>
      <c r="D233" s="2473">
        <v>2.9359456516531016E-8</v>
      </c>
      <c r="E233" s="2473"/>
      <c r="F233" s="2473"/>
      <c r="G233" s="2473"/>
      <c r="H233" s="2473"/>
      <c r="I233" s="2473"/>
      <c r="J233" s="2474"/>
      <c r="K233" s="2467"/>
    </row>
    <row r="234" spans="1:12">
      <c r="A234" s="2171"/>
      <c r="B234" s="2470" t="s">
        <v>2582</v>
      </c>
      <c r="C234" s="2349">
        <v>1.4</v>
      </c>
      <c r="D234" s="2475">
        <f>+((D6+D30+D86-D96-D105)-(D128+D138-D174))/(D174+D192)</f>
        <v>3.3887604383508148</v>
      </c>
      <c r="E234" s="2475">
        <v>6.847332816883843</v>
      </c>
      <c r="F234" s="2475">
        <v>8.0100339753842675</v>
      </c>
      <c r="G234" s="2475">
        <v>7.7424541250063816</v>
      </c>
      <c r="H234" s="2475">
        <v>7.7424541250063816</v>
      </c>
      <c r="I234" s="2475">
        <v>5.8488727701905638</v>
      </c>
      <c r="J234" s="2475">
        <f>+((J6+J30+J86)-(J128+J138-J174))/(J174+J192)</f>
        <v>4.8469507055223184</v>
      </c>
      <c r="K234" s="2297"/>
    </row>
    <row r="235" spans="1:12">
      <c r="A235" s="2171"/>
      <c r="B235" s="2470"/>
      <c r="C235" s="2349"/>
      <c r="D235" s="2476">
        <v>22066809.020259999</v>
      </c>
      <c r="E235" s="2476">
        <v>10808724.931700001</v>
      </c>
      <c r="F235" s="2476">
        <v>10808724.931700001</v>
      </c>
      <c r="G235" s="2476">
        <v>10808724.931700001</v>
      </c>
      <c r="H235" s="2476">
        <v>10808724.931700001</v>
      </c>
      <c r="I235" s="2476">
        <v>10808724.931700001</v>
      </c>
      <c r="J235" s="2476">
        <f>+J225</f>
        <v>10808724.931700001</v>
      </c>
      <c r="K235" s="2297"/>
    </row>
    <row r="236" spans="1:12" ht="28.9">
      <c r="A236" s="2170"/>
      <c r="B236" s="2470"/>
      <c r="C236" s="2349"/>
      <c r="D236" s="2477" t="s">
        <v>1591</v>
      </c>
      <c r="E236" s="2477" t="s">
        <v>1821</v>
      </c>
      <c r="F236" s="2477" t="s">
        <v>1822</v>
      </c>
      <c r="G236" s="2477" t="s">
        <v>1822</v>
      </c>
      <c r="H236" s="2477" t="s">
        <v>1822</v>
      </c>
      <c r="I236" s="2477" t="s">
        <v>1822</v>
      </c>
      <c r="J236" s="2477" t="s">
        <v>1822</v>
      </c>
      <c r="K236" s="2297"/>
    </row>
    <row r="237" spans="1:12" s="2242" customFormat="1" ht="15" thickBot="1">
      <c r="A237" s="2171"/>
      <c r="B237" s="2478" t="s">
        <v>726</v>
      </c>
      <c r="C237" s="2479"/>
      <c r="D237" s="2480">
        <v>126137552</v>
      </c>
      <c r="E237" s="2480">
        <v>119478441.8705</v>
      </c>
      <c r="F237" s="2480">
        <f>SUM(F238:F243)</f>
        <v>114119774</v>
      </c>
      <c r="G237" s="2480">
        <v>114119774</v>
      </c>
      <c r="H237" s="2480">
        <v>114119774</v>
      </c>
      <c r="I237" s="2480">
        <v>114119774</v>
      </c>
      <c r="J237" s="2480">
        <f>SUM(J238:J243)</f>
        <v>114119774</v>
      </c>
      <c r="K237" s="2467"/>
      <c r="L237" s="2481"/>
    </row>
    <row r="238" spans="1:12" s="2242" customFormat="1" ht="15" thickTop="1">
      <c r="A238" s="2171"/>
      <c r="B238" s="2482" t="s">
        <v>728</v>
      </c>
      <c r="C238" s="2349"/>
      <c r="D238" s="2447">
        <v>11818172</v>
      </c>
      <c r="E238" s="2447">
        <v>409080</v>
      </c>
      <c r="F238" s="2447">
        <v>0</v>
      </c>
      <c r="G238" s="2447">
        <v>0</v>
      </c>
      <c r="H238" s="2447">
        <v>0</v>
      </c>
      <c r="I238" s="2447">
        <v>0</v>
      </c>
      <c r="J238" s="2447">
        <v>0</v>
      </c>
      <c r="K238" s="2467"/>
      <c r="L238" s="2481"/>
    </row>
    <row r="239" spans="1:12" s="2242" customFormat="1">
      <c r="A239" s="2171"/>
      <c r="B239" s="2482" t="s">
        <v>729</v>
      </c>
      <c r="C239" s="2349"/>
      <c r="D239" s="2447">
        <v>72938360</v>
      </c>
      <c r="E239" s="2447">
        <v>67819868</v>
      </c>
      <c r="F239" s="2447">
        <v>62274825</v>
      </c>
      <c r="G239" s="2447">
        <v>62274825</v>
      </c>
      <c r="H239" s="2447">
        <v>62274825</v>
      </c>
      <c r="I239" s="2447">
        <v>62274825</v>
      </c>
      <c r="J239" s="2447">
        <v>62274825</v>
      </c>
      <c r="K239" s="2467"/>
      <c r="L239" s="2481"/>
    </row>
    <row r="240" spans="1:12" s="2242" customFormat="1">
      <c r="A240" s="2171"/>
      <c r="B240" s="2482" t="s">
        <v>766</v>
      </c>
      <c r="C240" s="2349"/>
      <c r="D240" s="2447">
        <v>26037720</v>
      </c>
      <c r="E240" s="2447">
        <v>23773560</v>
      </c>
      <c r="F240" s="2447">
        <v>21509400</v>
      </c>
      <c r="G240" s="2447">
        <v>21509400</v>
      </c>
      <c r="H240" s="2447">
        <v>21509400</v>
      </c>
      <c r="I240" s="2447">
        <v>21509400</v>
      </c>
      <c r="J240" s="2447">
        <v>21509400</v>
      </c>
      <c r="K240" s="2467"/>
      <c r="L240" s="2481"/>
    </row>
    <row r="241" spans="1:11" s="2453" customFormat="1">
      <c r="A241" s="2448"/>
      <c r="B241" s="2483" t="s">
        <v>2341</v>
      </c>
      <c r="C241" s="2467"/>
      <c r="D241" s="2357">
        <v>13260000</v>
      </c>
      <c r="E241" s="2357">
        <v>14297184.8705</v>
      </c>
      <c r="F241" s="2357">
        <v>13803582</v>
      </c>
      <c r="G241" s="2357">
        <v>13803582</v>
      </c>
      <c r="H241" s="2357">
        <v>13803582</v>
      </c>
      <c r="I241" s="2357">
        <v>13803582</v>
      </c>
      <c r="J241" s="2357">
        <v>13803582</v>
      </c>
      <c r="K241" s="2467"/>
    </row>
    <row r="242" spans="1:11" s="2453" customFormat="1">
      <c r="A242" s="2448"/>
      <c r="B242" s="2482" t="s">
        <v>1590</v>
      </c>
      <c r="C242" s="2452"/>
      <c r="D242" s="2447">
        <v>2083300</v>
      </c>
      <c r="E242" s="2447">
        <v>13178749</v>
      </c>
      <c r="F242" s="2447">
        <v>13920622</v>
      </c>
      <c r="G242" s="2447">
        <v>13920622</v>
      </c>
      <c r="H242" s="2447">
        <v>13920622</v>
      </c>
      <c r="I242" s="2447">
        <v>13920622</v>
      </c>
      <c r="J242" s="2447">
        <v>13920622</v>
      </c>
      <c r="K242" s="2467"/>
    </row>
    <row r="243" spans="1:11" s="2453" customFormat="1">
      <c r="A243" s="2448"/>
      <c r="B243" s="2484" t="s">
        <v>2621</v>
      </c>
      <c r="C243" s="2485"/>
      <c r="D243" s="2486"/>
      <c r="E243" s="2486"/>
      <c r="F243" s="2486">
        <v>2611345</v>
      </c>
      <c r="G243" s="2486">
        <v>2611345</v>
      </c>
      <c r="H243" s="2486">
        <v>2611345</v>
      </c>
      <c r="I243" s="2486">
        <v>2611345</v>
      </c>
      <c r="J243" s="2486">
        <v>2611345</v>
      </c>
      <c r="K243" s="2467"/>
    </row>
    <row r="244" spans="1:11" s="2453" customFormat="1">
      <c r="A244" s="2325" t="s">
        <v>545</v>
      </c>
      <c r="B244" s="2487"/>
      <c r="C244" s="2488"/>
      <c r="D244" s="2488"/>
      <c r="E244" s="2488"/>
      <c r="F244" s="2488"/>
      <c r="G244" s="2488"/>
      <c r="H244" s="2488"/>
      <c r="I244" s="2488"/>
      <c r="J244" s="2488"/>
      <c r="K244" s="2319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7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celkem'!J14</f>
        <v>0</v>
      </c>
      <c r="G5" s="337">
        <f>+G14-'Výdaje kapitol celkem'!K14</f>
        <v>0</v>
      </c>
      <c r="H5" s="337">
        <f>+H14-'Výdaje kapitol celkem'!L14</f>
        <v>0</v>
      </c>
      <c r="I5" s="337">
        <f>+I14-'Výdaje kapitol celkem'!M14</f>
        <v>0</v>
      </c>
      <c r="J5" s="337">
        <f>+J14-'Výdaje kapitol celkem'!N14</f>
        <v>0</v>
      </c>
      <c r="K5" s="337">
        <f>+K14-'Výdaje kapitol celkem'!P14</f>
        <v>-43200</v>
      </c>
      <c r="L5" s="337">
        <f>+L14-'Výdaje kapitol celkem'!Q14</f>
        <v>0</v>
      </c>
      <c r="M5" s="337">
        <f>+M14-'Výdaje kapitol celkem'!R14</f>
        <v>-201555</v>
      </c>
      <c r="N5" s="337">
        <f>+N14-'Výdaje kapitol celkem'!S14</f>
        <v>-201555</v>
      </c>
      <c r="O5" s="337">
        <f>+O14-'Výdaje kapitol celkem'!T14</f>
        <v>0</v>
      </c>
      <c r="P5" s="337">
        <f>+P14-'Výdaje kapitol celkem'!U14</f>
        <v>-18990</v>
      </c>
      <c r="Q5" s="337">
        <f>+Q14-'Výdaje kapitol celkem'!V14</f>
        <v>-4500</v>
      </c>
      <c r="R5" s="337">
        <f>+R14-'Výdaje kapitol celkem'!W14</f>
        <v>-16200</v>
      </c>
      <c r="S5" s="337">
        <f>+S14-'Výdaje kapitol celkem'!Y14</f>
        <v>0</v>
      </c>
      <c r="T5" s="337">
        <f>+T14-'Výdaje kapitol celkem'!Z14</f>
        <v>-123750</v>
      </c>
      <c r="U5" s="337">
        <f>+U14-'Výdaje kapitol celkem'!AA14</f>
        <v>0</v>
      </c>
      <c r="V5" s="337">
        <f>+V14-'Výdaje kapitol celkem'!AB14</f>
        <v>0</v>
      </c>
      <c r="W5" s="337">
        <f>+W14-'Výdaje kapitol celkem'!AC14</f>
        <v>-12960</v>
      </c>
      <c r="X5" s="337">
        <f>+X14-'Výdaje kapitol celkem'!AD14</f>
        <v>-20880</v>
      </c>
      <c r="Y5" s="337">
        <f>+Y14-'Výdaje kapitol celkem'!AE14</f>
        <v>0</v>
      </c>
      <c r="Z5" s="337">
        <f>+Z14-'Výdaje kapitol celkem'!AF14</f>
        <v>0</v>
      </c>
      <c r="AA5" s="337">
        <f>+AA14-'Výdaje kapitol celkem'!AG14</f>
        <v>0</v>
      </c>
      <c r="AB5" s="337">
        <f>+AB14-'Výdaje kapitol celkem'!AH14</f>
        <v>0</v>
      </c>
      <c r="AC5" s="337">
        <f>+AC14-'Výdaje kapitol celkem'!AI14</f>
        <v>0</v>
      </c>
      <c r="AD5" s="337">
        <f>+AD14-'Výdaje kapitol celkem'!AJ14</f>
        <v>0</v>
      </c>
      <c r="AE5" s="337">
        <f>+AE14-'Výdaje kapitol celkem'!AK14</f>
        <v>0</v>
      </c>
      <c r="AF5" s="337">
        <f>+AF14-'Výdaje kapitol celkem'!AL14</f>
        <v>0</v>
      </c>
      <c r="AG5" s="337">
        <f>+AG14-'Výdaje kapitol celkem'!AM14</f>
        <v>0</v>
      </c>
      <c r="AH5" s="337">
        <f>+AH14-'Výdaje kapitol celkem'!AN14</f>
        <v>0</v>
      </c>
      <c r="AI5" s="337">
        <f>+AI14-'Výdaje kapitol celkem'!AO14</f>
        <v>-1350</v>
      </c>
      <c r="AJ5" s="337">
        <f>+AJ14-'Výdaje kapitol celkem'!AP14</f>
        <v>0</v>
      </c>
      <c r="AK5" s="337">
        <f>+AK14-'Výdaje kapitol celkem'!AQ14</f>
        <v>0</v>
      </c>
      <c r="AL5" s="337">
        <f>+AL14-'Výdaje kapitol celkem'!AR14</f>
        <v>0</v>
      </c>
      <c r="AM5" s="337">
        <f>+AM14-'Výdaje kapitol celkem'!AS14</f>
        <v>0</v>
      </c>
      <c r="AN5" s="337">
        <f>+AN14-'Výdaje kapitol celkem'!AT14</f>
        <v>0</v>
      </c>
      <c r="AO5" s="337">
        <f>+AO14-'Výdaje kapitol celkem'!AU14</f>
        <v>0</v>
      </c>
      <c r="AP5" s="337">
        <f>+AP14-'Výdaje kapitol celkem'!AV14</f>
        <v>0</v>
      </c>
      <c r="AQ5" s="337">
        <f>+AQ14-'Výdaje kapitol celkem'!AW14</f>
        <v>0</v>
      </c>
      <c r="AR5" s="337">
        <f>+AR14-'Výdaje kapitol celkem'!AX14</f>
        <v>0</v>
      </c>
      <c r="AS5" s="337">
        <f>+AS14-'Výdaje kapitol celkem'!AY14</f>
        <v>0</v>
      </c>
      <c r="AT5" s="337">
        <f>+AT14-'Výdaje kapitol celkem'!AZ14</f>
        <v>0</v>
      </c>
      <c r="AU5" s="337">
        <f>+AU14-'Výdaje kapitol celkem'!BA14</f>
        <v>0</v>
      </c>
      <c r="AV5" s="337">
        <f>+AV14-'Výdaje kapitol celkem'!BB14</f>
        <v>0</v>
      </c>
      <c r="AW5" s="337">
        <f>+AW14-'Výdaje kapitol celkem'!BC14</f>
        <v>0</v>
      </c>
      <c r="AX5" s="337">
        <f>+AX14-'Výdaje kapitol celkem'!BD14</f>
        <v>0</v>
      </c>
      <c r="AY5" s="337">
        <f>+AY14-'Výdaje kapitol celkem'!BE14</f>
        <v>0</v>
      </c>
      <c r="AZ5" s="337">
        <f>+AZ14-'Výdaje kapitol celkem'!BF14</f>
        <v>0</v>
      </c>
      <c r="BA5" s="337">
        <f>+BA14-'Výdaje kapitol celkem'!BG14</f>
        <v>0</v>
      </c>
      <c r="BB5" s="337">
        <f>+BB14-'Výdaje kapitol celkem'!BH14</f>
        <v>0</v>
      </c>
      <c r="BC5" s="337">
        <f>+BC14-'Výdaje kapitol celkem'!BI14</f>
        <v>0</v>
      </c>
      <c r="BD5" s="337">
        <f>+BD14-'Výdaje kapitol celkem'!BJ14</f>
        <v>0</v>
      </c>
      <c r="BE5" s="337">
        <f>+BE14-'Výdaje kapitol celkem'!BK14</f>
        <v>0</v>
      </c>
      <c r="BF5" s="337">
        <f>+BF14-'Výdaje kapitol celkem'!BL14</f>
        <v>0</v>
      </c>
      <c r="BG5" s="337">
        <f>+BG14-'Výdaje kapitol celkem'!BM14</f>
        <v>0</v>
      </c>
      <c r="BH5" s="337">
        <f>+BH14-'Výdaje kapitol celkem'!BN14</f>
        <v>0</v>
      </c>
      <c r="BI5" s="337">
        <f>+BI14-'Výdaje kapitol celkem'!BO14</f>
        <v>0</v>
      </c>
      <c r="BJ5" s="337">
        <f>+BJ14-'Výdaje kapitol celkem'!BP14</f>
        <v>0</v>
      </c>
      <c r="BK5" s="337">
        <f>+BK14-'Výdaje kapitol celkem'!BQ14</f>
        <v>0</v>
      </c>
      <c r="BL5" s="337">
        <f>+BL14-'Výdaje kapitol celkem'!BR14</f>
        <v>0</v>
      </c>
      <c r="BM5" s="337">
        <f>+BM14-'Výdaje kapitol celkem'!BS14</f>
        <v>0</v>
      </c>
      <c r="BN5" s="337">
        <f>+BN14-'Výdaje kapitol celkem'!BT14</f>
        <v>0</v>
      </c>
      <c r="BO5" s="337">
        <f>+BO14-'Výdaje kapitol celkem'!BU14</f>
        <v>0</v>
      </c>
      <c r="BP5" s="337">
        <f>+BP14-'Výdaje kapitol celkem'!BV14</f>
        <v>0</v>
      </c>
      <c r="BQ5" s="337">
        <f>+BQ14-'Výdaje kapitol celkem'!BW14</f>
        <v>0</v>
      </c>
      <c r="BR5" s="337">
        <f>+BR14-'Výdaje kapitol celkem'!BX14</f>
        <v>0</v>
      </c>
      <c r="BS5" s="337">
        <f>+BS14-'Výdaje kapitol celkem'!BY14</f>
        <v>0</v>
      </c>
      <c r="BT5" s="337">
        <f>+BT14-'Výdaje kapitol celkem'!BZ14</f>
        <v>0</v>
      </c>
      <c r="BU5" s="337">
        <f>+BU14-'Výdaje kapitol celkem'!CA14</f>
        <v>0</v>
      </c>
      <c r="BV5" s="337">
        <f>+BV14-'Výdaje kapitol celkem'!CB14</f>
        <v>0</v>
      </c>
      <c r="BW5" s="337">
        <f>+BW14-'Výdaje kapitol celkem'!CC14</f>
        <v>0</v>
      </c>
      <c r="BX5" s="337">
        <f>+BX14-'Výdaje kapitol celkem'!CD14</f>
        <v>0</v>
      </c>
      <c r="BY5" s="337">
        <f>+BY14-'Výdaje kapitol celkem'!CE14</f>
        <v>0</v>
      </c>
      <c r="BZ5" s="337">
        <f>+BZ14-'Výdaje kapitol celkem'!CF14</f>
        <v>0</v>
      </c>
      <c r="CA5" s="337">
        <f>+CA14-'Výdaje kapitol celkem'!CG14</f>
        <v>0</v>
      </c>
      <c r="CB5" s="337">
        <f>+CB14-'Výdaje kapitol celkem'!CH14</f>
        <v>0</v>
      </c>
      <c r="CC5" s="337">
        <f>+CC14-'Výdaje kapitol celkem'!CI14</f>
        <v>0</v>
      </c>
      <c r="CD5" s="337">
        <f>+CD14-'Výdaje kapitol celkem'!CJ14</f>
        <v>0</v>
      </c>
      <c r="CE5" s="337">
        <f>+CE14-'Výdaje kapitol celkem'!CK14</f>
        <v>0</v>
      </c>
      <c r="CF5" s="337">
        <f>+CF14-'Výdaje kapitol celkem'!CL14</f>
        <v>0</v>
      </c>
      <c r="CG5" s="337">
        <f>+CG14-'Výdaje kapitol celkem'!CM14</f>
        <v>0</v>
      </c>
      <c r="CH5" s="337">
        <f>+CH14-'Výdaje kapitol celkem'!CN14</f>
        <v>0</v>
      </c>
      <c r="CI5" s="337">
        <f>+CI14-'Výdaje kapitol celkem'!CO14</f>
        <v>0</v>
      </c>
      <c r="CJ5" s="337">
        <f>+CJ14-'Výdaje kapitol celkem'!CP14</f>
        <v>0</v>
      </c>
      <c r="CK5" s="337">
        <f>+CK14-'Výdaje kapitol celkem'!CQ14</f>
        <v>0</v>
      </c>
      <c r="CL5" s="337">
        <f>+CL14-'Výdaje kapitol celkem'!CR14</f>
        <v>0</v>
      </c>
      <c r="CM5" s="337">
        <f>+CM14-'Výdaje kapitol celkem'!CS14</f>
        <v>0</v>
      </c>
      <c r="CN5" s="337">
        <f>+CN14-'Výdaje kapitol celkem'!CT14</f>
        <v>0</v>
      </c>
      <c r="CO5" s="337">
        <f>+CO14-'Výdaje kapitol celkem'!CU14</f>
        <v>0</v>
      </c>
      <c r="CP5" s="337">
        <f>+CP14-'Výdaje kapitol celkem'!CV14</f>
        <v>0</v>
      </c>
      <c r="CQ5" s="337">
        <f>+CQ14-'Výdaje kapitol celkem'!CW14</f>
        <v>0</v>
      </c>
      <c r="CR5" s="337">
        <f>+CR14-'Výdaje kapitol celkem'!CX14</f>
        <v>0</v>
      </c>
      <c r="CS5" s="337">
        <f>+CS14-'Výdaje kapitol celkem'!CY14</f>
        <v>0</v>
      </c>
      <c r="CT5" s="337">
        <f>+CT14-'Výdaje kapitol celkem'!CZ14</f>
        <v>0</v>
      </c>
      <c r="CU5" s="337">
        <f>+CU14-'Výdaje kapitol celkem'!DA14</f>
        <v>0</v>
      </c>
      <c r="CV5" s="337">
        <f>+CV14-'Výdaje kapitol celkem'!DB14</f>
        <v>0</v>
      </c>
      <c r="CW5" s="337">
        <f>+CW14-'Výdaje kapitol celkem'!DC14</f>
        <v>0</v>
      </c>
      <c r="CX5" s="337">
        <f>+CX14-'Výdaje kapitol celkem'!DD14</f>
        <v>0</v>
      </c>
      <c r="CY5" s="337">
        <f>+CY14-'Výdaje kapitol celkem'!DE14</f>
        <v>0</v>
      </c>
      <c r="CZ5" s="337">
        <f>+CZ14-'Výdaje kapitol celkem'!DF14</f>
        <v>0</v>
      </c>
      <c r="DA5" s="337">
        <f>+DA14-'Výdaje kapitol celkem'!DG14</f>
        <v>0</v>
      </c>
      <c r="DB5" s="337">
        <f>+DB14-'Výdaje kapitol celkem'!DH14</f>
        <v>0</v>
      </c>
      <c r="DC5" s="337">
        <f>+DC14-'Výdaje kapitol celkem'!DI14</f>
        <v>0</v>
      </c>
      <c r="DD5" s="337">
        <f>+DD14-'Výdaje kapitol celkem'!DJ14</f>
        <v>0</v>
      </c>
      <c r="DE5" s="337">
        <f>+DE14-'Výdaje kapitol celkem'!DK14</f>
        <v>0</v>
      </c>
      <c r="DF5" s="337">
        <f>+DF14-'Výdaje kapitol celkem'!DL14</f>
        <v>0</v>
      </c>
      <c r="DG5" s="337">
        <f>+DG14-'Výdaje kapitol celkem'!DM14</f>
        <v>0</v>
      </c>
      <c r="DH5" s="337">
        <f>+DH14-'Výdaje kapitol celkem'!DN14</f>
        <v>0</v>
      </c>
      <c r="DI5" s="337">
        <f>+DI14-'Výdaje kapitol celkem'!DO14</f>
        <v>0</v>
      </c>
      <c r="DJ5" s="337">
        <f>+DJ14-'Výdaje kapitol celkem'!DP14</f>
        <v>0</v>
      </c>
      <c r="DK5" s="337">
        <f>+DK14-'Výdaje kapitol celkem'!DQ14</f>
        <v>0</v>
      </c>
      <c r="DL5" s="337">
        <f>+DL14-'Výdaje kapitol celkem'!DR14</f>
        <v>0</v>
      </c>
      <c r="DM5" s="337">
        <f>+DM14-'Výdaje kapitol celkem'!DS14</f>
        <v>0</v>
      </c>
      <c r="DN5" s="337">
        <f>+DN14-'Výdaje kapitol celkem'!DT14</f>
        <v>0</v>
      </c>
      <c r="DO5" s="337">
        <f>+DO14-'Výdaje kapitol celkem'!DU14</f>
        <v>0</v>
      </c>
      <c r="DP5" s="337">
        <f>+DP14-'Výdaje kapitol celkem'!DV14</f>
        <v>0</v>
      </c>
      <c r="DQ5" s="337">
        <f>+DQ14-'Výdaje kapitol celkem'!DW14</f>
        <v>0</v>
      </c>
      <c r="DR5" s="337">
        <f>+DR14-'Výdaje kapitol celkem'!DX14</f>
        <v>0</v>
      </c>
      <c r="DS5" s="337">
        <f>+DS14-'Výdaje kapitol celkem'!DY14</f>
        <v>0</v>
      </c>
      <c r="DT5" s="337">
        <f>+DT14-'Výdaje kapitol celkem'!DZ14</f>
        <v>0</v>
      </c>
      <c r="DU5" s="337">
        <f>+DU14-'Výdaje kapitol celkem'!EA14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celkem'!I8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celkem'!I9</f>
        <v>-211500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celkem'!I10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celkem'!I11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celkem'!I12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celkem'!I13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celkem'!I14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celkem'!I15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celkem'!I19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celkem'!I20</f>
        <v>-50000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celkem'!I21</f>
        <v>-207000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celkem'!I22</f>
        <v>-1647000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celkem'!I23</f>
        <v>22000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celkem'!I24</f>
        <v>1403460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celkem'!I25</f>
        <v>1764500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celkem'!I26</f>
        <v>-77000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celkem'!I27</f>
        <v>-50000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celkem'!I28</f>
        <v>-244545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celkem'!I29</f>
        <v>-387990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celkem'!I30</f>
        <v>-85218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celkem'!I31</f>
        <v>-100000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celkem'!I32</f>
        <v>-537900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celkem'!I33</f>
        <v>-352420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celkem'!I34</f>
        <v>-7918800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celkem'!I35</f>
        <v>-23717720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celkem'!I36</f>
        <v>93000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celkem'!I37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celkem'!I38</f>
        <v>-20000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celkem'!I39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celkem'!I40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celkem'!I41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celkem'!I42</f>
        <v>-45000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celkem'!I43</f>
        <v>-1759980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celkem'!I44</f>
        <v>-22936324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celkem'!I45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celkem'!I46</f>
        <v>-2565000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celkem'!I47</f>
        <v>-10829500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celkem'!I48</f>
        <v>460000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celkem'!I49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celkem'!I50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celkem'!I51</f>
        <v>-5041.1750000000029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celkem'!I53</f>
        <v>624787.08856000006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celkem'!I54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celkem'!I56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celkem'!I57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celkem'!I58</f>
        <v>-56028547.519999996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celkem'!I59</f>
        <v>7918340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celkem'!I60</f>
        <v>-520000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celkem'!I61</f>
        <v>-1200000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celkem'!I62</f>
        <v>-4496152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celkem'!I63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celkem'!I64</f>
        <v>-4085000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celkem'!I65</f>
        <v>-23600000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celkem'!I66</f>
        <v>-6468080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175778689.90823996</v>
      </c>
      <c r="F67" s="841"/>
      <c r="G67" s="842"/>
      <c r="H67" s="843"/>
      <c r="I67" s="365"/>
      <c r="J67" s="573">
        <f>J75</f>
        <v>175778689.90823996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175778689.90823996</v>
      </c>
      <c r="DW67" s="873">
        <f t="shared" si="12"/>
        <v>0</v>
      </c>
      <c r="DX67" s="333">
        <f>+E67-'Výdaje kapitol celkem'!I67</f>
        <v>158153339.90643996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celkem'!I68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253292344.38823998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177893689.90823996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099" t="s">
        <v>119</v>
      </c>
      <c r="B74" s="3100"/>
      <c r="C74" s="328">
        <v>205296607</v>
      </c>
      <c r="D74" s="328">
        <v>212292757.63999999</v>
      </c>
      <c r="E74" s="328">
        <f>+E55+E69+E72</f>
        <v>435495078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182703081.90823996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099" t="s">
        <v>128</v>
      </c>
      <c r="B75" s="3101"/>
      <c r="C75" s="422">
        <v>0</v>
      </c>
      <c r="D75" s="422">
        <v>0</v>
      </c>
      <c r="E75" s="422">
        <f>+'Příjmy kapitol celkem'!K106-'Výdaje kapitol celkem (2)'!E74</f>
        <v>0</v>
      </c>
      <c r="F75" s="325"/>
      <c r="G75" s="425"/>
      <c r="H75" s="325"/>
      <c r="I75" s="325"/>
      <c r="J75" s="423">
        <f>'Příjmy kapitol celkem'!K106-E55-SUM(E56:E66)-E68-E71</f>
        <v>175778689.90823996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workbookViewId="0"/>
  </sheetViews>
  <sheetFormatPr defaultColWidth="9" defaultRowHeight="13.5" outlineLevelRow="1" outlineLevelCol="1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2375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2707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2319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1933</v>
      </c>
      <c r="Q4" s="110"/>
    </row>
    <row r="5" spans="1:18" s="135" customFormat="1">
      <c r="A5" s="1753"/>
      <c r="B5" s="1754" t="s">
        <v>576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>
      <c r="A6" s="3102" t="s">
        <v>508</v>
      </c>
      <c r="B6" s="136" t="s">
        <v>2316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103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103"/>
      <c r="B8" s="1728" t="s">
        <v>1686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103"/>
      <c r="B9" s="1851" t="s">
        <v>1934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2025'!M7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103"/>
      <c r="B10" s="1728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>
      <c r="A11" s="3103"/>
      <c r="B11" s="1728" t="s">
        <v>2317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103"/>
      <c r="B12" s="1728" t="s">
        <v>2324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103"/>
      <c r="B13" s="1728" t="s">
        <v>2321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103"/>
      <c r="B14" s="1728" t="s">
        <v>2323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103"/>
      <c r="B15" s="1728" t="s">
        <v>2322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1684</v>
      </c>
    </row>
    <row r="17" spans="1:17" outlineLevel="1">
      <c r="A17" s="165"/>
      <c r="B17" s="1729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9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9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9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30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9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9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9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9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9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9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9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9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106" t="s">
        <v>235</v>
      </c>
      <c r="B34" s="3107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2318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>
      <c r="A47" s="1737">
        <v>5178</v>
      </c>
      <c r="B47" s="1738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>
      <c r="A48" s="232"/>
      <c r="B48" s="1852" t="s">
        <v>1686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53" t="s">
        <v>1934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52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52" t="s">
        <v>2317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52" t="s">
        <v>2324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52" t="s">
        <v>2321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52" t="s">
        <v>2323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52" t="s">
        <v>2322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1682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1683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1687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31" t="s">
        <v>348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104" t="s">
        <v>581</v>
      </c>
      <c r="B134" s="3105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3.9" thickBot="1">
      <c r="A135" s="3104" t="s">
        <v>128</v>
      </c>
      <c r="B135" s="3105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102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103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103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103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103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>
      <c r="A11" s="3103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103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103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103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103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103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celkem'!AT22</f>
        <v>20000</v>
      </c>
      <c r="H16" s="151"/>
      <c r="I16" s="152"/>
      <c r="J16" s="151"/>
      <c r="K16" s="154">
        <f>+'Výdaje kapitol celkem'!T22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103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celkem'!AH35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103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celkem'!AN35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103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celkem'!AW35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103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celkem'!BR35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103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celkem'!BU35+'Výdaje kapitol celkem'!CB35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103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celkem'!BX35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103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celkem'!CF35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103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celkem'!CI35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103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celkem'!CS34+'Výdaje kapitol celkem'!CS35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103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celkem'!DC34+'Výdaje kapitol celkem'!DI34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103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103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celkem'!DF34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108" t="s">
        <v>235</v>
      </c>
      <c r="B47" s="3109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339</v>
      </c>
      <c r="B48" s="109"/>
      <c r="C48" s="190">
        <f>+C6-'Výdaje kapitol celkem'!V44</f>
        <v>-15124697.140000001</v>
      </c>
      <c r="D48" s="190"/>
      <c r="E48" s="190"/>
      <c r="F48" s="191">
        <f>+C5-'Výdaje kapitol celkem'!V75</f>
        <v>-22605152.460000001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099" t="s">
        <v>581</v>
      </c>
      <c r="B142" s="3100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099" t="s">
        <v>128</v>
      </c>
      <c r="B143" s="3100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12" zoomScale="78" zoomScaleNormal="78" workbookViewId="0">
      <selection activeCell="L144" sqref="L144"/>
    </sheetView>
  </sheetViews>
  <sheetFormatPr defaultColWidth="9" defaultRowHeight="13.15"/>
  <cols>
    <col min="1" max="1" width="6.59765625" style="913" customWidth="1"/>
    <col min="2" max="2" width="11" style="899" bestFit="1" customWidth="1"/>
    <col min="3" max="4" width="12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8" t="s">
        <v>859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870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8" t="s">
        <v>865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8" t="s">
        <v>866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8" t="s">
        <v>868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8" t="s">
        <v>875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110" t="s">
        <v>708</v>
      </c>
    </row>
    <row r="54" spans="1:20" s="924" customFormat="1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110"/>
    </row>
    <row r="55" spans="1:20" s="924" customFormat="1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110"/>
    </row>
    <row r="56" spans="1:20" s="924" customFormat="1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110"/>
    </row>
    <row r="57" spans="1:20" s="924" customFormat="1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110"/>
    </row>
    <row r="58" spans="1:20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8" t="s">
        <v>1163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110" t="s">
        <v>708</v>
      </c>
    </row>
    <row r="66" spans="1:20" s="924" customFormat="1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110"/>
    </row>
    <row r="67" spans="1:20" s="924" customFormat="1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110"/>
    </row>
    <row r="68" spans="1:20" s="924" customFormat="1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110"/>
    </row>
    <row r="69" spans="1:20" s="924" customFormat="1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110"/>
    </row>
    <row r="70" spans="1:20" s="936" customFormat="1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111" t="s">
        <v>708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>
      <c r="A76" s="3111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8" t="s">
        <v>1235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1936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110" t="s">
        <v>708</v>
      </c>
    </row>
    <row r="82" spans="1:20" s="924" customFormat="1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110"/>
    </row>
    <row r="83" spans="1:20" s="924" customFormat="1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110"/>
    </row>
    <row r="84" spans="1:20" s="924" customFormat="1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110"/>
    </row>
    <row r="85" spans="1:20" s="924" customFormat="1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110"/>
    </row>
    <row r="86" spans="1:20" s="936" customFormat="1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111" t="s">
        <v>708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>
      <c r="A92" s="3111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8" t="s">
        <v>1571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1935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110"/>
    </row>
    <row r="98" spans="1:20" s="924" customFormat="1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110"/>
    </row>
    <row r="99" spans="1:20" s="924" customFormat="1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110"/>
    </row>
    <row r="100" spans="1:20" s="924" customFormat="1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110"/>
    </row>
    <row r="101" spans="1:20" s="924" customFormat="1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110"/>
    </row>
    <row r="102" spans="1:20" s="936" customFormat="1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111" t="s">
        <v>708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>
      <c r="A108" s="3111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8" t="s">
        <v>2261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2302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110"/>
    </row>
    <row r="114" spans="1:20" s="924" customFormat="1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110"/>
    </row>
    <row r="115" spans="1:20" s="924" customFormat="1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110"/>
    </row>
    <row r="116" spans="1:20" s="924" customFormat="1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110"/>
    </row>
    <row r="117" spans="1:20" s="924" customFormat="1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110"/>
    </row>
    <row r="118" spans="1:20" s="936" customFormat="1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M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>+O119-O103</f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111" t="s">
        <v>708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>
      <c r="A124" s="3111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8" t="s">
        <v>2612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2613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860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2226515</v>
      </c>
      <c r="L129" s="920">
        <v>941226</v>
      </c>
      <c r="M129" s="920"/>
      <c r="N129" s="920"/>
      <c r="O129" s="921">
        <f>SUM(C129:N129)</f>
        <v>21884917</v>
      </c>
      <c r="P129" s="922"/>
      <c r="Q129" s="923">
        <f>+SUM(C129:D129)</f>
        <v>4813753</v>
      </c>
      <c r="S129" s="927">
        <f>+Q129/2*12</f>
        <v>28882518</v>
      </c>
      <c r="T129" s="3110"/>
    </row>
    <row r="130" spans="1:20" s="924" customFormat="1">
      <c r="A130" s="918">
        <v>1112</v>
      </c>
      <c r="B130" s="919" t="s">
        <v>860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358721</v>
      </c>
      <c r="L130" s="920">
        <v>108132</v>
      </c>
      <c r="M130" s="920"/>
      <c r="N130" s="920"/>
      <c r="O130" s="921">
        <f t="shared" ref="O130:O134" si="70">SUM(C130:N130)</f>
        <v>2001829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110"/>
    </row>
    <row r="131" spans="1:20" s="924" customFormat="1">
      <c r="A131" s="918">
        <v>1113</v>
      </c>
      <c r="B131" s="919" t="s">
        <v>860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488951</v>
      </c>
      <c r="L131" s="920">
        <v>315557</v>
      </c>
      <c r="M131" s="920"/>
      <c r="N131" s="920"/>
      <c r="O131" s="921">
        <f t="shared" si="70"/>
        <v>4416551</v>
      </c>
      <c r="P131" s="922"/>
      <c r="Q131" s="923">
        <f t="shared" si="71"/>
        <v>784989</v>
      </c>
      <c r="S131" s="927">
        <f t="shared" si="72"/>
        <v>4709934</v>
      </c>
      <c r="T131" s="3110"/>
    </row>
    <row r="132" spans="1:20" s="924" customFormat="1">
      <c r="A132" s="918">
        <v>1121</v>
      </c>
      <c r="B132" s="919" t="s">
        <v>861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5773702</v>
      </c>
      <c r="L132" s="920">
        <v>2252732</v>
      </c>
      <c r="M132" s="920"/>
      <c r="N132" s="920"/>
      <c r="O132" s="921">
        <f t="shared" si="70"/>
        <v>32806459</v>
      </c>
      <c r="P132" s="922"/>
      <c r="Q132" s="923">
        <f t="shared" si="71"/>
        <v>1012297</v>
      </c>
      <c r="S132" s="927">
        <f t="shared" si="72"/>
        <v>6073782</v>
      </c>
      <c r="T132" s="3110"/>
    </row>
    <row r="133" spans="1:20" s="924" customFormat="1">
      <c r="A133" s="918">
        <v>1211</v>
      </c>
      <c r="B133" s="919" t="s">
        <v>862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5900457</v>
      </c>
      <c r="L133" s="920">
        <v>5354260</v>
      </c>
      <c r="M133" s="920"/>
      <c r="N133" s="920"/>
      <c r="O133" s="921">
        <f t="shared" si="70"/>
        <v>61301958</v>
      </c>
      <c r="P133" s="922"/>
      <c r="Q133" s="923">
        <f t="shared" si="71"/>
        <v>13984676</v>
      </c>
      <c r="S133" s="927">
        <f t="shared" si="72"/>
        <v>83908056</v>
      </c>
      <c r="T133" s="3110"/>
    </row>
    <row r="134" spans="1:20" s="936" customFormat="1">
      <c r="A134" s="929">
        <v>1511</v>
      </c>
      <c r="B134" s="930" t="s">
        <v>863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43212</v>
      </c>
      <c r="L134" s="932">
        <v>20455</v>
      </c>
      <c r="M134" s="932"/>
      <c r="N134" s="932"/>
      <c r="O134" s="933">
        <f t="shared" si="70"/>
        <v>11538756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864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14791558</v>
      </c>
      <c r="L135" s="907">
        <f t="shared" si="73"/>
        <v>8992362</v>
      </c>
      <c r="M135" s="907">
        <f t="shared" si="73"/>
        <v>0</v>
      </c>
      <c r="N135" s="907">
        <f t="shared" si="73"/>
        <v>0</v>
      </c>
      <c r="O135" s="908">
        <f>SUM(O129:O134)</f>
        <v>133950470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L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2562983</v>
      </c>
      <c r="L136" s="898">
        <f t="shared" si="74"/>
        <v>-3075509</v>
      </c>
      <c r="M136" s="898"/>
      <c r="N136" s="898"/>
      <c r="O136" s="898">
        <f>+O135-O119</f>
        <v>-27232696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3.7262990374478666E-2</v>
      </c>
      <c r="I137" s="939">
        <f t="shared" si="75"/>
        <v>5.8480125211764329E-2</v>
      </c>
      <c r="J137" s="939">
        <f t="shared" si="75"/>
        <v>4.0751257690539368E-2</v>
      </c>
      <c r="K137" s="939">
        <f t="shared" si="75"/>
        <v>0.17327336308994631</v>
      </c>
      <c r="L137" s="939">
        <f t="shared" si="75"/>
        <v>-0.34201347766026324</v>
      </c>
      <c r="M137" s="939" t="e">
        <f t="shared" si="75"/>
        <v>#DIV/0!</v>
      </c>
      <c r="N137" s="939" t="e">
        <f t="shared" si="75"/>
        <v>#DIV/0!</v>
      </c>
      <c r="O137" s="939">
        <f t="shared" si="75"/>
        <v>-0.2033042213289733</v>
      </c>
    </row>
    <row r="138" spans="1:20">
      <c r="C138" s="898"/>
      <c r="J138" s="899"/>
      <c r="O138" s="897"/>
    </row>
    <row r="139" spans="1:20" s="936" customFormat="1">
      <c r="A139" s="3111" t="s">
        <v>708</v>
      </c>
      <c r="B139" s="1845"/>
      <c r="C139" s="1846">
        <f>SUM(C129:C133)</f>
        <v>10176609</v>
      </c>
      <c r="D139" s="1846">
        <f t="shared" ref="D139:O139" si="76">SUM(D129:D133)</f>
        <v>10623079</v>
      </c>
      <c r="E139" s="1846">
        <f t="shared" si="76"/>
        <v>12126595</v>
      </c>
      <c r="F139" s="1846">
        <f t="shared" si="76"/>
        <v>10306450</v>
      </c>
      <c r="G139" s="1846">
        <f t="shared" si="76"/>
        <v>10790883</v>
      </c>
      <c r="H139" s="1846">
        <f t="shared" si="76"/>
        <v>13567860</v>
      </c>
      <c r="I139" s="1846">
        <f t="shared" si="76"/>
        <v>20682266</v>
      </c>
      <c r="J139" s="1846">
        <f t="shared" si="76"/>
        <v>10417719</v>
      </c>
      <c r="K139" s="1846">
        <f t="shared" si="76"/>
        <v>14748346</v>
      </c>
      <c r="L139" s="1846">
        <f t="shared" si="76"/>
        <v>8971907</v>
      </c>
      <c r="M139" s="1846">
        <f t="shared" si="76"/>
        <v>0</v>
      </c>
      <c r="N139" s="1846">
        <f t="shared" si="76"/>
        <v>0</v>
      </c>
      <c r="O139" s="1846">
        <f t="shared" si="76"/>
        <v>122411714</v>
      </c>
      <c r="P139" s="934"/>
      <c r="Q139" s="937"/>
      <c r="S139" s="937"/>
    </row>
    <row r="140" spans="1:20" s="936" customFormat="1">
      <c r="A140" s="3111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-1.5874942695458236E-2</v>
      </c>
      <c r="I141" s="939">
        <f t="shared" si="78"/>
        <v>0.11119173305284827</v>
      </c>
      <c r="J141" s="939">
        <f t="shared" si="78"/>
        <v>4.0826499543710093E-2</v>
      </c>
      <c r="K141" s="939">
        <f t="shared" si="78"/>
        <v>0.17875672295727263</v>
      </c>
      <c r="L141" s="939">
        <f t="shared" si="78"/>
        <v>-0.34159850297155331</v>
      </c>
      <c r="M141" s="939" t="e">
        <f t="shared" si="78"/>
        <v>#DIV/0!</v>
      </c>
      <c r="N141" s="939" t="e">
        <f t="shared" si="78"/>
        <v>#DIV/0!</v>
      </c>
      <c r="O141" s="939">
        <f t="shared" si="78"/>
        <v>-0.20406993892757683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129:T133"/>
    <mergeCell ref="A139:A140"/>
    <mergeCell ref="T113:T117"/>
    <mergeCell ref="A123:A124"/>
    <mergeCell ref="T65:T69"/>
    <mergeCell ref="A107:A108"/>
    <mergeCell ref="T53:T57"/>
    <mergeCell ref="T81:T85"/>
    <mergeCell ref="A91:A92"/>
    <mergeCell ref="A75:A76"/>
    <mergeCell ref="T97:T101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112" t="s">
        <v>1101</v>
      </c>
      <c r="E2" s="3113"/>
      <c r="F2" s="3114" t="s">
        <v>1102</v>
      </c>
      <c r="G2" s="3115"/>
      <c r="H2" s="3112" t="s">
        <v>1108</v>
      </c>
      <c r="I2" s="3116"/>
      <c r="J2" s="304"/>
    </row>
    <row r="3" spans="1:10" ht="13.5" thickBot="1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 ht="13.5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workbookViewId="0"/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67" t="s">
        <v>476</v>
      </c>
      <c r="B2" s="1380"/>
      <c r="C2" s="311"/>
      <c r="D2" s="1378" t="s">
        <v>2129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>
      <c r="A3" s="3117" t="s">
        <v>475</v>
      </c>
      <c r="B3" s="3118"/>
      <c r="C3" s="3119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3.9" thickBot="1">
      <c r="A4" s="3120"/>
      <c r="B4" s="3121"/>
      <c r="C4" s="3122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123" t="s">
        <v>123</v>
      </c>
      <c r="B5" s="3124"/>
      <c r="C5" s="3125"/>
      <c r="D5" s="1255">
        <f>'Souhrn příjmů a výdajů 2025'!J117</f>
        <v>15000000</v>
      </c>
      <c r="E5" s="1256">
        <f>+D57</f>
        <v>24926024</v>
      </c>
      <c r="F5" s="1257">
        <f t="shared" ref="F5:O5" si="0">+E57</f>
        <v>31381854</v>
      </c>
      <c r="G5" s="1258">
        <f>F57</f>
        <v>44283108</v>
      </c>
      <c r="H5" s="1259">
        <f t="shared" si="0"/>
        <v>50186929</v>
      </c>
      <c r="I5" s="1258">
        <f t="shared" si="0"/>
        <v>60332191</v>
      </c>
      <c r="J5" s="1256">
        <f t="shared" si="0"/>
        <v>66805440</v>
      </c>
      <c r="K5" s="1257">
        <f t="shared" si="0"/>
        <v>34788009</v>
      </c>
      <c r="L5" s="1258">
        <f t="shared" si="0"/>
        <v>32360409</v>
      </c>
      <c r="M5" s="1259">
        <f t="shared" si="0"/>
        <v>-25657611</v>
      </c>
      <c r="N5" s="1258">
        <f t="shared" si="0"/>
        <v>-13620914</v>
      </c>
      <c r="O5" s="1256">
        <f t="shared" si="0"/>
        <v>-2393927</v>
      </c>
      <c r="P5" s="1258">
        <f>O57</f>
        <v>24639714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>
      <c r="A6" s="3128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2025'!J7</f>
        <v>27863123</v>
      </c>
      <c r="S6" s="1392">
        <f>+R6-Q6</f>
        <v>1130737</v>
      </c>
      <c r="T6" s="1393"/>
    </row>
    <row r="7" spans="1:20" s="1394" customFormat="1" outlineLevel="1">
      <c r="A7" s="3129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2025'!J8+'Souhrn příjmů a výdajů 2025'!J10</f>
        <v>3463972</v>
      </c>
      <c r="S7" s="1392">
        <f t="shared" ref="S7:S11" si="2">+R7-Q7</f>
        <v>1518556</v>
      </c>
      <c r="T7" s="1393"/>
    </row>
    <row r="8" spans="1:20" s="1394" customFormat="1" outlineLevel="1">
      <c r="A8" s="3129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2025'!J9</f>
        <v>4995791</v>
      </c>
      <c r="S8" s="1392">
        <f t="shared" si="2"/>
        <v>-1052491</v>
      </c>
      <c r="T8" s="1393"/>
    </row>
    <row r="9" spans="1:20" s="1394" customFormat="1" ht="13.5" hidden="1" customHeight="1" outlineLevel="1">
      <c r="A9" s="3129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>
      <c r="A10" s="3129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2025'!J12</f>
        <v>39502801</v>
      </c>
      <c r="S10" s="1392">
        <f t="shared" si="2"/>
        <v>2024414</v>
      </c>
      <c r="T10" s="1393"/>
    </row>
    <row r="11" spans="1:20" s="1394" customFormat="1" ht="13.5" customHeight="1" outlineLevel="1">
      <c r="A11" s="3129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2025'!J14</f>
        <v>77563518</v>
      </c>
      <c r="S11" s="1392">
        <f t="shared" si="2"/>
        <v>2375724</v>
      </c>
      <c r="T11" s="1393"/>
    </row>
    <row r="12" spans="1:20" s="1271" customFormat="1" ht="17.25" customHeight="1" outlineLevel="1">
      <c r="A12" s="3129"/>
      <c r="B12" s="1250" t="s">
        <v>1229</v>
      </c>
      <c r="C12" s="1251" t="s">
        <v>976</v>
      </c>
      <c r="D12" s="1265"/>
      <c r="E12" s="1266"/>
      <c r="F12" s="1267"/>
      <c r="G12" s="1268"/>
      <c r="H12" s="1269"/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9370000</v>
      </c>
      <c r="R12" s="1270">
        <f>'Souhrn příjmů a výdajů 2025'!J6-'Souhrn příjmů a výdajů 2025'!J7-'Souhrn příjmů a výdajů 2025'!J8-'Souhrn příjmů a výdajů 2025'!J9-'Souhrn příjmů a výdajů 2025'!J12-'Souhrn příjmů a výdajů 2025'!J14</f>
        <v>39293959</v>
      </c>
      <c r="S12" s="1264">
        <f>+R12-Q12</f>
        <v>29923959</v>
      </c>
      <c r="T12" s="1270"/>
    </row>
    <row r="13" spans="1:20" s="1271" customFormat="1" ht="17.25" customHeight="1" outlineLevel="1">
      <c r="A13" s="3129"/>
      <c r="B13" s="1250" t="s">
        <v>1230</v>
      </c>
      <c r="C13" s="1251" t="s">
        <v>224</v>
      </c>
      <c r="D13" s="1272"/>
      <c r="E13" s="1266"/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0</v>
      </c>
      <c r="R13" s="1270">
        <f>'Souhrn příjmů a výdajů 2025'!J30</f>
        <v>30997235</v>
      </c>
      <c r="S13" s="1264">
        <f t="shared" ref="S13:S55" si="3">+R13-Q13</f>
        <v>30997235</v>
      </c>
      <c r="T13" s="1262"/>
    </row>
    <row r="14" spans="1:20" s="1271" customFormat="1" ht="12.75" customHeight="1" outlineLevel="1">
      <c r="A14" s="3129"/>
      <c r="B14" s="1273"/>
      <c r="C14" s="1251" t="s">
        <v>975</v>
      </c>
      <c r="D14" s="1274"/>
      <c r="E14" s="1266"/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0</v>
      </c>
      <c r="R14" s="1270">
        <f>+'Souhrn příjmů a výdajů 2025'!J94+'Souhrn příjmů a výdajů 2025'!J87+'Souhrn příjmů a výdajů 2025'!J100+'Souhrn příjmů a výdajů 2025'!J101+'Souhrn příjmů a výdajů 2025'!J114</f>
        <v>14168200</v>
      </c>
      <c r="S14" s="1264">
        <f t="shared" si="3"/>
        <v>14168200</v>
      </c>
      <c r="T14" s="1262"/>
    </row>
    <row r="15" spans="1:20" s="1271" customFormat="1" ht="18" customHeight="1" outlineLevel="1">
      <c r="A15" s="3129"/>
      <c r="B15" s="1273"/>
      <c r="C15" s="1252" t="s">
        <v>973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2025'!J102+'Souhrn příjmů a výdajů 2025'!J103+'Souhrn příjmů a výdajů 2025'!J104+'Souhrn příjmů a výdajů 2025'!J109+'Souhrn příjmů a výdajů 2025'!J110+'Souhrn příjmů a výdajů 2025'!J111+'Souhrn příjmů a výdajů 2025'!J112+'Souhrn příjmů a výdajů 2025'!J113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129"/>
      <c r="B16" s="1303"/>
      <c r="C16" s="1381" t="s">
        <v>227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2025'!J80</f>
        <v>13519038</v>
      </c>
      <c r="S16" s="1264">
        <f t="shared" si="3"/>
        <v>13454038</v>
      </c>
      <c r="T16" s="1262"/>
    </row>
    <row r="17" spans="1:20" s="1284" customFormat="1" ht="15" thickBot="1">
      <c r="A17" s="3130"/>
      <c r="B17" s="3126" t="s">
        <v>1250</v>
      </c>
      <c r="C17" s="3127"/>
      <c r="D17" s="1276">
        <f t="shared" ref="D17:O17" si="4">SUM(D6:D16)</f>
        <v>10143800</v>
      </c>
      <c r="E17" s="1277">
        <f t="shared" si="4"/>
        <v>10390808</v>
      </c>
      <c r="F17" s="1278">
        <f t="shared" si="4"/>
        <v>13572989</v>
      </c>
      <c r="G17" s="1279">
        <f t="shared" si="4"/>
        <v>8006883</v>
      </c>
      <c r="H17" s="1280">
        <f t="shared" si="4"/>
        <v>10145262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156762265</v>
      </c>
      <c r="R17" s="1282">
        <f>SUM(R6:R15)</f>
        <v>237848599</v>
      </c>
      <c r="S17" s="1281">
        <f t="shared" si="3"/>
        <v>81086334</v>
      </c>
      <c r="T17" s="1283"/>
    </row>
    <row r="18" spans="1:20" s="311" customFormat="1" ht="16.149999999999999" thickBot="1">
      <c r="A18" s="3129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>
      <c r="A19" s="3130"/>
      <c r="B19" s="3131" t="s">
        <v>1249</v>
      </c>
      <c r="C19" s="3132"/>
      <c r="D19" s="1287">
        <f>SUM(D20:D25)</f>
        <v>0</v>
      </c>
      <c r="E19" s="1288">
        <f t="shared" ref="E19:P19" si="6">SUM(E20:E25)</f>
        <v>0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4310000</v>
      </c>
      <c r="J19" s="1288">
        <f t="shared" si="6"/>
        <v>25700000</v>
      </c>
      <c r="K19" s="1289">
        <f t="shared" si="6"/>
        <v>7660000</v>
      </c>
      <c r="L19" s="1290">
        <f t="shared" si="6"/>
        <v>37670000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75340000</v>
      </c>
      <c r="R19" s="1282">
        <f>SUM(R20:R25)</f>
        <v>237798029.06650001</v>
      </c>
      <c r="S19" s="1281">
        <f t="shared" si="3"/>
        <v>162458029.06650001</v>
      </c>
      <c r="T19" s="1283"/>
    </row>
    <row r="20" spans="1:20" s="1271" customFormat="1" outlineLevel="1">
      <c r="A20" s="3129"/>
      <c r="B20" s="1292"/>
      <c r="C20" s="1253" t="s">
        <v>124</v>
      </c>
      <c r="D20" s="1275"/>
      <c r="E20" s="1293"/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0</v>
      </c>
      <c r="R20" s="1270">
        <f>'Výdaje kapitol celkem'!I16</f>
        <v>50271491.299999997</v>
      </c>
      <c r="S20" s="1264">
        <f t="shared" si="3"/>
        <v>50271491.299999997</v>
      </c>
      <c r="T20" s="1270"/>
    </row>
    <row r="21" spans="1:20" s="1271" customFormat="1" outlineLevel="1">
      <c r="A21" s="3129"/>
      <c r="B21" s="1273"/>
      <c r="C21" s="1253" t="s">
        <v>76</v>
      </c>
      <c r="D21" s="1275"/>
      <c r="E21" s="1293"/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0</v>
      </c>
      <c r="R21" s="1270">
        <f>'Souhrn příjmů a výdajů 2025'!J141+'Souhrn příjmů a výdajů 2025'!J142+'Souhrn příjmů a výdajů 2025'!J143+'Souhrn příjmů a výdajů 2025'!J144</f>
        <v>6941000</v>
      </c>
      <c r="S21" s="1264">
        <f t="shared" si="3"/>
        <v>6941000</v>
      </c>
      <c r="T21" s="1270"/>
    </row>
    <row r="22" spans="1:20" s="1271" customFormat="1" ht="16.5" customHeight="1" outlineLevel="1">
      <c r="A22" s="3129"/>
      <c r="B22" s="1273"/>
      <c r="C22" s="1253" t="s">
        <v>125</v>
      </c>
      <c r="D22" s="1298"/>
      <c r="E22" s="1299"/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0</v>
      </c>
      <c r="R22" s="1270">
        <f>+'Souhrn příjmů a výdajů 2025'!J145+'Souhrn příjmů a výdajů 2025'!J146+'Souhrn příjmů a výdajů 2025'!J147+'Souhrn příjmů a výdajů 2025'!J148</f>
        <v>11122290</v>
      </c>
      <c r="S22" s="1264">
        <f t="shared" si="3"/>
        <v>11122290</v>
      </c>
      <c r="T22" s="1262"/>
    </row>
    <row r="23" spans="1:20" s="1271" customFormat="1" ht="16.5" customHeight="1" outlineLevel="1">
      <c r="A23" s="3129"/>
      <c r="B23" s="1273"/>
      <c r="C23" s="1253" t="s">
        <v>759</v>
      </c>
      <c r="D23" s="1298"/>
      <c r="E23" s="1301"/>
      <c r="F23" s="1302"/>
      <c r="G23" s="1299"/>
      <c r="H23" s="1300">
        <v>0</v>
      </c>
      <c r="I23" s="1300">
        <v>4310000</v>
      </c>
      <c r="J23" s="1300">
        <v>25700000</v>
      </c>
      <c r="K23" s="1300">
        <v>7660000</v>
      </c>
      <c r="L23" s="1300">
        <v>37670000</v>
      </c>
      <c r="M23" s="1300"/>
      <c r="N23" s="1299"/>
      <c r="O23" s="1301"/>
      <c r="P23" s="1299"/>
      <c r="Q23" s="1264">
        <f t="shared" si="7"/>
        <v>75340000</v>
      </c>
      <c r="R23" s="1270">
        <f>+'Souhrn příjmů a výdajů 2025'!J149+'Souhrn příjmů a výdajů 2025'!J150+'Souhrn příjmů a výdajů 2025'!J151+'Souhrn příjmů a výdajů 2025'!J152+'Souhrn příjmů a výdajů 2025'!J153+'Souhrn příjmů a výdajů 2025'!J154+'Souhrn příjmů a výdajů 2025'!J155+'Souhrn příjmů a výdajů 2025'!J156+'Souhrn příjmů a výdajů 2025'!J157+'Souhrn příjmů a výdajů 2025'!J158+'Souhrn příjmů a výdajů 2025'!J159+'Souhrn příjmů a výdajů 2025'!J160</f>
        <v>88524110</v>
      </c>
      <c r="S23" s="1264">
        <f t="shared" si="3"/>
        <v>13184110</v>
      </c>
      <c r="T23" s="1262"/>
    </row>
    <row r="24" spans="1:20" s="1271" customFormat="1" outlineLevel="1">
      <c r="A24" s="3129"/>
      <c r="B24" s="1273"/>
      <c r="C24" s="1253" t="s">
        <v>974</v>
      </c>
      <c r="D24" s="1298"/>
      <c r="E24" s="1301"/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0</v>
      </c>
      <c r="R24" s="1270">
        <f>+'Souhrn příjmů a výdajů 2025'!J165+'Souhrn příjmů a výdajů 2025'!J166+'Souhrn příjmů a výdajů 2025'!J171+'Souhrn příjmů a výdajů 2025'!J172</f>
        <v>61490584</v>
      </c>
      <c r="S24" s="1264">
        <f t="shared" si="3"/>
        <v>61490584</v>
      </c>
      <c r="T24" s="1262"/>
    </row>
    <row r="25" spans="1:20" s="1271" customFormat="1" ht="13.5" outlineLevel="1" thickBot="1">
      <c r="A25" s="3129"/>
      <c r="B25" s="1303"/>
      <c r="C25" s="1254" t="s">
        <v>126</v>
      </c>
      <c r="D25" s="1304"/>
      <c r="E25" s="1305"/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0</v>
      </c>
      <c r="R25" s="1270">
        <f>+'Souhrn příjmů a výdajů 2025'!J163+'Souhrn příjmů a výdajů 2025'!J164+'Souhrn příjmů a výdajů 2025'!J167+'Souhrn příjmů a výdajů 2025'!J168+'Souhrn příjmů a výdajů 2025'!J169+'Souhrn příjmů a výdajů 2025'!J170+'Souhrn příjmů a výdajů 2025'!J173</f>
        <v>19448553.7665</v>
      </c>
      <c r="S25" s="1264">
        <f t="shared" si="3"/>
        <v>19448553.7665</v>
      </c>
      <c r="T25" s="1262"/>
    </row>
    <row r="26" spans="1:20" s="1271" customFormat="1" ht="13.5" thickBot="1">
      <c r="A26" s="3129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>
      <c r="A27" s="3130"/>
      <c r="B27" s="3126" t="s">
        <v>1248</v>
      </c>
      <c r="C27" s="3132"/>
      <c r="D27" s="1287">
        <f>D5+D17-D19-D16</f>
        <v>25143800</v>
      </c>
      <c r="E27" s="1288">
        <f t="shared" ref="E27:P27" si="8">E5+E17-E19-E16</f>
        <v>35316832</v>
      </c>
      <c r="F27" s="1289">
        <f>F5+F17-F19-F16</f>
        <v>44954843</v>
      </c>
      <c r="G27" s="1290">
        <f t="shared" si="8"/>
        <v>52289991</v>
      </c>
      <c r="H27" s="1291">
        <f t="shared" si="8"/>
        <v>60332191</v>
      </c>
      <c r="I27" s="1290">
        <f t="shared" si="8"/>
        <v>69805440</v>
      </c>
      <c r="J27" s="1288">
        <f t="shared" si="8"/>
        <v>59488009</v>
      </c>
      <c r="K27" s="1289">
        <f t="shared" si="8"/>
        <v>37120409</v>
      </c>
      <c r="L27" s="1290">
        <f t="shared" si="8"/>
        <v>6802389</v>
      </c>
      <c r="M27" s="1291">
        <f t="shared" si="8"/>
        <v>-13620914</v>
      </c>
      <c r="N27" s="1290">
        <f t="shared" si="8"/>
        <v>-2393927</v>
      </c>
      <c r="O27" s="1288">
        <f t="shared" si="8"/>
        <v>24574714</v>
      </c>
      <c r="P27" s="1290">
        <f t="shared" si="8"/>
        <v>24639714</v>
      </c>
      <c r="Q27" s="1281"/>
      <c r="R27" s="1282"/>
      <c r="S27" s="1281"/>
      <c r="T27" s="1283"/>
    </row>
    <row r="28" spans="1:20" s="1271" customFormat="1">
      <c r="A28" s="3129"/>
      <c r="B28" s="1292"/>
      <c r="C28" s="1253" t="s">
        <v>7</v>
      </c>
      <c r="D28" s="1298"/>
      <c r="E28" s="1301"/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0</v>
      </c>
      <c r="R28" s="1270">
        <f>+'Výdaje kapitol celkem'!J53</f>
        <v>2327757.9317000001</v>
      </c>
      <c r="S28" s="1264">
        <f t="shared" si="3"/>
        <v>2327757.9317000001</v>
      </c>
      <c r="T28" s="1262"/>
    </row>
    <row r="29" spans="1:20" s="1271" customFormat="1">
      <c r="A29" s="3129"/>
      <c r="B29" s="1273"/>
      <c r="C29" s="1313" t="s">
        <v>295</v>
      </c>
      <c r="D29" s="1314"/>
      <c r="E29" s="1315"/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0</v>
      </c>
      <c r="R29" s="1270">
        <f>'Výdaje kapitol celkem'!I66</f>
        <v>8558080</v>
      </c>
      <c r="S29" s="1264">
        <f t="shared" si="3"/>
        <v>8558080</v>
      </c>
      <c r="T29" s="1262"/>
    </row>
    <row r="30" spans="1:20" s="1271" customFormat="1">
      <c r="A30" s="3129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>
      <c r="A31" s="3130"/>
      <c r="B31" s="3126" t="s">
        <v>1247</v>
      </c>
      <c r="C31" s="3127"/>
      <c r="D31" s="1276">
        <f>D27-D28-D30-D29+D16</f>
        <v>25143800</v>
      </c>
      <c r="E31" s="1277">
        <f t="shared" ref="E31:P31" si="9">E27-E28-E30-E29+E16</f>
        <v>35316832</v>
      </c>
      <c r="F31" s="1278">
        <f t="shared" si="9"/>
        <v>44954843</v>
      </c>
      <c r="G31" s="1279">
        <f t="shared" si="9"/>
        <v>52289991</v>
      </c>
      <c r="H31" s="1280">
        <f t="shared" si="9"/>
        <v>60332191</v>
      </c>
      <c r="I31" s="1279">
        <f t="shared" si="9"/>
        <v>69805440</v>
      </c>
      <c r="J31" s="1277">
        <f t="shared" si="9"/>
        <v>59488009</v>
      </c>
      <c r="K31" s="1278">
        <f t="shared" si="9"/>
        <v>37120409</v>
      </c>
      <c r="L31" s="1279">
        <f t="shared" si="9"/>
        <v>6802389</v>
      </c>
      <c r="M31" s="1280">
        <f t="shared" si="9"/>
        <v>-13620914</v>
      </c>
      <c r="N31" s="1279">
        <f t="shared" si="9"/>
        <v>-2393927</v>
      </c>
      <c r="O31" s="1277">
        <f t="shared" si="9"/>
        <v>24639714</v>
      </c>
      <c r="P31" s="1279">
        <f t="shared" si="9"/>
        <v>24639714</v>
      </c>
      <c r="Q31" s="1281"/>
      <c r="R31" s="1282">
        <f>+R29/12</f>
        <v>713173.33333333337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>
      <c r="A33" s="3140"/>
      <c r="B33" s="3135" t="s">
        <v>1488</v>
      </c>
      <c r="C33" s="3136"/>
      <c r="D33" s="1320">
        <v>217776</v>
      </c>
      <c r="E33" s="1321">
        <v>3934978</v>
      </c>
      <c r="F33" s="1322">
        <v>671735</v>
      </c>
      <c r="G33" s="1323">
        <v>2103062</v>
      </c>
      <c r="H33" s="1324">
        <v>0</v>
      </c>
      <c r="I33" s="1324">
        <v>3000000</v>
      </c>
      <c r="J33" s="1324">
        <v>24700000</v>
      </c>
      <c r="K33" s="1324">
        <v>4760000</v>
      </c>
      <c r="L33" s="1324">
        <v>32460000</v>
      </c>
      <c r="M33" s="1324"/>
      <c r="N33" s="1323"/>
      <c r="O33" s="1321"/>
      <c r="P33" s="1323"/>
      <c r="Q33" s="1281">
        <f>'Výdaje kapitol celkem'!I58+'Výdaje kapitol celkem'!I59+'Výdaje kapitol celkem'!I60+'Výdaje kapitol celkem'!I61+'Výdaje kapitol celkem'!I62+'Výdaje kapitol celkem'!I64+'Výdaje kapitol celkem'!I65</f>
        <v>157435014</v>
      </c>
      <c r="R33" s="1281"/>
      <c r="S33" s="1281"/>
      <c r="T33" s="1325"/>
    </row>
    <row r="34" spans="1:20" s="1335" customFormat="1" ht="13.5" hidden="1" customHeight="1" outlineLevel="1">
      <c r="A34" s="3141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celkem'!R69</f>
        <v>8606032</v>
      </c>
      <c r="S34" s="1264">
        <f t="shared" si="3"/>
        <v>8606032</v>
      </c>
      <c r="T34" s="1262"/>
    </row>
    <row r="35" spans="1:20" s="1335" customFormat="1" hidden="1" outlineLevel="1">
      <c r="A35" s="3141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celkem'!AF69</f>
        <v>9300000</v>
      </c>
      <c r="S35" s="1264">
        <f t="shared" si="3"/>
        <v>9300000</v>
      </c>
      <c r="T35" s="1262"/>
    </row>
    <row r="36" spans="1:20" s="1335" customFormat="1" hidden="1" outlineLevel="1">
      <c r="A36" s="3141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celkem'!AL69</f>
        <v>11015899</v>
      </c>
      <c r="S36" s="1264">
        <f t="shared" si="3"/>
        <v>11015899</v>
      </c>
      <c r="T36" s="1262"/>
    </row>
    <row r="37" spans="1:20" s="1335" customFormat="1" hidden="1" outlineLevel="1">
      <c r="A37" s="3141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celkem'!AB69</f>
        <v>1100000</v>
      </c>
      <c r="S37" s="1264">
        <f t="shared" si="3"/>
        <v>1100000</v>
      </c>
      <c r="T37" s="1262"/>
    </row>
    <row r="38" spans="1:20" s="1335" customFormat="1" hidden="1" outlineLevel="1">
      <c r="A38" s="3141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celkem'!AI69</f>
        <v>0</v>
      </c>
      <c r="S38" s="1264">
        <f t="shared" si="3"/>
        <v>0</v>
      </c>
      <c r="T38" s="1262"/>
    </row>
    <row r="39" spans="1:20" s="1335" customFormat="1" hidden="1" outlineLevel="1">
      <c r="A39" s="3141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celkem'!AO69</f>
        <v>0</v>
      </c>
      <c r="S39" s="1264">
        <f t="shared" si="3"/>
        <v>0</v>
      </c>
      <c r="T39" s="1262"/>
    </row>
    <row r="40" spans="1:20" s="1335" customFormat="1" hidden="1" outlineLevel="1">
      <c r="A40" s="3141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celkem'!N58+'Výdaje kapitol celkem'!N59+'Výdaje kapitol celkem'!N60+'Výdaje kapitol celkem'!N61+'Výdaje kapitol celkem'!N62+'Výdaje kapitol celkem'!N63+'Výdaje kapitol celkem'!N64+'Výdaje kapitol celkem'!N65+'Výdaje kapitol celkem'!N66</f>
        <v>29900000</v>
      </c>
      <c r="S40" s="1264">
        <f t="shared" si="3"/>
        <v>29900000</v>
      </c>
      <c r="T40" s="1262"/>
    </row>
    <row r="41" spans="1:20" s="1335" customFormat="1" hidden="1" outlineLevel="1">
      <c r="A41" s="3141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celkem'!DK69</f>
        <v>150000</v>
      </c>
      <c r="S41" s="1264">
        <f t="shared" si="3"/>
        <v>150000</v>
      </c>
      <c r="T41" s="1262"/>
    </row>
    <row r="42" spans="1:20" s="1335" customFormat="1" hidden="1" outlineLevel="1">
      <c r="A42" s="3141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celkem'!AU69</f>
        <v>215000</v>
      </c>
      <c r="S42" s="1264">
        <f t="shared" si="3"/>
        <v>215000</v>
      </c>
      <c r="T42" s="1262"/>
    </row>
    <row r="43" spans="1:20" s="1335" customFormat="1" hidden="1" outlineLevel="1">
      <c r="A43" s="3141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celkem'!AX69</f>
        <v>0</v>
      </c>
      <c r="S43" s="1264">
        <f t="shared" si="3"/>
        <v>0</v>
      </c>
      <c r="T43" s="1262"/>
    </row>
    <row r="44" spans="1:20" s="1335" customFormat="1" hidden="1" outlineLevel="1">
      <c r="A44" s="3141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celkem'!BD69</f>
        <v>30000</v>
      </c>
      <c r="S44" s="1264">
        <f t="shared" si="3"/>
        <v>30000</v>
      </c>
      <c r="T44" s="1262"/>
    </row>
    <row r="45" spans="1:20" s="1335" customFormat="1" hidden="1" outlineLevel="1">
      <c r="A45" s="3141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celkem'!BZ69</f>
        <v>43214703</v>
      </c>
      <c r="S45" s="1264">
        <f t="shared" si="3"/>
        <v>43214703</v>
      </c>
      <c r="T45" s="1262"/>
    </row>
    <row r="46" spans="1:20" s="1335" customFormat="1" hidden="1" outlineLevel="1">
      <c r="A46" s="3141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celkem'!CG69</f>
        <v>17052604</v>
      </c>
      <c r="S46" s="1264">
        <f t="shared" si="3"/>
        <v>17052604</v>
      </c>
      <c r="T46" s="1262"/>
    </row>
    <row r="47" spans="1:20" s="1335" customFormat="1" hidden="1" outlineLevel="1">
      <c r="A47" s="3141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celkem'!CW69</f>
        <v>250000</v>
      </c>
      <c r="S47" s="1264">
        <f t="shared" si="3"/>
        <v>250000</v>
      </c>
      <c r="T47" s="1262"/>
    </row>
    <row r="48" spans="1:20" s="1335" customFormat="1" hidden="1" outlineLevel="1">
      <c r="A48" s="3141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celkem'!CQ69</f>
        <v>35695200</v>
      </c>
      <c r="S48" s="1264">
        <f t="shared" si="3"/>
        <v>35695200</v>
      </c>
      <c r="T48" s="1262"/>
    </row>
    <row r="49" spans="1:20" s="1335" customFormat="1" hidden="1" outlineLevel="1">
      <c r="A49" s="3141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celkem'!CK69</f>
        <v>0</v>
      </c>
      <c r="S49" s="1264">
        <f t="shared" si="3"/>
        <v>0</v>
      </c>
      <c r="T49" s="1262"/>
    </row>
    <row r="50" spans="1:20" s="1335" customFormat="1" hidden="1" outlineLevel="1">
      <c r="A50" s="3141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celkem'!CC69</f>
        <v>589056</v>
      </c>
      <c r="S50" s="1264">
        <f t="shared" si="3"/>
        <v>589056</v>
      </c>
      <c r="T50" s="1262"/>
    </row>
    <row r="51" spans="1:20" s="1335" customFormat="1" ht="13.5" hidden="1" outlineLevel="1" thickBot="1">
      <c r="A51" s="3141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celkem'!CD69</f>
        <v>1246400</v>
      </c>
      <c r="S51" s="1264">
        <f>+R51-Q51</f>
        <v>1246400</v>
      </c>
      <c r="T51" s="1262"/>
    </row>
    <row r="52" spans="1:20" s="1263" customFormat="1" ht="15" collapsed="1" thickBot="1">
      <c r="A52" s="3142"/>
      <c r="B52" s="3126" t="s">
        <v>1244</v>
      </c>
      <c r="C52" s="3127"/>
      <c r="D52" s="1276">
        <f t="shared" ref="D52:O52" si="11">D31-D33</f>
        <v>24926024</v>
      </c>
      <c r="E52" s="1277">
        <f t="shared" si="11"/>
        <v>31381854</v>
      </c>
      <c r="F52" s="1278">
        <f t="shared" si="11"/>
        <v>44283108</v>
      </c>
      <c r="G52" s="1279">
        <f t="shared" si="11"/>
        <v>50186929</v>
      </c>
      <c r="H52" s="1280">
        <f t="shared" si="11"/>
        <v>60332191</v>
      </c>
      <c r="I52" s="1279">
        <f t="shared" si="11"/>
        <v>66805440</v>
      </c>
      <c r="J52" s="1277">
        <f t="shared" si="11"/>
        <v>34788009</v>
      </c>
      <c r="K52" s="1278">
        <f t="shared" si="11"/>
        <v>32360409</v>
      </c>
      <c r="L52" s="1279">
        <f t="shared" si="11"/>
        <v>-25657611</v>
      </c>
      <c r="M52" s="1280">
        <f t="shared" si="11"/>
        <v>-13620914</v>
      </c>
      <c r="N52" s="1279">
        <f t="shared" si="11"/>
        <v>-2393927</v>
      </c>
      <c r="O52" s="1277">
        <f t="shared" si="11"/>
        <v>24639714</v>
      </c>
      <c r="P52" s="1279">
        <f t="shared" ref="P52" si="12">P31-P33</f>
        <v>24639714</v>
      </c>
      <c r="Q52" s="1264"/>
      <c r="R52" s="1270"/>
      <c r="S52" s="1264"/>
      <c r="T52" s="1262"/>
    </row>
    <row r="53" spans="1:20" s="1271" customFormat="1">
      <c r="A53" s="3137"/>
      <c r="B53" s="1327"/>
      <c r="C53" s="1344" t="s">
        <v>116</v>
      </c>
      <c r="D53" s="1298"/>
      <c r="E53" s="1301"/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0</v>
      </c>
      <c r="R53" s="1270">
        <f>'Souhrn příjmů a výdajů 2025'!J192</f>
        <v>8480967</v>
      </c>
      <c r="S53" s="1264">
        <f>+R53-Q53</f>
        <v>8480967</v>
      </c>
      <c r="T53" s="1262"/>
    </row>
    <row r="54" spans="1:20" s="1352" customFormat="1">
      <c r="A54" s="3138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>
      <c r="A55" s="3138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>
      <c r="A56" s="3139"/>
      <c r="B56" s="3126" t="s">
        <v>1245</v>
      </c>
      <c r="C56" s="3132"/>
      <c r="D56" s="1287">
        <f>+D53+D54+D55</f>
        <v>0</v>
      </c>
      <c r="E56" s="1288">
        <f t="shared" ref="E56:F56" si="13">+E53+E54+E55</f>
        <v>0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133" t="s">
        <v>1246</v>
      </c>
      <c r="C57" s="3134"/>
      <c r="D57" s="1355">
        <f>D52-D56</f>
        <v>24926024</v>
      </c>
      <c r="E57" s="1356">
        <f t="shared" ref="E57:P57" si="16">E52-E56</f>
        <v>31381854</v>
      </c>
      <c r="F57" s="1357">
        <f t="shared" si="16"/>
        <v>44283108</v>
      </c>
      <c r="G57" s="1358">
        <f t="shared" si="16"/>
        <v>50186929</v>
      </c>
      <c r="H57" s="1359">
        <f t="shared" si="16"/>
        <v>60332191</v>
      </c>
      <c r="I57" s="1358">
        <f t="shared" si="16"/>
        <v>66805440</v>
      </c>
      <c r="J57" s="1356">
        <f t="shared" si="16"/>
        <v>34788009</v>
      </c>
      <c r="K57" s="1357">
        <f t="shared" si="16"/>
        <v>32360409</v>
      </c>
      <c r="L57" s="1358">
        <f>L52-L56</f>
        <v>-25657611</v>
      </c>
      <c r="M57" s="1359">
        <f t="shared" si="16"/>
        <v>-13620914</v>
      </c>
      <c r="N57" s="1358">
        <f t="shared" si="16"/>
        <v>-2393927</v>
      </c>
      <c r="O57" s="1356">
        <f t="shared" si="16"/>
        <v>24639714</v>
      </c>
      <c r="P57" s="1358">
        <f t="shared" si="16"/>
        <v>24639714</v>
      </c>
      <c r="Q57" s="1264"/>
      <c r="R57" s="1270"/>
      <c r="S57" s="1264"/>
      <c r="T57" s="1262"/>
    </row>
    <row r="58" spans="1:20" s="1335" customFormat="1" ht="13.5" thickBot="1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133" t="s">
        <v>1251</v>
      </c>
      <c r="C59" s="3134"/>
      <c r="D59" s="1355">
        <f t="shared" ref="D59:P59" si="17">+D57+D58</f>
        <v>29926024</v>
      </c>
      <c r="E59" s="1356">
        <f t="shared" si="17"/>
        <v>36381854</v>
      </c>
      <c r="F59" s="1357">
        <f t="shared" si="17"/>
        <v>49283108</v>
      </c>
      <c r="G59" s="1358">
        <f t="shared" si="17"/>
        <v>55186929</v>
      </c>
      <c r="H59" s="1359">
        <f t="shared" si="17"/>
        <v>65332191</v>
      </c>
      <c r="I59" s="1358">
        <f t="shared" si="17"/>
        <v>71805440</v>
      </c>
      <c r="J59" s="1356">
        <f t="shared" si="17"/>
        <v>39788009</v>
      </c>
      <c r="K59" s="1357">
        <f t="shared" si="17"/>
        <v>37360409</v>
      </c>
      <c r="L59" s="1358">
        <f t="shared" si="17"/>
        <v>-20657611</v>
      </c>
      <c r="M59" s="1359">
        <f t="shared" si="17"/>
        <v>-8620914</v>
      </c>
      <c r="N59" s="1358">
        <f t="shared" si="17"/>
        <v>2606073</v>
      </c>
      <c r="O59" s="1356">
        <f t="shared" si="17"/>
        <v>29639714</v>
      </c>
      <c r="P59" s="1358">
        <f t="shared" si="17"/>
        <v>29639714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>
      <c r="A3" s="3192" t="s">
        <v>1054</v>
      </c>
      <c r="B3" s="3194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193"/>
      <c r="B4" s="3195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193"/>
      <c r="B5" s="3195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193"/>
      <c r="B6" s="3195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193"/>
      <c r="B7" s="3196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158" t="s">
        <v>1061</v>
      </c>
      <c r="B8" s="3197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200">
        <f>SUM(P15,P10)</f>
        <v>195272</v>
      </c>
    </row>
    <row r="9" spans="1:29">
      <c r="A9" s="3159"/>
      <c r="B9" s="3198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201"/>
    </row>
    <row r="10" spans="1:29">
      <c r="A10" s="3159"/>
      <c r="B10" s="3198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201"/>
    </row>
    <row r="11" spans="1:29">
      <c r="A11" s="3159"/>
      <c r="B11" s="3198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201"/>
    </row>
    <row r="12" spans="1:29" ht="12" thickBot="1">
      <c r="A12" s="3159"/>
      <c r="B12" s="3199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201"/>
    </row>
    <row r="13" spans="1:29">
      <c r="A13" s="3159"/>
      <c r="B13" s="3203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201"/>
    </row>
    <row r="14" spans="1:29">
      <c r="A14" s="3159"/>
      <c r="B14" s="3204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201"/>
    </row>
    <row r="15" spans="1:29">
      <c r="A15" s="3159"/>
      <c r="B15" s="3204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201"/>
    </row>
    <row r="16" spans="1:29" ht="15" customHeight="1">
      <c r="A16" s="3159"/>
      <c r="B16" s="3204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201"/>
    </row>
    <row r="17" spans="1:29" ht="12" thickBot="1">
      <c r="A17" s="3159"/>
      <c r="B17" s="3204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202"/>
    </row>
    <row r="18" spans="1:29" ht="12" thickBot="1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172" t="s">
        <v>1054</v>
      </c>
      <c r="B19" s="3174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172"/>
      <c r="B20" s="3174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172"/>
      <c r="B21" s="3174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172"/>
      <c r="B22" s="3174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173"/>
      <c r="B23" s="3174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175" t="s">
        <v>1061</v>
      </c>
      <c r="B24" s="3178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81" t="s">
        <v>1066</v>
      </c>
      <c r="R24" s="3182"/>
      <c r="S24" s="3182"/>
      <c r="T24" s="3182"/>
      <c r="U24" s="3182"/>
      <c r="V24" s="3182"/>
      <c r="W24" s="3182"/>
      <c r="X24" s="3182"/>
      <c r="Y24" s="3182"/>
      <c r="Z24" s="3182"/>
      <c r="AA24" s="3182"/>
      <c r="AB24" s="3183"/>
    </row>
    <row r="25" spans="1:29">
      <c r="A25" s="3176"/>
      <c r="B25" s="3179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84"/>
      <c r="R25" s="3185"/>
      <c r="S25" s="3185"/>
      <c r="T25" s="3185"/>
      <c r="U25" s="3185"/>
      <c r="V25" s="3185"/>
      <c r="W25" s="3185"/>
      <c r="X25" s="3185"/>
      <c r="Y25" s="3185"/>
      <c r="Z25" s="3185"/>
      <c r="AA25" s="3185"/>
      <c r="AB25" s="3186"/>
    </row>
    <row r="26" spans="1:29">
      <c r="A26" s="3176"/>
      <c r="B26" s="3179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84"/>
      <c r="R26" s="3185"/>
      <c r="S26" s="3185"/>
      <c r="T26" s="3185"/>
      <c r="U26" s="3185"/>
      <c r="V26" s="3185"/>
      <c r="W26" s="3185"/>
      <c r="X26" s="3185"/>
      <c r="Y26" s="3185"/>
      <c r="Z26" s="3185"/>
      <c r="AA26" s="3185"/>
      <c r="AB26" s="3186"/>
    </row>
    <row r="27" spans="1:29">
      <c r="A27" s="3176"/>
      <c r="B27" s="3179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84"/>
      <c r="R27" s="3185"/>
      <c r="S27" s="3185"/>
      <c r="T27" s="3185"/>
      <c r="U27" s="3185"/>
      <c r="V27" s="3185"/>
      <c r="W27" s="3185"/>
      <c r="X27" s="3185"/>
      <c r="Y27" s="3185"/>
      <c r="Z27" s="3185"/>
      <c r="AA27" s="3185"/>
      <c r="AB27" s="3186"/>
    </row>
    <row r="28" spans="1:29">
      <c r="A28" s="3176"/>
      <c r="B28" s="3180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84"/>
      <c r="R28" s="3185"/>
      <c r="S28" s="3185"/>
      <c r="T28" s="3185"/>
      <c r="U28" s="3185"/>
      <c r="V28" s="3185"/>
      <c r="W28" s="3185"/>
      <c r="X28" s="3185"/>
      <c r="Y28" s="3185"/>
      <c r="Z28" s="3185"/>
      <c r="AA28" s="3185"/>
      <c r="AB28" s="3186"/>
    </row>
    <row r="29" spans="1:29">
      <c r="A29" s="3176"/>
      <c r="B29" s="3190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84"/>
      <c r="R29" s="3185"/>
      <c r="S29" s="3185"/>
      <c r="T29" s="3185"/>
      <c r="U29" s="3185"/>
      <c r="V29" s="3185"/>
      <c r="W29" s="3185"/>
      <c r="X29" s="3185"/>
      <c r="Y29" s="3185"/>
      <c r="Z29" s="3185"/>
      <c r="AA29" s="3185"/>
      <c r="AB29" s="3186"/>
    </row>
    <row r="30" spans="1:29">
      <c r="A30" s="3176"/>
      <c r="B30" s="3179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84"/>
      <c r="R30" s="3185"/>
      <c r="S30" s="3185"/>
      <c r="T30" s="3185"/>
      <c r="U30" s="3185"/>
      <c r="V30" s="3185"/>
      <c r="W30" s="3185"/>
      <c r="X30" s="3185"/>
      <c r="Y30" s="3185"/>
      <c r="Z30" s="3185"/>
      <c r="AA30" s="3185"/>
      <c r="AB30" s="3186"/>
    </row>
    <row r="31" spans="1:29">
      <c r="A31" s="3176"/>
      <c r="B31" s="3179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84"/>
      <c r="R31" s="3185"/>
      <c r="S31" s="3185"/>
      <c r="T31" s="3185"/>
      <c r="U31" s="3185"/>
      <c r="V31" s="3185"/>
      <c r="W31" s="3185"/>
      <c r="X31" s="3185"/>
      <c r="Y31" s="3185"/>
      <c r="Z31" s="3185"/>
      <c r="AA31" s="3185"/>
      <c r="AB31" s="3186"/>
    </row>
    <row r="32" spans="1:29">
      <c r="A32" s="3176"/>
      <c r="B32" s="3179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84"/>
      <c r="R32" s="3185"/>
      <c r="S32" s="3185"/>
      <c r="T32" s="3185"/>
      <c r="U32" s="3185"/>
      <c r="V32" s="3185"/>
      <c r="W32" s="3185"/>
      <c r="X32" s="3185"/>
      <c r="Y32" s="3185"/>
      <c r="Z32" s="3185"/>
      <c r="AA32" s="3185"/>
      <c r="AB32" s="3186"/>
    </row>
    <row r="33" spans="1:31">
      <c r="A33" s="3176"/>
      <c r="B33" s="3180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84"/>
      <c r="R33" s="3185"/>
      <c r="S33" s="3185"/>
      <c r="T33" s="3185"/>
      <c r="U33" s="3185"/>
      <c r="V33" s="3185"/>
      <c r="W33" s="3185"/>
      <c r="X33" s="3185"/>
      <c r="Y33" s="3185"/>
      <c r="Z33" s="3185"/>
      <c r="AA33" s="3185"/>
      <c r="AB33" s="3186"/>
    </row>
    <row r="34" spans="1:31" ht="15" customHeight="1">
      <c r="A34" s="3176"/>
      <c r="B34" s="3190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84"/>
      <c r="R34" s="3185"/>
      <c r="S34" s="3185"/>
      <c r="T34" s="3185"/>
      <c r="U34" s="3185"/>
      <c r="V34" s="3185"/>
      <c r="W34" s="3185"/>
      <c r="X34" s="3185"/>
      <c r="Y34" s="3185"/>
      <c r="Z34" s="3185"/>
      <c r="AA34" s="3185"/>
      <c r="AB34" s="3186"/>
    </row>
    <row r="35" spans="1:31">
      <c r="A35" s="3176"/>
      <c r="B35" s="3179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84"/>
      <c r="R35" s="3185"/>
      <c r="S35" s="3185"/>
      <c r="T35" s="3185"/>
      <c r="U35" s="3185"/>
      <c r="V35" s="3185"/>
      <c r="W35" s="3185"/>
      <c r="X35" s="3185"/>
      <c r="Y35" s="3185"/>
      <c r="Z35" s="3185"/>
      <c r="AA35" s="3185"/>
      <c r="AB35" s="3186"/>
    </row>
    <row r="36" spans="1:31">
      <c r="A36" s="3176"/>
      <c r="B36" s="3179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84"/>
      <c r="R36" s="3185"/>
      <c r="S36" s="3185"/>
      <c r="T36" s="3185"/>
      <c r="U36" s="3185"/>
      <c r="V36" s="3185"/>
      <c r="W36" s="3185"/>
      <c r="X36" s="3185"/>
      <c r="Y36" s="3185"/>
      <c r="Z36" s="3185"/>
      <c r="AA36" s="3185"/>
      <c r="AB36" s="3186"/>
    </row>
    <row r="37" spans="1:31">
      <c r="A37" s="3176"/>
      <c r="B37" s="3179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84"/>
      <c r="R37" s="3185"/>
      <c r="S37" s="3185"/>
      <c r="T37" s="3185"/>
      <c r="U37" s="3185"/>
      <c r="V37" s="3185"/>
      <c r="W37" s="3185"/>
      <c r="X37" s="3185"/>
      <c r="Y37" s="3185"/>
      <c r="Z37" s="3185"/>
      <c r="AA37" s="3185"/>
      <c r="AB37" s="3186"/>
    </row>
    <row r="38" spans="1:31">
      <c r="A38" s="3176"/>
      <c r="B38" s="3180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84"/>
      <c r="R38" s="3185"/>
      <c r="S38" s="3185"/>
      <c r="T38" s="3185"/>
      <c r="U38" s="3185"/>
      <c r="V38" s="3185"/>
      <c r="W38" s="3185"/>
      <c r="X38" s="3185"/>
      <c r="Y38" s="3185"/>
      <c r="Z38" s="3185"/>
      <c r="AA38" s="3185"/>
      <c r="AB38" s="3186"/>
    </row>
    <row r="39" spans="1:31">
      <c r="A39" s="3176"/>
      <c r="B39" s="3190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84"/>
      <c r="R39" s="3185"/>
      <c r="S39" s="3185"/>
      <c r="T39" s="3185"/>
      <c r="U39" s="3185"/>
      <c r="V39" s="3185"/>
      <c r="W39" s="3185"/>
      <c r="X39" s="3185"/>
      <c r="Y39" s="3185"/>
      <c r="Z39" s="3185"/>
      <c r="AA39" s="3185"/>
      <c r="AB39" s="3186"/>
    </row>
    <row r="40" spans="1:31">
      <c r="A40" s="3176"/>
      <c r="B40" s="3179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84"/>
      <c r="R40" s="3185"/>
      <c r="S40" s="3185"/>
      <c r="T40" s="3185"/>
      <c r="U40" s="3185"/>
      <c r="V40" s="3185"/>
      <c r="W40" s="3185"/>
      <c r="X40" s="3185"/>
      <c r="Y40" s="3185"/>
      <c r="Z40" s="3185"/>
      <c r="AA40" s="3185"/>
      <c r="AB40" s="3186"/>
    </row>
    <row r="41" spans="1:31" ht="12" thickBot="1">
      <c r="A41" s="3176"/>
      <c r="B41" s="3179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87"/>
      <c r="R41" s="3188"/>
      <c r="S41" s="3188"/>
      <c r="T41" s="3188"/>
      <c r="U41" s="3188"/>
      <c r="V41" s="3188"/>
      <c r="W41" s="3188"/>
      <c r="X41" s="3188"/>
      <c r="Y41" s="3188"/>
      <c r="Z41" s="3188"/>
      <c r="AA41" s="3188"/>
      <c r="AB41" s="3189"/>
    </row>
    <row r="42" spans="1:31">
      <c r="A42" s="3176"/>
      <c r="B42" s="3179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" thickBot="1">
      <c r="A43" s="3177"/>
      <c r="B43" s="3191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>
      <c r="A44" s="3146" t="s">
        <v>1072</v>
      </c>
      <c r="B44" s="3164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67" t="s">
        <v>1074</v>
      </c>
      <c r="R44" s="3167"/>
      <c r="S44" s="3167"/>
      <c r="T44" s="3167"/>
      <c r="U44" s="3167"/>
      <c r="V44" s="3167"/>
      <c r="W44" s="3167"/>
      <c r="X44" s="3167"/>
      <c r="Y44" s="3167"/>
      <c r="Z44" s="3167"/>
      <c r="AA44" s="3167"/>
      <c r="AB44" s="3168"/>
      <c r="AE44" s="640">
        <v>557642</v>
      </c>
    </row>
    <row r="45" spans="1:31">
      <c r="A45" s="3147"/>
      <c r="B45" s="3165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69"/>
      <c r="R45" s="3169"/>
      <c r="S45" s="3169"/>
      <c r="T45" s="3169"/>
      <c r="U45" s="3169"/>
      <c r="V45" s="3169"/>
      <c r="W45" s="3169"/>
      <c r="X45" s="3169"/>
      <c r="Y45" s="3169"/>
      <c r="Z45" s="3169"/>
      <c r="AA45" s="3169"/>
      <c r="AB45" s="3170"/>
      <c r="AE45" s="640">
        <v>-6873</v>
      </c>
    </row>
    <row r="46" spans="1:31">
      <c r="A46" s="3147"/>
      <c r="B46" s="3165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69"/>
      <c r="R46" s="3169"/>
      <c r="S46" s="3169"/>
      <c r="T46" s="3169"/>
      <c r="U46" s="3169"/>
      <c r="V46" s="3169"/>
      <c r="W46" s="3169"/>
      <c r="X46" s="3169"/>
      <c r="Y46" s="3169"/>
      <c r="Z46" s="3169"/>
      <c r="AA46" s="3169"/>
      <c r="AB46" s="3170"/>
      <c r="AE46" s="640">
        <f>SUM(AE44:AE45)</f>
        <v>550769</v>
      </c>
    </row>
    <row r="47" spans="1:31">
      <c r="A47" s="3147"/>
      <c r="B47" s="3165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69"/>
      <c r="R47" s="3169"/>
      <c r="S47" s="3169"/>
      <c r="T47" s="3169"/>
      <c r="U47" s="3169"/>
      <c r="V47" s="3169"/>
      <c r="W47" s="3169"/>
      <c r="X47" s="3169"/>
      <c r="Y47" s="3169"/>
      <c r="Z47" s="3169"/>
      <c r="AA47" s="3169"/>
      <c r="AB47" s="3170"/>
    </row>
    <row r="48" spans="1:31">
      <c r="A48" s="3147"/>
      <c r="B48" s="3166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69"/>
      <c r="R48" s="3169"/>
      <c r="S48" s="3169"/>
      <c r="T48" s="3169"/>
      <c r="U48" s="3169"/>
      <c r="V48" s="3169"/>
      <c r="W48" s="3169"/>
      <c r="X48" s="3169"/>
      <c r="Y48" s="3169"/>
      <c r="Z48" s="3169"/>
      <c r="AA48" s="3169"/>
      <c r="AB48" s="3170"/>
    </row>
    <row r="49" spans="1:34">
      <c r="A49" s="3147"/>
      <c r="B49" s="3171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69"/>
      <c r="R49" s="3169"/>
      <c r="S49" s="3169"/>
      <c r="T49" s="3169"/>
      <c r="U49" s="3169"/>
      <c r="V49" s="3169"/>
      <c r="W49" s="3169"/>
      <c r="X49" s="3169"/>
      <c r="Y49" s="3169"/>
      <c r="Z49" s="3169"/>
      <c r="AA49" s="3169"/>
      <c r="AB49" s="3170"/>
      <c r="AE49" s="640">
        <v>12099</v>
      </c>
    </row>
    <row r="50" spans="1:34" ht="14.25" customHeight="1">
      <c r="A50" s="3147"/>
      <c r="B50" s="3165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69"/>
      <c r="R50" s="3169"/>
      <c r="S50" s="3169"/>
      <c r="T50" s="3169"/>
      <c r="U50" s="3169"/>
      <c r="V50" s="3169"/>
      <c r="W50" s="3169"/>
      <c r="X50" s="3169"/>
      <c r="Y50" s="3169"/>
      <c r="Z50" s="3169"/>
      <c r="AA50" s="3169"/>
      <c r="AB50" s="3170"/>
      <c r="AE50" s="640">
        <v>-7604</v>
      </c>
    </row>
    <row r="51" spans="1:34">
      <c r="A51" s="3147"/>
      <c r="B51" s="3165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69"/>
      <c r="R51" s="3169"/>
      <c r="S51" s="3169"/>
      <c r="T51" s="3169"/>
      <c r="U51" s="3169"/>
      <c r="V51" s="3169"/>
      <c r="W51" s="3169"/>
      <c r="X51" s="3169"/>
      <c r="Y51" s="3169"/>
      <c r="Z51" s="3169"/>
      <c r="AA51" s="3169"/>
      <c r="AB51" s="3170"/>
      <c r="AE51" s="640">
        <f>SUM(AE49:AE50)</f>
        <v>4495</v>
      </c>
    </row>
    <row r="52" spans="1:34">
      <c r="A52" s="3147"/>
      <c r="B52" s="3165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69"/>
      <c r="R52" s="3169"/>
      <c r="S52" s="3169"/>
      <c r="T52" s="3169"/>
      <c r="U52" s="3169"/>
      <c r="V52" s="3169"/>
      <c r="W52" s="3169"/>
      <c r="X52" s="3169"/>
      <c r="Y52" s="3169"/>
      <c r="Z52" s="3169"/>
      <c r="AA52" s="3169"/>
      <c r="AB52" s="3170"/>
    </row>
    <row r="53" spans="1:34">
      <c r="A53" s="3147"/>
      <c r="B53" s="3166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69"/>
      <c r="R53" s="3169"/>
      <c r="S53" s="3169"/>
      <c r="T53" s="3169"/>
      <c r="U53" s="3169"/>
      <c r="V53" s="3169"/>
      <c r="W53" s="3169"/>
      <c r="X53" s="3169"/>
      <c r="Y53" s="3169"/>
      <c r="Z53" s="3169"/>
      <c r="AA53" s="3169"/>
      <c r="AB53" s="3170"/>
    </row>
    <row r="54" spans="1:34">
      <c r="A54" s="3147"/>
      <c r="B54" s="3171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69"/>
      <c r="R54" s="3169"/>
      <c r="S54" s="3169"/>
      <c r="T54" s="3169"/>
      <c r="U54" s="3169"/>
      <c r="V54" s="3169"/>
      <c r="W54" s="3169"/>
      <c r="X54" s="3169"/>
      <c r="Y54" s="3169"/>
      <c r="Z54" s="3169"/>
      <c r="AA54" s="3169"/>
      <c r="AB54" s="3170"/>
      <c r="AE54" s="640">
        <v>374165</v>
      </c>
    </row>
    <row r="55" spans="1:34">
      <c r="A55" s="3147"/>
      <c r="B55" s="3165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69"/>
      <c r="R55" s="3169"/>
      <c r="S55" s="3169"/>
      <c r="T55" s="3169"/>
      <c r="U55" s="3169"/>
      <c r="V55" s="3169"/>
      <c r="W55" s="3169"/>
      <c r="X55" s="3169"/>
      <c r="Y55" s="3169"/>
      <c r="Z55" s="3169"/>
      <c r="AA55" s="3169"/>
      <c r="AB55" s="3170"/>
      <c r="AE55" s="640">
        <v>-334740</v>
      </c>
    </row>
    <row r="56" spans="1:34">
      <c r="A56" s="3147"/>
      <c r="B56" s="3165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69"/>
      <c r="R56" s="3169"/>
      <c r="S56" s="3169"/>
      <c r="T56" s="3169"/>
      <c r="U56" s="3169"/>
      <c r="V56" s="3169"/>
      <c r="W56" s="3169"/>
      <c r="X56" s="3169"/>
      <c r="Y56" s="3169"/>
      <c r="Z56" s="3169"/>
      <c r="AA56" s="3169"/>
      <c r="AB56" s="3170"/>
      <c r="AE56" s="640">
        <f>SUM(AE54:AE55)</f>
        <v>39425</v>
      </c>
    </row>
    <row r="57" spans="1:34">
      <c r="A57" s="3147"/>
      <c r="B57" s="3165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69"/>
      <c r="R57" s="3169"/>
      <c r="S57" s="3169"/>
      <c r="T57" s="3169"/>
      <c r="U57" s="3169"/>
      <c r="V57" s="3169"/>
      <c r="W57" s="3169"/>
      <c r="X57" s="3169"/>
      <c r="Y57" s="3169"/>
      <c r="Z57" s="3169"/>
      <c r="AA57" s="3169"/>
      <c r="AB57" s="3170"/>
    </row>
    <row r="58" spans="1:34">
      <c r="A58" s="3147"/>
      <c r="B58" s="3166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69"/>
      <c r="R58" s="3169"/>
      <c r="S58" s="3169"/>
      <c r="T58" s="3169"/>
      <c r="U58" s="3169"/>
      <c r="V58" s="3169"/>
      <c r="W58" s="3169"/>
      <c r="X58" s="3169"/>
      <c r="Y58" s="3169"/>
      <c r="Z58" s="3169"/>
      <c r="AA58" s="3169"/>
      <c r="AB58" s="3170"/>
      <c r="AE58" s="640">
        <v>5024</v>
      </c>
    </row>
    <row r="59" spans="1:34">
      <c r="A59" s="3147"/>
      <c r="B59" s="3171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69"/>
      <c r="R59" s="3169"/>
      <c r="S59" s="3169"/>
      <c r="T59" s="3169"/>
      <c r="U59" s="3169"/>
      <c r="V59" s="3169"/>
      <c r="W59" s="3169"/>
      <c r="X59" s="3169"/>
      <c r="Y59" s="3169"/>
      <c r="Z59" s="3169"/>
      <c r="AA59" s="3169"/>
      <c r="AB59" s="3170"/>
    </row>
    <row r="60" spans="1:34">
      <c r="A60" s="3147"/>
      <c r="B60" s="3165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69"/>
      <c r="R60" s="3169"/>
      <c r="S60" s="3169"/>
      <c r="T60" s="3169"/>
      <c r="U60" s="3169"/>
      <c r="V60" s="3169"/>
      <c r="W60" s="3169"/>
      <c r="X60" s="3169"/>
      <c r="Y60" s="3169"/>
      <c r="Z60" s="3169"/>
      <c r="AA60" s="3169"/>
      <c r="AB60" s="3170"/>
    </row>
    <row r="61" spans="1:34">
      <c r="A61" s="3147"/>
      <c r="B61" s="3165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69"/>
      <c r="R61" s="3169"/>
      <c r="S61" s="3169"/>
      <c r="T61" s="3169"/>
      <c r="U61" s="3169"/>
      <c r="V61" s="3169"/>
      <c r="W61" s="3169"/>
      <c r="X61" s="3169"/>
      <c r="Y61" s="3169"/>
      <c r="Z61" s="3169"/>
      <c r="AA61" s="3169"/>
      <c r="AB61" s="3170"/>
    </row>
    <row r="62" spans="1:34">
      <c r="A62" s="3147"/>
      <c r="B62" s="3165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69"/>
      <c r="R62" s="3169"/>
      <c r="S62" s="3169"/>
      <c r="T62" s="3169"/>
      <c r="U62" s="3169"/>
      <c r="V62" s="3169"/>
      <c r="W62" s="3169"/>
      <c r="X62" s="3169"/>
      <c r="Y62" s="3169"/>
      <c r="Z62" s="3169"/>
      <c r="AA62" s="3169"/>
      <c r="AB62" s="3170"/>
      <c r="AE62" s="640">
        <v>2052</v>
      </c>
      <c r="AG62" s="712">
        <f>SUM(AE62,AE58,AE56,AE51,AE46)</f>
        <v>601765</v>
      </c>
      <c r="AH62" s="640" t="s">
        <v>1078</v>
      </c>
    </row>
    <row r="63" spans="1:34">
      <c r="A63" s="3147"/>
      <c r="B63" s="3166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69"/>
      <c r="R63" s="3169"/>
      <c r="S63" s="3169"/>
      <c r="T63" s="3169"/>
      <c r="U63" s="3169"/>
      <c r="V63" s="3169"/>
      <c r="W63" s="3169"/>
      <c r="X63" s="3169"/>
      <c r="Y63" s="3169"/>
      <c r="Z63" s="3169"/>
      <c r="AA63" s="3169"/>
      <c r="AB63" s="3170"/>
    </row>
    <row r="64" spans="1:34">
      <c r="A64" s="3147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69"/>
      <c r="R64" s="3169"/>
      <c r="S64" s="3169"/>
      <c r="T64" s="3169"/>
      <c r="U64" s="3169"/>
      <c r="V64" s="3169"/>
      <c r="W64" s="3169"/>
      <c r="X64" s="3169"/>
      <c r="Y64" s="3169"/>
      <c r="Z64" s="3169"/>
      <c r="AA64" s="3169"/>
      <c r="AB64" s="3170"/>
    </row>
    <row r="65" spans="1:30">
      <c r="A65" s="3147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69"/>
      <c r="R65" s="3169"/>
      <c r="S65" s="3169"/>
      <c r="T65" s="3169"/>
      <c r="U65" s="3169"/>
      <c r="V65" s="3169"/>
      <c r="W65" s="3169"/>
      <c r="X65" s="3169"/>
      <c r="Y65" s="3169"/>
      <c r="Z65" s="3169"/>
      <c r="AA65" s="3169"/>
      <c r="AB65" s="3170"/>
    </row>
    <row r="66" spans="1:30">
      <c r="A66" s="3147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69"/>
      <c r="R66" s="3169"/>
      <c r="S66" s="3169"/>
      <c r="T66" s="3169"/>
      <c r="U66" s="3169"/>
      <c r="V66" s="3169"/>
      <c r="W66" s="3169"/>
      <c r="X66" s="3169"/>
      <c r="Y66" s="3169"/>
      <c r="Z66" s="3169"/>
      <c r="AA66" s="3169"/>
      <c r="AB66" s="3170"/>
    </row>
    <row r="67" spans="1:30">
      <c r="A67" s="3147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>
      <c r="A68" s="3148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146" t="s">
        <v>1083</v>
      </c>
      <c r="B71" s="3149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147"/>
      <c r="B72" s="3150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147"/>
      <c r="B73" s="3150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147"/>
      <c r="B74" s="3150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148"/>
      <c r="B75" s="3151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152" t="s">
        <v>1086</v>
      </c>
      <c r="B77" s="3155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153"/>
      <c r="B78" s="3156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153"/>
      <c r="B79" s="3156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153"/>
      <c r="B80" s="3156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154"/>
      <c r="B81" s="3157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158" t="s">
        <v>1088</v>
      </c>
      <c r="B82" s="3161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159"/>
      <c r="B83" s="3162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159"/>
      <c r="B84" s="3162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159"/>
      <c r="B85" s="3162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159"/>
      <c r="B86" s="3162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159"/>
      <c r="B87" s="3162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160"/>
      <c r="B88" s="3163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143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144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145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146" t="s">
        <v>1083</v>
      </c>
      <c r="B99" s="3149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147"/>
      <c r="B100" s="3150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147"/>
      <c r="B101" s="3150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147"/>
      <c r="B102" s="3150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148"/>
      <c r="B103" s="3151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1094</v>
      </c>
      <c r="D106" s="640" t="s">
        <v>1095</v>
      </c>
      <c r="F106" s="640" t="s">
        <v>582</v>
      </c>
    </row>
    <row r="109" spans="1:17" ht="13.15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U326"/>
  <sheetViews>
    <sheetView zoomScale="95" zoomScaleNormal="95" workbookViewId="0">
      <pane xSplit="6" ySplit="5" topLeftCell="K230" activePane="bottomRight" state="frozen"/>
      <selection pane="topRight" activeCell="G1" sqref="G1"/>
      <selection pane="bottomLeft" activeCell="A6" sqref="A6"/>
      <selection pane="bottomRight" activeCell="N7" sqref="N7:N323"/>
    </sheetView>
  </sheetViews>
  <sheetFormatPr defaultColWidth="9" defaultRowHeight="13.15" outlineLevelRow="1" outlineLevelCol="2"/>
  <cols>
    <col min="1" max="1" width="11.86328125" style="2498" customWidth="1"/>
    <col min="2" max="2" width="17.265625" style="2498" customWidth="1"/>
    <col min="3" max="3" width="65" style="2498" customWidth="1"/>
    <col min="4" max="4" width="12" style="2725" hidden="1" customWidth="1" outlineLevel="2"/>
    <col min="5" max="5" width="9" style="2725" hidden="1" customWidth="1" outlineLevel="2"/>
    <col min="6" max="6" width="8.86328125" style="2725" hidden="1" customWidth="1" outlineLevel="2"/>
    <col min="7" max="7" width="18" style="2725" customWidth="1" collapsed="1"/>
    <col min="8" max="10" width="16.59765625" style="2725" hidden="1" customWidth="1"/>
    <col min="11" max="12" width="16.59765625" style="2725" customWidth="1"/>
    <col min="13" max="13" width="13.73046875" style="2726" bestFit="1" customWidth="1"/>
    <col min="14" max="14" width="12.265625" style="3076" customWidth="1"/>
    <col min="15" max="15" width="15.265625" style="2727" hidden="1" customWidth="1" outlineLevel="2"/>
    <col min="16" max="16" width="12.59765625" style="2498" hidden="1" customWidth="1" outlineLevel="2"/>
    <col min="17" max="17" width="11" style="2725" hidden="1" customWidth="1" outlineLevel="2"/>
    <col min="18" max="18" width="14.73046875" style="2725" hidden="1" customWidth="1" outlineLevel="2"/>
    <col min="19" max="19" width="15.265625" style="2498" customWidth="1" collapsed="1"/>
    <col min="20" max="20" width="21" style="2728" bestFit="1" customWidth="1"/>
    <col min="21" max="21" width="15.73046875" style="2729" customWidth="1"/>
    <col min="22" max="16384" width="9" style="2498"/>
  </cols>
  <sheetData>
    <row r="1" spans="1:21" ht="20.25" customHeight="1">
      <c r="A1" s="108" t="s">
        <v>2376</v>
      </c>
      <c r="B1" s="2491"/>
      <c r="C1" s="109"/>
      <c r="D1" s="265"/>
      <c r="E1" s="265"/>
      <c r="F1" s="265"/>
      <c r="G1" s="265"/>
      <c r="H1" s="265"/>
      <c r="I1" s="265"/>
      <c r="J1" s="265"/>
      <c r="K1" s="265"/>
      <c r="L1" s="265"/>
      <c r="M1" s="330"/>
      <c r="N1" s="2724"/>
      <c r="O1" s="2493"/>
      <c r="P1" s="2494"/>
      <c r="Q1" s="2495"/>
      <c r="R1" s="2495"/>
      <c r="S1" s="2494"/>
      <c r="T1" s="2496"/>
      <c r="U1" s="2497"/>
    </row>
    <row r="2" spans="1:21" ht="15" customHeight="1">
      <c r="A2" s="2499" t="s">
        <v>2377</v>
      </c>
      <c r="B2" s="2500"/>
      <c r="C2" s="2494"/>
      <c r="D2" s="2495"/>
      <c r="E2" s="2495"/>
      <c r="F2" s="2495"/>
      <c r="G2" s="2495"/>
      <c r="H2" s="2495"/>
      <c r="I2" s="2495"/>
      <c r="J2" s="2495"/>
      <c r="K2" s="2495"/>
      <c r="L2" s="2495"/>
      <c r="M2" s="2501"/>
      <c r="N2" s="2724"/>
      <c r="O2" s="2493"/>
      <c r="P2" s="2494"/>
      <c r="Q2" s="2495"/>
      <c r="R2" s="2495"/>
      <c r="S2" s="2494"/>
      <c r="T2" s="2496"/>
      <c r="U2" s="2497"/>
    </row>
    <row r="3" spans="1:21" ht="15" customHeight="1" thickBot="1">
      <c r="A3" s="2500"/>
      <c r="B3" s="2500"/>
      <c r="C3" s="2494"/>
      <c r="D3" s="2495"/>
      <c r="E3" s="2495"/>
      <c r="F3" s="2495"/>
      <c r="G3" s="2495"/>
      <c r="H3" s="2495"/>
      <c r="I3" s="2495"/>
      <c r="J3" s="2495"/>
      <c r="K3" s="2495"/>
      <c r="L3" s="2495"/>
      <c r="M3" s="2501"/>
      <c r="N3" s="2724"/>
      <c r="O3" s="2493"/>
      <c r="P3" s="2494"/>
      <c r="Q3" s="2495"/>
      <c r="R3" s="2495"/>
      <c r="S3" s="2494"/>
      <c r="T3" s="2496"/>
      <c r="U3" s="2497"/>
    </row>
    <row r="4" spans="1:21" ht="36" customHeight="1" thickBot="1">
      <c r="A4" s="2502" t="s">
        <v>120</v>
      </c>
      <c r="B4" s="2503" t="s">
        <v>489</v>
      </c>
      <c r="C4" s="2504" t="s">
        <v>647</v>
      </c>
      <c r="D4" s="2502" t="s">
        <v>641</v>
      </c>
      <c r="E4" s="2502" t="s">
        <v>642</v>
      </c>
      <c r="F4" s="2502" t="s">
        <v>643</v>
      </c>
      <c r="G4" s="3010" t="s">
        <v>635</v>
      </c>
      <c r="H4" s="3010" t="s">
        <v>2378</v>
      </c>
      <c r="I4" s="3010" t="s">
        <v>1953</v>
      </c>
      <c r="J4" s="3010" t="s">
        <v>2687</v>
      </c>
      <c r="K4" s="3010" t="s">
        <v>2810</v>
      </c>
      <c r="L4" s="3010" t="s">
        <v>2128</v>
      </c>
      <c r="M4" s="2505" t="s">
        <v>2878</v>
      </c>
      <c r="N4" s="2506" t="s">
        <v>5</v>
      </c>
      <c r="O4" s="2507" t="s">
        <v>779</v>
      </c>
      <c r="P4" s="2505" t="s">
        <v>4</v>
      </c>
      <c r="Q4" s="2505" t="s">
        <v>640</v>
      </c>
      <c r="R4" s="2505" t="s">
        <v>636</v>
      </c>
      <c r="S4" s="2505" t="s">
        <v>637</v>
      </c>
      <c r="T4" s="2496"/>
      <c r="U4" s="2497"/>
    </row>
    <row r="5" spans="1:21" ht="13.9" thickBot="1">
      <c r="A5" s="3021"/>
      <c r="B5" s="2509" t="s">
        <v>3</v>
      </c>
      <c r="C5" s="2508"/>
      <c r="D5" s="2510"/>
      <c r="E5" s="2510"/>
      <c r="F5" s="2510"/>
      <c r="G5" s="2510"/>
      <c r="H5" s="2510"/>
      <c r="I5" s="2510"/>
      <c r="J5" s="2510"/>
      <c r="K5" s="2510"/>
      <c r="L5" s="2510"/>
      <c r="M5" s="2510"/>
      <c r="N5" s="2511"/>
      <c r="O5" s="2512"/>
      <c r="P5" s="2510"/>
      <c r="Q5" s="2510"/>
      <c r="R5" s="2510"/>
      <c r="S5" s="2513"/>
      <c r="T5" s="2496" t="s">
        <v>763</v>
      </c>
      <c r="U5" s="2497" t="s">
        <v>707</v>
      </c>
    </row>
    <row r="6" spans="1:21" ht="13.5" outlineLevel="1">
      <c r="A6" s="2514"/>
      <c r="B6" s="2515" t="s">
        <v>248</v>
      </c>
      <c r="C6" s="2516" t="s">
        <v>1686</v>
      </c>
      <c r="D6" s="2517"/>
      <c r="E6" s="2517"/>
      <c r="F6" s="2518"/>
      <c r="G6" s="2517" t="s">
        <v>638</v>
      </c>
      <c r="H6" s="2517">
        <v>360210</v>
      </c>
      <c r="I6" s="2517">
        <v>360210</v>
      </c>
      <c r="J6" s="2517">
        <v>360210</v>
      </c>
      <c r="K6" s="2517">
        <v>360210</v>
      </c>
      <c r="L6" s="2517">
        <v>360210</v>
      </c>
      <c r="M6" s="2519">
        <f>+[4]TSÚ!$B$11</f>
        <v>360210</v>
      </c>
      <c r="N6" s="2520">
        <f>+M6-L6</f>
        <v>0</v>
      </c>
      <c r="O6" s="2521"/>
      <c r="P6" s="2522"/>
      <c r="Q6" s="2523"/>
      <c r="R6" s="2523"/>
      <c r="S6" s="2519"/>
      <c r="T6" s="2496"/>
      <c r="U6" s="2497"/>
    </row>
    <row r="7" spans="1:21" ht="13.5" outlineLevel="1">
      <c r="A7" s="2514"/>
      <c r="B7" s="2524" t="s">
        <v>248</v>
      </c>
      <c r="C7" s="2516" t="s">
        <v>1685</v>
      </c>
      <c r="D7" s="2525"/>
      <c r="E7" s="2525"/>
      <c r="F7" s="2526"/>
      <c r="G7" s="2525" t="s">
        <v>638</v>
      </c>
      <c r="H7" s="2525">
        <v>450000</v>
      </c>
      <c r="I7" s="2525">
        <v>450000</v>
      </c>
      <c r="J7" s="2525">
        <v>450000</v>
      </c>
      <c r="K7" s="2525">
        <v>450000</v>
      </c>
      <c r="L7" s="2525">
        <v>450000</v>
      </c>
      <c r="M7" s="2527">
        <f>+[4]TSÚ!$B$12</f>
        <v>450000</v>
      </c>
      <c r="N7" s="2528">
        <f t="shared" ref="N7:N70" si="0">+M7-L7</f>
        <v>0</v>
      </c>
      <c r="O7" s="2529"/>
      <c r="P7" s="2530"/>
      <c r="Q7" s="2531"/>
      <c r="R7" s="2531"/>
      <c r="S7" s="2527"/>
      <c r="T7" s="2496"/>
      <c r="U7" s="2497"/>
    </row>
    <row r="8" spans="1:21" ht="13.5" outlineLevel="1">
      <c r="A8" s="2514"/>
      <c r="B8" s="2524" t="s">
        <v>248</v>
      </c>
      <c r="C8" s="2516" t="s">
        <v>947</v>
      </c>
      <c r="D8" s="2525"/>
      <c r="E8" s="2525"/>
      <c r="F8" s="2526"/>
      <c r="G8" s="2525" t="s">
        <v>638</v>
      </c>
      <c r="H8" s="2525">
        <v>997870</v>
      </c>
      <c r="I8" s="2525">
        <v>997870</v>
      </c>
      <c r="J8" s="2525">
        <v>997870</v>
      </c>
      <c r="K8" s="2525">
        <v>997870</v>
      </c>
      <c r="L8" s="2525">
        <v>997870</v>
      </c>
      <c r="M8" s="2527">
        <f>+[4]TSÚ!$B$13</f>
        <v>997870</v>
      </c>
      <c r="N8" s="2528">
        <f t="shared" si="0"/>
        <v>0</v>
      </c>
      <c r="O8" s="2529"/>
      <c r="P8" s="2530"/>
      <c r="Q8" s="2531"/>
      <c r="R8" s="2531"/>
      <c r="S8" s="2527"/>
      <c r="T8" s="2496"/>
      <c r="U8" s="2497"/>
    </row>
    <row r="9" spans="1:21" ht="13.5" outlineLevel="1">
      <c r="A9" s="2514"/>
      <c r="B9" s="2524" t="s">
        <v>248</v>
      </c>
      <c r="C9" s="2516" t="s">
        <v>2317</v>
      </c>
      <c r="D9" s="2525"/>
      <c r="E9" s="2525"/>
      <c r="F9" s="2526"/>
      <c r="G9" s="2525" t="s">
        <v>638</v>
      </c>
      <c r="H9" s="2525">
        <v>1250000</v>
      </c>
      <c r="I9" s="2525">
        <v>1250000</v>
      </c>
      <c r="J9" s="2525">
        <v>1250000</v>
      </c>
      <c r="K9" s="2525">
        <v>1250000</v>
      </c>
      <c r="L9" s="2525">
        <v>1250000</v>
      </c>
      <c r="M9" s="2527">
        <f>+[4]TSÚ!$B$14</f>
        <v>1250000</v>
      </c>
      <c r="N9" s="2528">
        <f t="shared" si="0"/>
        <v>0</v>
      </c>
      <c r="O9" s="2529"/>
      <c r="P9" s="2530"/>
      <c r="Q9" s="2531"/>
      <c r="R9" s="2531"/>
      <c r="S9" s="2527"/>
      <c r="T9" s="2496"/>
      <c r="U9" s="2497"/>
    </row>
    <row r="10" spans="1:21" ht="13.5" outlineLevel="1">
      <c r="A10" s="2514"/>
      <c r="B10" s="2524" t="s">
        <v>248</v>
      </c>
      <c r="C10" s="2516" t="s">
        <v>2873</v>
      </c>
      <c r="D10" s="2525"/>
      <c r="E10" s="2525"/>
      <c r="F10" s="2526"/>
      <c r="G10" s="2525" t="s">
        <v>638</v>
      </c>
      <c r="H10" s="2525">
        <v>0</v>
      </c>
      <c r="I10" s="2525">
        <v>0</v>
      </c>
      <c r="J10" s="2525">
        <v>0</v>
      </c>
      <c r="K10" s="2525">
        <v>0</v>
      </c>
      <c r="L10" s="2525">
        <v>2000000</v>
      </c>
      <c r="M10" s="2527">
        <f>+[4]TSÚ!$B$15</f>
        <v>2000000</v>
      </c>
      <c r="N10" s="2528">
        <f t="shared" si="0"/>
        <v>0</v>
      </c>
      <c r="O10" s="2529"/>
      <c r="P10" s="2530"/>
      <c r="Q10" s="2531"/>
      <c r="R10" s="2531"/>
      <c r="S10" s="2527"/>
      <c r="T10" s="2496"/>
      <c r="U10" s="2497"/>
    </row>
    <row r="11" spans="1:21" ht="13.5" outlineLevel="1">
      <c r="A11" s="2514"/>
      <c r="B11" s="2524" t="s">
        <v>248</v>
      </c>
      <c r="C11" s="2516" t="s">
        <v>2321</v>
      </c>
      <c r="D11" s="2525"/>
      <c r="E11" s="2525"/>
      <c r="F11" s="2526"/>
      <c r="G11" s="2525" t="s">
        <v>638</v>
      </c>
      <c r="H11" s="2525">
        <v>500000</v>
      </c>
      <c r="I11" s="2525">
        <v>500000</v>
      </c>
      <c r="J11" s="2525">
        <v>500000</v>
      </c>
      <c r="K11" s="2525">
        <v>500000</v>
      </c>
      <c r="L11" s="2525">
        <v>500000</v>
      </c>
      <c r="M11" s="2527">
        <f>+[4]TSÚ!$B$16</f>
        <v>500000</v>
      </c>
      <c r="N11" s="2528">
        <f t="shared" si="0"/>
        <v>0</v>
      </c>
      <c r="O11" s="2529"/>
      <c r="P11" s="2530"/>
      <c r="Q11" s="2531"/>
      <c r="R11" s="2531"/>
      <c r="S11" s="2527"/>
      <c r="T11" s="2496"/>
      <c r="U11" s="2497"/>
    </row>
    <row r="12" spans="1:21" ht="13.5" outlineLevel="1">
      <c r="A12" s="2514"/>
      <c r="B12" s="2524" t="s">
        <v>248</v>
      </c>
      <c r="C12" s="2516" t="s">
        <v>2831</v>
      </c>
      <c r="D12" s="2525"/>
      <c r="E12" s="2525"/>
      <c r="F12" s="2526"/>
      <c r="G12" s="2525" t="s">
        <v>638</v>
      </c>
      <c r="H12" s="2525">
        <v>700000</v>
      </c>
      <c r="I12" s="2525">
        <v>700000</v>
      </c>
      <c r="J12" s="2525">
        <v>700000</v>
      </c>
      <c r="K12" s="2525">
        <v>700000</v>
      </c>
      <c r="L12" s="2525">
        <v>700000</v>
      </c>
      <c r="M12" s="2527">
        <f>+[4]TSÚ!$B$17</f>
        <v>700000</v>
      </c>
      <c r="N12" s="2528">
        <f t="shared" si="0"/>
        <v>0</v>
      </c>
      <c r="O12" s="2529"/>
      <c r="P12" s="2530"/>
      <c r="Q12" s="2531"/>
      <c r="R12" s="2531"/>
      <c r="S12" s="2527"/>
      <c r="T12" s="2496"/>
      <c r="U12" s="2497"/>
    </row>
    <row r="13" spans="1:21" ht="13.9" outlineLevel="1" thickBot="1">
      <c r="A13" s="2514"/>
      <c r="B13" s="2524" t="s">
        <v>248</v>
      </c>
      <c r="C13" s="2516" t="s">
        <v>2738</v>
      </c>
      <c r="D13" s="2525"/>
      <c r="E13" s="2525"/>
      <c r="F13" s="2526"/>
      <c r="G13" s="2525" t="s">
        <v>638</v>
      </c>
      <c r="H13" s="2525"/>
      <c r="I13" s="2525"/>
      <c r="J13" s="2525">
        <v>1700000</v>
      </c>
      <c r="K13" s="2525">
        <v>1700000</v>
      </c>
      <c r="L13" s="2525">
        <v>1700000</v>
      </c>
      <c r="M13" s="2527">
        <f>+[4]TSÚ!$B$19</f>
        <v>1700000</v>
      </c>
      <c r="N13" s="2528">
        <f t="shared" si="0"/>
        <v>0</v>
      </c>
      <c r="O13" s="2529"/>
      <c r="P13" s="2530"/>
      <c r="Q13" s="2531"/>
      <c r="R13" s="2531"/>
      <c r="S13" s="2527"/>
      <c r="T13" s="2496"/>
      <c r="U13" s="2497"/>
    </row>
    <row r="14" spans="1:21" ht="13.9" hidden="1" outlineLevel="1" thickBot="1">
      <c r="A14" s="2514"/>
      <c r="B14" s="2524" t="s">
        <v>248</v>
      </c>
      <c r="C14" s="2516" t="s">
        <v>2322</v>
      </c>
      <c r="D14" s="2525"/>
      <c r="E14" s="2525"/>
      <c r="F14" s="2526"/>
      <c r="G14" s="2525" t="s">
        <v>638</v>
      </c>
      <c r="H14" s="2525">
        <v>0</v>
      </c>
      <c r="I14" s="2525">
        <v>0</v>
      </c>
      <c r="J14" s="2525">
        <v>0</v>
      </c>
      <c r="K14" s="2525">
        <v>0</v>
      </c>
      <c r="L14" s="2525">
        <v>0</v>
      </c>
      <c r="M14" s="2527">
        <f>+[4]TSÚ!$B$18</f>
        <v>0</v>
      </c>
      <c r="N14" s="2528">
        <f t="shared" si="0"/>
        <v>0</v>
      </c>
      <c r="O14" s="2529"/>
      <c r="P14" s="2530"/>
      <c r="Q14" s="2531"/>
      <c r="R14" s="2531"/>
      <c r="S14" s="2527"/>
      <c r="T14" s="2496"/>
      <c r="U14" s="2497"/>
    </row>
    <row r="15" spans="1:21" ht="13.9" thickBot="1">
      <c r="A15" s="3205" t="s">
        <v>622</v>
      </c>
      <c r="B15" s="3206"/>
      <c r="C15" s="2532"/>
      <c r="D15" s="2533"/>
      <c r="E15" s="2533"/>
      <c r="F15" s="2534"/>
      <c r="G15" s="2533"/>
      <c r="H15" s="2533">
        <v>4258080</v>
      </c>
      <c r="I15" s="2533">
        <v>4258080</v>
      </c>
      <c r="J15" s="2533">
        <v>5958080</v>
      </c>
      <c r="K15" s="2533">
        <v>5958080</v>
      </c>
      <c r="L15" s="2533">
        <v>7958080</v>
      </c>
      <c r="M15" s="2535">
        <f>SUM(M6:M14)</f>
        <v>7958080</v>
      </c>
      <c r="N15" s="2536">
        <f t="shared" si="0"/>
        <v>0</v>
      </c>
      <c r="O15" s="2537"/>
      <c r="P15" s="2537">
        <f>SUM(P6:P14)</f>
        <v>0</v>
      </c>
      <c r="Q15" s="2537"/>
      <c r="R15" s="2537"/>
      <c r="S15" s="2537"/>
      <c r="T15" s="2538">
        <f>'Výdaje kapitol celkem'!V66</f>
        <v>7958080</v>
      </c>
      <c r="U15" s="2539">
        <f>+T15-M15</f>
        <v>0</v>
      </c>
    </row>
    <row r="16" spans="1:21" ht="13.5" outlineLevel="1">
      <c r="A16" s="2540"/>
      <c r="B16" s="2524" t="s">
        <v>134</v>
      </c>
      <c r="C16" s="2516"/>
      <c r="D16" s="2525"/>
      <c r="E16" s="2525"/>
      <c r="F16" s="2526"/>
      <c r="G16" s="2525" t="s">
        <v>638</v>
      </c>
      <c r="H16" s="2525">
        <v>600000</v>
      </c>
      <c r="I16" s="2525">
        <v>600000</v>
      </c>
      <c r="J16" s="2525">
        <v>600000</v>
      </c>
      <c r="K16" s="2525">
        <v>600000</v>
      </c>
      <c r="L16" s="2525">
        <v>600000</v>
      </c>
      <c r="M16" s="2527">
        <f>+'[2]Městská policie'!$B$156</f>
        <v>600000</v>
      </c>
      <c r="N16" s="2528">
        <f t="shared" si="0"/>
        <v>0</v>
      </c>
      <c r="O16" s="2527"/>
      <c r="P16" s="2527"/>
      <c r="Q16" s="2527"/>
      <c r="R16" s="2527"/>
      <c r="S16" s="2527"/>
      <c r="T16" s="2496"/>
      <c r="U16" s="2539"/>
    </row>
    <row r="17" spans="1:21" ht="13.5" hidden="1" outlineLevel="1">
      <c r="A17" s="2541"/>
      <c r="B17" s="2524" t="s">
        <v>134</v>
      </c>
      <c r="C17" s="2516"/>
      <c r="D17" s="2525"/>
      <c r="E17" s="2525"/>
      <c r="F17" s="2526"/>
      <c r="G17" s="2525" t="s">
        <v>638</v>
      </c>
      <c r="H17" s="2525">
        <v>0</v>
      </c>
      <c r="I17" s="2525">
        <v>0</v>
      </c>
      <c r="J17" s="2525">
        <v>0</v>
      </c>
      <c r="K17" s="2525">
        <v>0</v>
      </c>
      <c r="L17" s="2525">
        <v>0</v>
      </c>
      <c r="M17" s="2527">
        <f>+'[2]Městská policie'!$B$157</f>
        <v>0</v>
      </c>
      <c r="N17" s="2528">
        <f t="shared" si="0"/>
        <v>0</v>
      </c>
      <c r="O17" s="2527"/>
      <c r="P17" s="2527"/>
      <c r="Q17" s="2527"/>
      <c r="R17" s="2527"/>
      <c r="S17" s="2527"/>
      <c r="T17" s="2496"/>
      <c r="U17" s="2539"/>
    </row>
    <row r="18" spans="1:21" ht="13.5" hidden="1" outlineLevel="1">
      <c r="A18" s="2541"/>
      <c r="B18" s="2524" t="s">
        <v>134</v>
      </c>
      <c r="C18" s="2516"/>
      <c r="D18" s="2525"/>
      <c r="E18" s="2525"/>
      <c r="F18" s="2526"/>
      <c r="G18" s="2525" t="s">
        <v>638</v>
      </c>
      <c r="H18" s="2525">
        <v>0</v>
      </c>
      <c r="I18" s="2525">
        <v>0</v>
      </c>
      <c r="J18" s="2525">
        <v>0</v>
      </c>
      <c r="K18" s="2525">
        <v>0</v>
      </c>
      <c r="L18" s="2525">
        <v>0</v>
      </c>
      <c r="M18" s="2527">
        <f>+'[2]Městská policie'!$B$163</f>
        <v>0</v>
      </c>
      <c r="N18" s="2528">
        <f t="shared" si="0"/>
        <v>0</v>
      </c>
      <c r="O18" s="2527"/>
      <c r="P18" s="2527"/>
      <c r="Q18" s="2527"/>
      <c r="R18" s="2527"/>
      <c r="S18" s="2527"/>
      <c r="T18" s="2496"/>
      <c r="U18" s="2539"/>
    </row>
    <row r="19" spans="1:21" ht="13.9" outlineLevel="1" thickBot="1">
      <c r="A19" s="2542" t="s">
        <v>197</v>
      </c>
      <c r="B19" s="2524" t="s">
        <v>134</v>
      </c>
      <c r="C19" s="2543"/>
      <c r="D19" s="2544"/>
      <c r="E19" s="2544"/>
      <c r="F19" s="2545"/>
      <c r="G19" s="2544" t="s">
        <v>638</v>
      </c>
      <c r="H19" s="2544">
        <v>0</v>
      </c>
      <c r="I19" s="2544">
        <v>0</v>
      </c>
      <c r="J19" s="2544">
        <v>0</v>
      </c>
      <c r="K19" s="2544">
        <v>0</v>
      </c>
      <c r="L19" s="2544">
        <v>0</v>
      </c>
      <c r="M19" s="2546">
        <f>+'[2]Městská policie'!$B$164</f>
        <v>0</v>
      </c>
      <c r="N19" s="2547">
        <f t="shared" si="0"/>
        <v>0</v>
      </c>
      <c r="O19" s="2546"/>
      <c r="P19" s="2546"/>
      <c r="Q19" s="2546"/>
      <c r="R19" s="2546"/>
      <c r="S19" s="2546"/>
      <c r="T19" s="2496"/>
      <c r="U19" s="2539"/>
    </row>
    <row r="20" spans="1:21" ht="13.9" thickBot="1">
      <c r="A20" s="3205" t="s">
        <v>1225</v>
      </c>
      <c r="B20" s="3206" t="s">
        <v>134</v>
      </c>
      <c r="C20" s="2532"/>
      <c r="D20" s="2533"/>
      <c r="E20" s="2533"/>
      <c r="F20" s="2534"/>
      <c r="G20" s="2533"/>
      <c r="H20" s="2533">
        <v>600000</v>
      </c>
      <c r="I20" s="2533">
        <v>600000</v>
      </c>
      <c r="J20" s="2533">
        <v>600000</v>
      </c>
      <c r="K20" s="2533">
        <v>600000</v>
      </c>
      <c r="L20" s="2533">
        <v>600000</v>
      </c>
      <c r="M20" s="2535">
        <f>SUM(M16:M19)</f>
        <v>600000</v>
      </c>
      <c r="N20" s="2536">
        <f t="shared" si="0"/>
        <v>0</v>
      </c>
      <c r="O20" s="2537"/>
      <c r="P20" s="2537">
        <f>SUM(P16:P19)</f>
        <v>0</v>
      </c>
      <c r="Q20" s="2537"/>
      <c r="R20" s="2537"/>
      <c r="S20" s="2537"/>
      <c r="T20" s="2538">
        <f>'Výdaje kapitol celkem'!Z69</f>
        <v>600000</v>
      </c>
      <c r="U20" s="2539">
        <f>+T20-M20</f>
        <v>0</v>
      </c>
    </row>
    <row r="21" spans="1:21" ht="13.5" outlineLevel="1">
      <c r="A21" s="2540"/>
      <c r="B21" s="2524" t="s">
        <v>357</v>
      </c>
      <c r="C21" s="2516" t="s">
        <v>1786</v>
      </c>
      <c r="D21" s="2525"/>
      <c r="E21" s="2525"/>
      <c r="F21" s="2526"/>
      <c r="G21" s="2525" t="s">
        <v>638</v>
      </c>
      <c r="H21" s="2525"/>
      <c r="I21" s="2525"/>
      <c r="J21" s="2525"/>
      <c r="K21" s="2525"/>
      <c r="L21" s="2525"/>
      <c r="M21" s="2527"/>
      <c r="N21" s="2528">
        <f t="shared" si="0"/>
        <v>0</v>
      </c>
      <c r="O21" s="2527"/>
      <c r="P21" s="2527"/>
      <c r="Q21" s="2527"/>
      <c r="R21" s="2527"/>
      <c r="S21" s="2527"/>
      <c r="T21" s="2496"/>
      <c r="U21" s="2539"/>
    </row>
    <row r="22" spans="1:21" ht="13.5" outlineLevel="1">
      <c r="A22" s="2541"/>
      <c r="B22" s="2524" t="s">
        <v>357</v>
      </c>
      <c r="C22" s="2516" t="s">
        <v>2238</v>
      </c>
      <c r="D22" s="2525"/>
      <c r="E22" s="2525"/>
      <c r="F22" s="2526"/>
      <c r="G22" s="2525" t="s">
        <v>638</v>
      </c>
      <c r="H22" s="2525">
        <v>300000</v>
      </c>
      <c r="I22" s="2525">
        <v>300000</v>
      </c>
      <c r="J22" s="2525">
        <v>300000</v>
      </c>
      <c r="K22" s="2525">
        <v>300000</v>
      </c>
      <c r="L22" s="2525">
        <v>300000</v>
      </c>
      <c r="M22" s="2527">
        <f>+[3]Správa!$B$19+[2]Správa!$B$139</f>
        <v>300000</v>
      </c>
      <c r="N22" s="2528">
        <f t="shared" si="0"/>
        <v>0</v>
      </c>
      <c r="O22" s="2527"/>
      <c r="P22" s="2527"/>
      <c r="Q22" s="2527"/>
      <c r="R22" s="2527"/>
      <c r="S22" s="2527"/>
      <c r="T22" s="2496"/>
      <c r="U22" s="2539"/>
    </row>
    <row r="23" spans="1:21" ht="13.5" outlineLevel="1">
      <c r="A23" s="2541"/>
      <c r="B23" s="2524" t="s">
        <v>357</v>
      </c>
      <c r="C23" s="2516" t="s">
        <v>2239</v>
      </c>
      <c r="D23" s="2525"/>
      <c r="E23" s="2525"/>
      <c r="F23" s="2526"/>
      <c r="G23" s="2525" t="s">
        <v>638</v>
      </c>
      <c r="H23" s="2525">
        <v>300000</v>
      </c>
      <c r="I23" s="2525">
        <v>300000</v>
      </c>
      <c r="J23" s="2525">
        <v>300000</v>
      </c>
      <c r="K23" s="2525">
        <v>300000</v>
      </c>
      <c r="L23" s="2525">
        <v>300000</v>
      </c>
      <c r="M23" s="2527">
        <f>+[3]Správa!$B$20+[2]Správa!$B$140</f>
        <v>300000</v>
      </c>
      <c r="N23" s="2528">
        <f t="shared" si="0"/>
        <v>0</v>
      </c>
      <c r="O23" s="2527"/>
      <c r="P23" s="2527"/>
      <c r="Q23" s="2527"/>
      <c r="R23" s="2527"/>
      <c r="S23" s="2527"/>
      <c r="T23" s="2496"/>
      <c r="U23" s="2539"/>
    </row>
    <row r="24" spans="1:21" ht="13.5" outlineLevel="1">
      <c r="A24" s="2541"/>
      <c r="B24" s="2524" t="s">
        <v>357</v>
      </c>
      <c r="C24" s="2516" t="s">
        <v>2589</v>
      </c>
      <c r="D24" s="2525"/>
      <c r="E24" s="2525"/>
      <c r="F24" s="2526"/>
      <c r="G24" s="2525" t="s">
        <v>638</v>
      </c>
      <c r="H24" s="2525">
        <v>140000</v>
      </c>
      <c r="I24" s="2525">
        <v>140000</v>
      </c>
      <c r="J24" s="2525">
        <v>140000</v>
      </c>
      <c r="K24" s="2525">
        <v>140000</v>
      </c>
      <c r="L24" s="2525">
        <v>140000</v>
      </c>
      <c r="M24" s="2527">
        <f>+[2]Správa!$B$146</f>
        <v>140000</v>
      </c>
      <c r="N24" s="2528">
        <f t="shared" si="0"/>
        <v>0</v>
      </c>
      <c r="O24" s="2527"/>
      <c r="P24" s="2527"/>
      <c r="Q24" s="2527"/>
      <c r="R24" s="2527"/>
      <c r="S24" s="2527"/>
      <c r="T24" s="2496"/>
      <c r="U24" s="2539"/>
    </row>
    <row r="25" spans="1:21" ht="13.5" outlineLevel="1">
      <c r="A25" s="2541"/>
      <c r="B25" s="2524" t="s">
        <v>357</v>
      </c>
      <c r="C25" s="2516" t="s">
        <v>2590</v>
      </c>
      <c r="D25" s="2525"/>
      <c r="E25" s="2525"/>
      <c r="F25" s="2526"/>
      <c r="G25" s="2525" t="s">
        <v>638</v>
      </c>
      <c r="H25" s="2525">
        <v>150000</v>
      </c>
      <c r="I25" s="2525">
        <v>150000</v>
      </c>
      <c r="J25" s="2525">
        <v>150000</v>
      </c>
      <c r="K25" s="2525">
        <v>150000</v>
      </c>
      <c r="L25" s="2525">
        <v>150000</v>
      </c>
      <c r="M25" s="2527">
        <f>+[2]Správa!$B$147</f>
        <v>150000</v>
      </c>
      <c r="N25" s="2528">
        <f t="shared" si="0"/>
        <v>0</v>
      </c>
      <c r="O25" s="2527"/>
      <c r="P25" s="2527"/>
      <c r="Q25" s="2527"/>
      <c r="R25" s="2527"/>
      <c r="S25" s="2527"/>
      <c r="T25" s="2496"/>
      <c r="U25" s="2539"/>
    </row>
    <row r="26" spans="1:21" s="2555" customFormat="1" ht="13.5" hidden="1" outlineLevel="1">
      <c r="A26" s="2541"/>
      <c r="B26" s="2548" t="s">
        <v>357</v>
      </c>
      <c r="C26" s="2549" t="s">
        <v>2203</v>
      </c>
      <c r="D26" s="2550"/>
      <c r="E26" s="2550"/>
      <c r="F26" s="2551"/>
      <c r="G26" s="2550" t="s">
        <v>638</v>
      </c>
      <c r="H26" s="2550"/>
      <c r="I26" s="2550"/>
      <c r="J26" s="2550"/>
      <c r="K26" s="2550"/>
      <c r="L26" s="2550"/>
      <c r="M26" s="2552"/>
      <c r="N26" s="2553">
        <f t="shared" si="0"/>
        <v>0</v>
      </c>
      <c r="O26" s="2552"/>
      <c r="P26" s="2552"/>
      <c r="Q26" s="2552"/>
      <c r="R26" s="2552"/>
      <c r="S26" s="2552"/>
      <c r="T26" s="2554"/>
      <c r="U26" s="2539"/>
    </row>
    <row r="27" spans="1:21" s="2555" customFormat="1" ht="13.5" outlineLevel="1">
      <c r="A27" s="2541"/>
      <c r="B27" s="2548" t="s">
        <v>357</v>
      </c>
      <c r="C27" s="2549" t="s">
        <v>2591</v>
      </c>
      <c r="D27" s="2550"/>
      <c r="E27" s="2550"/>
      <c r="F27" s="2551"/>
      <c r="G27" s="2550" t="s">
        <v>638</v>
      </c>
      <c r="H27" s="2550">
        <v>7716032</v>
      </c>
      <c r="I27" s="2550">
        <v>7716032</v>
      </c>
      <c r="J27" s="2550">
        <v>7716032</v>
      </c>
      <c r="K27" s="2550">
        <v>7716032</v>
      </c>
      <c r="L27" s="2550">
        <v>7716032</v>
      </c>
      <c r="M27" s="2552">
        <f>+[2]Správa!$B$148+[2]Správa!$B$154</f>
        <v>7716032</v>
      </c>
      <c r="N27" s="2553">
        <f t="shared" si="0"/>
        <v>0</v>
      </c>
      <c r="O27" s="2552"/>
      <c r="P27" s="2552"/>
      <c r="Q27" s="2552"/>
      <c r="R27" s="2552"/>
      <c r="S27" s="2552"/>
      <c r="T27" s="2554"/>
      <c r="U27" s="2539"/>
    </row>
    <row r="28" spans="1:21" ht="13.9" outlineLevel="1" thickBot="1">
      <c r="A28" s="2556">
        <v>6171</v>
      </c>
      <c r="B28" s="2557" t="s">
        <v>357</v>
      </c>
      <c r="C28" s="2558"/>
      <c r="D28" s="2559"/>
      <c r="E28" s="2559"/>
      <c r="F28" s="2560"/>
      <c r="G28" s="2550" t="s">
        <v>638</v>
      </c>
      <c r="H28" s="2550">
        <v>0</v>
      </c>
      <c r="I28" s="2550">
        <v>0</v>
      </c>
      <c r="J28" s="2550">
        <v>0</v>
      </c>
      <c r="K28" s="2550">
        <v>0</v>
      </c>
      <c r="L28" s="2550">
        <v>0</v>
      </c>
      <c r="M28" s="2561">
        <v>0</v>
      </c>
      <c r="N28" s="2562">
        <f t="shared" si="0"/>
        <v>0</v>
      </c>
      <c r="O28" s="2561"/>
      <c r="P28" s="2561"/>
      <c r="Q28" s="2561"/>
      <c r="R28" s="2561"/>
      <c r="S28" s="2561"/>
      <c r="T28" s="2496"/>
      <c r="U28" s="2539"/>
    </row>
    <row r="29" spans="1:21" ht="13.9" thickBot="1">
      <c r="A29" s="3205" t="s">
        <v>1956</v>
      </c>
      <c r="B29" s="3206" t="s">
        <v>357</v>
      </c>
      <c r="C29" s="2532"/>
      <c r="D29" s="2533"/>
      <c r="E29" s="2533"/>
      <c r="F29" s="2534"/>
      <c r="G29" s="2533"/>
      <c r="H29" s="2533">
        <v>8606032</v>
      </c>
      <c r="I29" s="2533">
        <v>8606032</v>
      </c>
      <c r="J29" s="2533">
        <v>8606032</v>
      </c>
      <c r="K29" s="2533">
        <v>8606032</v>
      </c>
      <c r="L29" s="2533">
        <v>8606032</v>
      </c>
      <c r="M29" s="2535">
        <f>SUM(M21:M28)</f>
        <v>8606032</v>
      </c>
      <c r="N29" s="2536">
        <f t="shared" si="0"/>
        <v>0</v>
      </c>
      <c r="O29" s="2537"/>
      <c r="P29" s="2537">
        <f>SUM(P21:P28)</f>
        <v>0</v>
      </c>
      <c r="Q29" s="2537"/>
      <c r="R29" s="2537"/>
      <c r="S29" s="2537"/>
      <c r="T29" s="2538">
        <f>'Výdaje kapitol celkem'!R69</f>
        <v>8606032</v>
      </c>
      <c r="U29" s="2539">
        <f>+T29-M29</f>
        <v>0</v>
      </c>
    </row>
    <row r="30" spans="1:21" ht="13.5" outlineLevel="1">
      <c r="A30" s="2540"/>
      <c r="B30" s="2524"/>
      <c r="C30" s="2516" t="s">
        <v>2832</v>
      </c>
      <c r="D30" s="2525"/>
      <c r="E30" s="2525"/>
      <c r="F30" s="2526"/>
      <c r="G30" s="2525" t="s">
        <v>638</v>
      </c>
      <c r="H30" s="2525">
        <v>600000</v>
      </c>
      <c r="I30" s="2525">
        <v>600000</v>
      </c>
      <c r="J30" s="2525">
        <v>600000</v>
      </c>
      <c r="K30" s="2525">
        <v>600000</v>
      </c>
      <c r="L30" s="2525">
        <v>600000</v>
      </c>
      <c r="M30" s="2527">
        <f>+'[3]Participativní rozpočet'!$B$118</f>
        <v>600000</v>
      </c>
      <c r="N30" s="2528">
        <f t="shared" si="0"/>
        <v>0</v>
      </c>
      <c r="O30" s="2528"/>
      <c r="P30" s="2528"/>
      <c r="Q30" s="2528"/>
      <c r="R30" s="2528"/>
      <c r="S30" s="2528"/>
      <c r="T30" s="2496"/>
      <c r="U30" s="2539"/>
    </row>
    <row r="31" spans="1:21" ht="13.9" outlineLevel="1" thickBot="1">
      <c r="A31" s="2541" t="s">
        <v>1954</v>
      </c>
      <c r="B31" s="2563"/>
      <c r="C31" s="2564" t="s">
        <v>2186</v>
      </c>
      <c r="D31" s="2565"/>
      <c r="E31" s="2565"/>
      <c r="F31" s="2566"/>
      <c r="G31" s="2565" t="s">
        <v>638</v>
      </c>
      <c r="H31" s="2565">
        <v>0</v>
      </c>
      <c r="I31" s="2565">
        <v>0</v>
      </c>
      <c r="J31" s="2565">
        <v>0</v>
      </c>
      <c r="K31" s="2565">
        <v>0</v>
      </c>
      <c r="L31" s="2565">
        <v>0</v>
      </c>
      <c r="M31" s="2567">
        <f>+'[3]Participativní rozpočet'!$B$119</f>
        <v>0</v>
      </c>
      <c r="N31" s="2568">
        <f t="shared" si="0"/>
        <v>0</v>
      </c>
      <c r="O31" s="2567"/>
      <c r="P31" s="2567"/>
      <c r="Q31" s="2567"/>
      <c r="R31" s="2567"/>
      <c r="S31" s="2567"/>
      <c r="T31" s="2496"/>
      <c r="U31" s="2539"/>
    </row>
    <row r="32" spans="1:21" ht="13.9" thickBot="1">
      <c r="A32" s="3205" t="s">
        <v>1957</v>
      </c>
      <c r="B32" s="3206" t="s">
        <v>191</v>
      </c>
      <c r="C32" s="2532"/>
      <c r="D32" s="2533"/>
      <c r="E32" s="2533"/>
      <c r="F32" s="2534"/>
      <c r="G32" s="2533"/>
      <c r="H32" s="2533">
        <v>600000</v>
      </c>
      <c r="I32" s="2533">
        <v>600000</v>
      </c>
      <c r="J32" s="2533">
        <v>600000</v>
      </c>
      <c r="K32" s="2533">
        <v>600000</v>
      </c>
      <c r="L32" s="2533">
        <v>600000</v>
      </c>
      <c r="M32" s="2535">
        <f>SUM(M30:M31)</f>
        <v>600000</v>
      </c>
      <c r="N32" s="2536">
        <f t="shared" si="0"/>
        <v>0</v>
      </c>
      <c r="O32" s="2537"/>
      <c r="P32" s="2537">
        <f t="shared" ref="P32" si="1">SUM(P30:P31)</f>
        <v>0</v>
      </c>
      <c r="Q32" s="2537"/>
      <c r="R32" s="2537"/>
      <c r="S32" s="2537"/>
      <c r="T32" s="2538">
        <f>'Výdaje kapitol celkem'!O69</f>
        <v>600000</v>
      </c>
      <c r="U32" s="2539">
        <f>+T32-M32</f>
        <v>0</v>
      </c>
    </row>
    <row r="33" spans="1:21" ht="13.5" outlineLevel="1">
      <c r="A33" s="2540"/>
      <c r="B33" s="2524" t="s">
        <v>1254</v>
      </c>
      <c r="C33" s="2516" t="s">
        <v>2625</v>
      </c>
      <c r="D33" s="2525"/>
      <c r="E33" s="2525"/>
      <c r="F33" s="2526"/>
      <c r="G33" s="2525" t="s">
        <v>638</v>
      </c>
      <c r="H33" s="2525">
        <v>1100000</v>
      </c>
      <c r="I33" s="2525">
        <v>1100000</v>
      </c>
      <c r="J33" s="2525">
        <v>1100000</v>
      </c>
      <c r="K33" s="2525">
        <v>1100000</v>
      </c>
      <c r="L33" s="2525">
        <v>1100000</v>
      </c>
      <c r="M33" s="2527">
        <f>+'[4]Hotel Budka'!$B$9</f>
        <v>1100000</v>
      </c>
      <c r="N33" s="2528">
        <f t="shared" si="0"/>
        <v>0</v>
      </c>
      <c r="O33" s="2528"/>
      <c r="P33" s="2528"/>
      <c r="Q33" s="2528"/>
      <c r="R33" s="2528"/>
      <c r="S33" s="2528"/>
      <c r="T33" s="2496"/>
      <c r="U33" s="2539"/>
    </row>
    <row r="34" spans="1:21" ht="13.9" outlineLevel="1" thickBot="1">
      <c r="A34" s="2541" t="s">
        <v>1255</v>
      </c>
      <c r="B34" s="2563" t="s">
        <v>1254</v>
      </c>
      <c r="C34" s="2564" t="s">
        <v>1596</v>
      </c>
      <c r="D34" s="2565"/>
      <c r="E34" s="2565"/>
      <c r="F34" s="2566"/>
      <c r="G34" s="2565" t="s">
        <v>638</v>
      </c>
      <c r="H34" s="2565">
        <v>0</v>
      </c>
      <c r="I34" s="2565">
        <v>0</v>
      </c>
      <c r="J34" s="2565">
        <v>0</v>
      </c>
      <c r="K34" s="2565">
        <v>0</v>
      </c>
      <c r="L34" s="2565">
        <v>0</v>
      </c>
      <c r="M34" s="2567">
        <f>+'[4]Hotel Budka'!$B$8</f>
        <v>0</v>
      </c>
      <c r="N34" s="2568">
        <f t="shared" si="0"/>
        <v>0</v>
      </c>
      <c r="O34" s="2567"/>
      <c r="P34" s="2567"/>
      <c r="Q34" s="2567"/>
      <c r="R34" s="2567"/>
      <c r="S34" s="2567"/>
      <c r="T34" s="2496"/>
      <c r="U34" s="2539"/>
    </row>
    <row r="35" spans="1:21" ht="13.9" thickBot="1">
      <c r="A35" s="3205" t="s">
        <v>1444</v>
      </c>
      <c r="B35" s="3206" t="s">
        <v>191</v>
      </c>
      <c r="C35" s="2532"/>
      <c r="D35" s="2533"/>
      <c r="E35" s="2533"/>
      <c r="F35" s="2534"/>
      <c r="G35" s="2533"/>
      <c r="H35" s="2533">
        <v>1100000</v>
      </c>
      <c r="I35" s="2533">
        <v>1100000</v>
      </c>
      <c r="J35" s="2533">
        <v>1100000</v>
      </c>
      <c r="K35" s="2533">
        <v>1100000</v>
      </c>
      <c r="L35" s="2533">
        <v>1100000</v>
      </c>
      <c r="M35" s="2535">
        <f>SUM(M33:M34)</f>
        <v>1100000</v>
      </c>
      <c r="N35" s="2536">
        <f t="shared" si="0"/>
        <v>0</v>
      </c>
      <c r="O35" s="2537"/>
      <c r="P35" s="2537">
        <f t="shared" ref="P35" si="2">SUM(P33:P34)</f>
        <v>0</v>
      </c>
      <c r="Q35" s="2537"/>
      <c r="R35" s="2537"/>
      <c r="S35" s="2537"/>
      <c r="T35" s="2538">
        <f>'Výdaje kapitol celkem'!AB69</f>
        <v>1100000</v>
      </c>
      <c r="U35" s="2539">
        <f>+T35-M35</f>
        <v>0</v>
      </c>
    </row>
    <row r="36" spans="1:21" ht="13.5" outlineLevel="1">
      <c r="A36" s="2540"/>
      <c r="B36" s="2524" t="s">
        <v>191</v>
      </c>
      <c r="C36" s="2516" t="s">
        <v>1647</v>
      </c>
      <c r="D36" s="2525"/>
      <c r="E36" s="2525"/>
      <c r="F36" s="2526"/>
      <c r="G36" s="2525" t="s">
        <v>638</v>
      </c>
      <c r="H36" s="2525">
        <v>30000</v>
      </c>
      <c r="I36" s="2525">
        <v>30000</v>
      </c>
      <c r="J36" s="2525">
        <v>30000</v>
      </c>
      <c r="K36" s="2525">
        <v>30000</v>
      </c>
      <c r="L36" s="2525">
        <v>30000</v>
      </c>
      <c r="M36" s="2527">
        <f>+[3]Knihovna!$B$34</f>
        <v>30000</v>
      </c>
      <c r="N36" s="2528">
        <f t="shared" si="0"/>
        <v>0</v>
      </c>
      <c r="O36" s="2527"/>
      <c r="P36" s="2527"/>
      <c r="Q36" s="2527"/>
      <c r="R36" s="2527"/>
      <c r="S36" s="2527"/>
      <c r="T36" s="2496"/>
      <c r="U36" s="2539"/>
    </row>
    <row r="37" spans="1:21" ht="13.5" outlineLevel="1">
      <c r="A37" s="2541"/>
      <c r="B37" s="2569" t="s">
        <v>191</v>
      </c>
      <c r="C37" s="2570" t="s">
        <v>2300</v>
      </c>
      <c r="D37" s="2571"/>
      <c r="E37" s="2571"/>
      <c r="F37" s="2572"/>
      <c r="G37" s="2571" t="s">
        <v>638</v>
      </c>
      <c r="H37" s="2571">
        <v>250000</v>
      </c>
      <c r="I37" s="2571">
        <v>250000</v>
      </c>
      <c r="J37" s="2571">
        <v>250000</v>
      </c>
      <c r="K37" s="2571">
        <v>250000</v>
      </c>
      <c r="L37" s="2571">
        <v>250000</v>
      </c>
      <c r="M37" s="2573">
        <f>+[3]Knihovna!$B$35</f>
        <v>250000</v>
      </c>
      <c r="N37" s="2528">
        <f t="shared" si="0"/>
        <v>0</v>
      </c>
      <c r="O37" s="2573"/>
      <c r="P37" s="2573"/>
      <c r="Q37" s="2573"/>
      <c r="R37" s="2573"/>
      <c r="S37" s="2573"/>
      <c r="T37" s="2496"/>
      <c r="U37" s="2539"/>
    </row>
    <row r="38" spans="1:21" ht="13.9" outlineLevel="1" thickBot="1">
      <c r="A38" s="2541">
        <v>3314</v>
      </c>
      <c r="B38" s="2563" t="s">
        <v>191</v>
      </c>
      <c r="C38" s="2564" t="s">
        <v>2301</v>
      </c>
      <c r="D38" s="2565"/>
      <c r="E38" s="2565"/>
      <c r="F38" s="2566"/>
      <c r="G38" s="2565" t="s">
        <v>638</v>
      </c>
      <c r="H38" s="2565">
        <v>0</v>
      </c>
      <c r="I38" s="2565">
        <v>0</v>
      </c>
      <c r="J38" s="2565">
        <v>0</v>
      </c>
      <c r="K38" s="2565">
        <v>0</v>
      </c>
      <c r="L38" s="2565">
        <v>0</v>
      </c>
      <c r="M38" s="2567">
        <f>+[3]Knihovna!$B$36</f>
        <v>0</v>
      </c>
      <c r="N38" s="2568">
        <f t="shared" si="0"/>
        <v>0</v>
      </c>
      <c r="O38" s="2567"/>
      <c r="P38" s="2567"/>
      <c r="Q38" s="2567"/>
      <c r="R38" s="2567"/>
      <c r="S38" s="2567"/>
      <c r="T38" s="2496"/>
      <c r="U38" s="2539"/>
    </row>
    <row r="39" spans="1:21" ht="13.9" thickBot="1">
      <c r="A39" s="3205" t="s">
        <v>1927</v>
      </c>
      <c r="B39" s="3206" t="s">
        <v>191</v>
      </c>
      <c r="C39" s="2532"/>
      <c r="D39" s="2533"/>
      <c r="E39" s="2533"/>
      <c r="F39" s="2534"/>
      <c r="G39" s="2533"/>
      <c r="H39" s="2533">
        <v>280000</v>
      </c>
      <c r="I39" s="2533">
        <v>280000</v>
      </c>
      <c r="J39" s="2533">
        <v>280000</v>
      </c>
      <c r="K39" s="2533">
        <v>280000</v>
      </c>
      <c r="L39" s="2533">
        <v>280000</v>
      </c>
      <c r="M39" s="2535">
        <f>SUM(M36:M38)</f>
        <v>280000</v>
      </c>
      <c r="N39" s="2536">
        <f t="shared" si="0"/>
        <v>0</v>
      </c>
      <c r="O39" s="2537"/>
      <c r="P39" s="2537">
        <f t="shared" ref="P39" si="3">SUM(P36:P38)</f>
        <v>0</v>
      </c>
      <c r="Q39" s="2537"/>
      <c r="R39" s="2537"/>
      <c r="S39" s="2537"/>
      <c r="T39" s="2538">
        <f>'Výdaje kapitol celkem'!AC69</f>
        <v>280000</v>
      </c>
      <c r="U39" s="2539">
        <f>+T39-M39</f>
        <v>0</v>
      </c>
    </row>
    <row r="40" spans="1:21" s="2581" customFormat="1" ht="13.5" outlineLevel="1">
      <c r="A40" s="2574"/>
      <c r="B40" s="2569" t="s">
        <v>138</v>
      </c>
      <c r="C40" s="2575" t="s">
        <v>2615</v>
      </c>
      <c r="D40" s="2576"/>
      <c r="E40" s="2576"/>
      <c r="F40" s="2577"/>
      <c r="G40" s="2576" t="s">
        <v>638</v>
      </c>
      <c r="H40" s="2576">
        <v>1000000</v>
      </c>
      <c r="I40" s="2576">
        <v>1000000</v>
      </c>
      <c r="J40" s="2576">
        <v>1000000</v>
      </c>
      <c r="K40" s="2576">
        <v>1000000</v>
      </c>
      <c r="L40" s="2576">
        <v>1000000</v>
      </c>
      <c r="M40" s="2578">
        <f>+[4]Byty!$B$8</f>
        <v>1000000</v>
      </c>
      <c r="N40" s="2579">
        <f t="shared" si="0"/>
        <v>0</v>
      </c>
      <c r="O40" s="2580"/>
      <c r="P40" s="2580"/>
      <c r="Q40" s="2580"/>
      <c r="R40" s="2580"/>
      <c r="S40" s="2580"/>
      <c r="T40" s="2496"/>
      <c r="U40" s="2539"/>
    </row>
    <row r="41" spans="1:21" s="2581" customFormat="1" ht="13.5" outlineLevel="1">
      <c r="A41" s="2574"/>
      <c r="B41" s="2524" t="s">
        <v>138</v>
      </c>
      <c r="C41" s="2575" t="s">
        <v>1594</v>
      </c>
      <c r="D41" s="2576"/>
      <c r="E41" s="2576"/>
      <c r="F41" s="2577"/>
      <c r="G41" s="2576" t="s">
        <v>638</v>
      </c>
      <c r="H41" s="2576">
        <v>100000</v>
      </c>
      <c r="I41" s="2576">
        <v>100000</v>
      </c>
      <c r="J41" s="2576">
        <v>100000</v>
      </c>
      <c r="K41" s="2576">
        <v>100000</v>
      </c>
      <c r="L41" s="2576">
        <v>100000</v>
      </c>
      <c r="M41" s="2580">
        <f>+[4]Byty!$B$9</f>
        <v>100000</v>
      </c>
      <c r="N41" s="2579">
        <f t="shared" si="0"/>
        <v>0</v>
      </c>
      <c r="O41" s="2580"/>
      <c r="P41" s="2580"/>
      <c r="Q41" s="2580"/>
      <c r="R41" s="2580"/>
      <c r="S41" s="2580"/>
      <c r="T41" s="2495"/>
      <c r="U41" s="2539"/>
    </row>
    <row r="42" spans="1:21" s="2581" customFormat="1" ht="26.65" outlineLevel="1">
      <c r="A42" s="2574"/>
      <c r="B42" s="2524" t="s">
        <v>138</v>
      </c>
      <c r="C42" s="2575" t="s">
        <v>1593</v>
      </c>
      <c r="D42" s="2576"/>
      <c r="E42" s="2576"/>
      <c r="F42" s="2577"/>
      <c r="G42" s="2576" t="s">
        <v>638</v>
      </c>
      <c r="H42" s="2576">
        <v>2400000</v>
      </c>
      <c r="I42" s="2576">
        <v>2400000</v>
      </c>
      <c r="J42" s="2576">
        <v>2400000</v>
      </c>
      <c r="K42" s="2576">
        <v>2400000</v>
      </c>
      <c r="L42" s="2576">
        <v>2400000</v>
      </c>
      <c r="M42" s="2580">
        <f>+[4]Byty!$B$25</f>
        <v>2400000</v>
      </c>
      <c r="N42" s="2579">
        <f t="shared" si="0"/>
        <v>0</v>
      </c>
      <c r="O42" s="2580"/>
      <c r="P42" s="2580"/>
      <c r="Q42" s="2580"/>
      <c r="R42" s="2580"/>
      <c r="S42" s="2573"/>
      <c r="T42" s="2495"/>
      <c r="U42" s="2539"/>
    </row>
    <row r="43" spans="1:21" s="2581" customFormat="1" ht="13.5" hidden="1" outlineLevel="1">
      <c r="A43" s="2574"/>
      <c r="B43" s="2524" t="s">
        <v>138</v>
      </c>
      <c r="C43" s="2575" t="s">
        <v>2185</v>
      </c>
      <c r="D43" s="2576"/>
      <c r="E43" s="2576"/>
      <c r="F43" s="2577"/>
      <c r="G43" s="2576" t="s">
        <v>638</v>
      </c>
      <c r="H43" s="2576">
        <v>0</v>
      </c>
      <c r="I43" s="2576">
        <v>0</v>
      </c>
      <c r="J43" s="2576">
        <v>0</v>
      </c>
      <c r="K43" s="2576">
        <v>0</v>
      </c>
      <c r="L43" s="2576">
        <v>0</v>
      </c>
      <c r="M43" s="2580">
        <f>+[4]Byty!$B$26</f>
        <v>0</v>
      </c>
      <c r="N43" s="2579">
        <f t="shared" si="0"/>
        <v>0</v>
      </c>
      <c r="O43" s="2580"/>
      <c r="P43" s="2580"/>
      <c r="Q43" s="2580"/>
      <c r="R43" s="2580"/>
      <c r="S43" s="2580"/>
      <c r="T43" s="2495"/>
      <c r="U43" s="2539"/>
    </row>
    <row r="44" spans="1:21" s="2581" customFormat="1" ht="13.9" outlineLevel="1" thickBot="1">
      <c r="A44" s="2541">
        <v>3612</v>
      </c>
      <c r="B44" s="2569" t="s">
        <v>138</v>
      </c>
      <c r="C44" s="2582" t="s">
        <v>2836</v>
      </c>
      <c r="D44" s="2583"/>
      <c r="E44" s="2583"/>
      <c r="F44" s="2584"/>
      <c r="G44" s="2583" t="s">
        <v>638</v>
      </c>
      <c r="H44" s="2583"/>
      <c r="I44" s="2583"/>
      <c r="J44" s="2583"/>
      <c r="K44" s="2583">
        <v>5800000</v>
      </c>
      <c r="L44" s="2583">
        <v>5800000</v>
      </c>
      <c r="M44" s="2585">
        <f>+[4]Byty!$B$43</f>
        <v>5800000</v>
      </c>
      <c r="N44" s="2586">
        <f t="shared" si="0"/>
        <v>0</v>
      </c>
      <c r="O44" s="2585"/>
      <c r="P44" s="2585"/>
      <c r="Q44" s="2585"/>
      <c r="R44" s="2585"/>
      <c r="S44" s="2585"/>
      <c r="T44" s="2495"/>
      <c r="U44" s="2539"/>
    </row>
    <row r="45" spans="1:21" ht="13.9" thickBot="1">
      <c r="A45" s="3205" t="s">
        <v>623</v>
      </c>
      <c r="B45" s="3206"/>
      <c r="C45" s="2532"/>
      <c r="D45" s="2533"/>
      <c r="E45" s="2533"/>
      <c r="F45" s="2534"/>
      <c r="G45" s="2533"/>
      <c r="H45" s="2533">
        <v>3500000</v>
      </c>
      <c r="I45" s="2533">
        <v>3500000</v>
      </c>
      <c r="J45" s="2533">
        <v>3500000</v>
      </c>
      <c r="K45" s="2533">
        <v>9300000</v>
      </c>
      <c r="L45" s="2533">
        <v>9300000</v>
      </c>
      <c r="M45" s="2535">
        <f>SUM(M40:M44)</f>
        <v>9300000</v>
      </c>
      <c r="N45" s="2536">
        <f t="shared" si="0"/>
        <v>0</v>
      </c>
      <c r="O45" s="2537"/>
      <c r="P45" s="2537">
        <f>SUM(P40:P44)</f>
        <v>0</v>
      </c>
      <c r="Q45" s="2537"/>
      <c r="R45" s="2537"/>
      <c r="S45" s="2537"/>
      <c r="T45" s="2538">
        <f>'Výdaje kapitol celkem'!AF69</f>
        <v>9300000</v>
      </c>
      <c r="U45" s="2539">
        <f>+T45-M45</f>
        <v>0</v>
      </c>
    </row>
    <row r="46" spans="1:21" s="2581" customFormat="1" ht="13.5" outlineLevel="1">
      <c r="A46" s="2574"/>
      <c r="B46" s="2524" t="s">
        <v>140</v>
      </c>
      <c r="C46" s="2575" t="s">
        <v>1599</v>
      </c>
      <c r="D46" s="2576"/>
      <c r="E46" s="2576"/>
      <c r="F46" s="2577"/>
      <c r="G46" s="2576" t="s">
        <v>638</v>
      </c>
      <c r="H46" s="2576">
        <v>0</v>
      </c>
      <c r="I46" s="2576">
        <v>0</v>
      </c>
      <c r="J46" s="2576">
        <v>0</v>
      </c>
      <c r="K46" s="2576">
        <v>0</v>
      </c>
      <c r="L46" s="2576">
        <v>0</v>
      </c>
      <c r="M46" s="2580">
        <f>+[4]Nebyty!$B$20</f>
        <v>0</v>
      </c>
      <c r="N46" s="2579">
        <f t="shared" si="0"/>
        <v>0</v>
      </c>
      <c r="O46" s="2580"/>
      <c r="P46" s="2580"/>
      <c r="Q46" s="2580"/>
      <c r="R46" s="2580"/>
      <c r="S46" s="2580"/>
      <c r="T46" s="2496"/>
      <c r="U46" s="2539"/>
    </row>
    <row r="47" spans="1:21" s="2581" customFormat="1" ht="15" customHeight="1" outlineLevel="1">
      <c r="A47" s="2574"/>
      <c r="B47" s="2569" t="s">
        <v>140</v>
      </c>
      <c r="C47" s="2587" t="s">
        <v>1597</v>
      </c>
      <c r="D47" s="2583"/>
      <c r="E47" s="2583"/>
      <c r="F47" s="2584"/>
      <c r="G47" s="2583" t="s">
        <v>638</v>
      </c>
      <c r="H47" s="2583">
        <v>0</v>
      </c>
      <c r="I47" s="2583">
        <v>0</v>
      </c>
      <c r="J47" s="2583">
        <v>0</v>
      </c>
      <c r="K47" s="2583">
        <v>0</v>
      </c>
      <c r="L47" s="2583">
        <v>0</v>
      </c>
      <c r="M47" s="2585">
        <f>+[4]Nebyty!$B$9</f>
        <v>0</v>
      </c>
      <c r="N47" s="2586">
        <f t="shared" si="0"/>
        <v>0</v>
      </c>
      <c r="O47" s="2585"/>
      <c r="P47" s="2585"/>
      <c r="Q47" s="2585"/>
      <c r="R47" s="2585"/>
      <c r="S47" s="2585"/>
      <c r="T47" s="2496"/>
      <c r="U47" s="2539"/>
    </row>
    <row r="48" spans="1:21" s="2581" customFormat="1" ht="15" customHeight="1" outlineLevel="1">
      <c r="A48" s="2574"/>
      <c r="B48" s="2524" t="s">
        <v>140</v>
      </c>
      <c r="C48" s="2588" t="s">
        <v>2207</v>
      </c>
      <c r="D48" s="2576"/>
      <c r="E48" s="2576"/>
      <c r="F48" s="2577"/>
      <c r="G48" s="2576" t="s">
        <v>638</v>
      </c>
      <c r="H48" s="2576">
        <v>0</v>
      </c>
      <c r="I48" s="2576">
        <v>0</v>
      </c>
      <c r="J48" s="2576">
        <v>0</v>
      </c>
      <c r="K48" s="2576">
        <v>0</v>
      </c>
      <c r="L48" s="2576">
        <v>0</v>
      </c>
      <c r="M48" s="2580">
        <f>+[4]Nebyty!$B$24</f>
        <v>0</v>
      </c>
      <c r="N48" s="2579">
        <f t="shared" si="0"/>
        <v>0</v>
      </c>
      <c r="O48" s="2580"/>
      <c r="P48" s="2580"/>
      <c r="Q48" s="2580"/>
      <c r="R48" s="2580"/>
      <c r="S48" s="2580"/>
      <c r="T48" s="2496"/>
      <c r="U48" s="2539"/>
    </row>
    <row r="49" spans="1:21" s="2581" customFormat="1" ht="15" customHeight="1" outlineLevel="1">
      <c r="A49" s="2574"/>
      <c r="B49" s="2524" t="s">
        <v>140</v>
      </c>
      <c r="C49" s="2588" t="s">
        <v>1598</v>
      </c>
      <c r="D49" s="2576"/>
      <c r="E49" s="2576"/>
      <c r="F49" s="2577"/>
      <c r="G49" s="2576" t="s">
        <v>638</v>
      </c>
      <c r="H49" s="2576">
        <v>0</v>
      </c>
      <c r="I49" s="2576">
        <v>0</v>
      </c>
      <c r="J49" s="2576">
        <v>0</v>
      </c>
      <c r="K49" s="2576">
        <v>0</v>
      </c>
      <c r="L49" s="2576">
        <v>0</v>
      </c>
      <c r="M49" s="2580">
        <f>+[4]Nebyty!$B$25</f>
        <v>0</v>
      </c>
      <c r="N49" s="2579">
        <f t="shared" si="0"/>
        <v>0</v>
      </c>
      <c r="O49" s="2580"/>
      <c r="P49" s="2580"/>
      <c r="Q49" s="2580"/>
      <c r="R49" s="2580"/>
      <c r="S49" s="2580"/>
      <c r="T49" s="2496"/>
      <c r="U49" s="2539"/>
    </row>
    <row r="50" spans="1:21" s="2581" customFormat="1" ht="13.5" outlineLevel="1">
      <c r="A50" s="2541"/>
      <c r="B50" s="2524" t="s">
        <v>140</v>
      </c>
      <c r="C50" s="2588" t="s">
        <v>1600</v>
      </c>
      <c r="D50" s="2576"/>
      <c r="E50" s="2576"/>
      <c r="F50" s="2577"/>
      <c r="G50" s="2576" t="s">
        <v>638</v>
      </c>
      <c r="H50" s="2576">
        <v>0</v>
      </c>
      <c r="I50" s="2576">
        <v>0</v>
      </c>
      <c r="J50" s="2576">
        <v>0</v>
      </c>
      <c r="K50" s="2576">
        <v>0</v>
      </c>
      <c r="L50" s="2576">
        <v>0</v>
      </c>
      <c r="M50" s="2580">
        <f>+[4]Nebyty!$B$40</f>
        <v>0</v>
      </c>
      <c r="N50" s="2579">
        <f t="shared" si="0"/>
        <v>0</v>
      </c>
      <c r="O50" s="2580"/>
      <c r="P50" s="2580"/>
      <c r="Q50" s="2580"/>
      <c r="R50" s="2580"/>
      <c r="S50" s="2580"/>
      <c r="T50" s="2496"/>
      <c r="U50" s="2539"/>
    </row>
    <row r="51" spans="1:21" s="2581" customFormat="1" ht="15" customHeight="1" outlineLevel="1">
      <c r="A51" s="2574"/>
      <c r="B51" s="2524" t="s">
        <v>140</v>
      </c>
      <c r="C51" s="2588" t="s">
        <v>1601</v>
      </c>
      <c r="D51" s="2576"/>
      <c r="E51" s="2576"/>
      <c r="F51" s="2577"/>
      <c r="G51" s="2576" t="s">
        <v>638</v>
      </c>
      <c r="H51" s="2576">
        <v>0</v>
      </c>
      <c r="I51" s="2576">
        <v>0</v>
      </c>
      <c r="J51" s="2576">
        <v>0</v>
      </c>
      <c r="K51" s="2576">
        <v>0</v>
      </c>
      <c r="L51" s="2576">
        <v>0</v>
      </c>
      <c r="M51" s="2580">
        <f>+[4]Nebyty!$B$41</f>
        <v>0</v>
      </c>
      <c r="N51" s="2579">
        <f t="shared" si="0"/>
        <v>0</v>
      </c>
      <c r="O51" s="2580"/>
      <c r="P51" s="2580"/>
      <c r="Q51" s="2580"/>
      <c r="R51" s="2580"/>
      <c r="S51" s="2580"/>
      <c r="T51" s="2496"/>
      <c r="U51" s="2539"/>
    </row>
    <row r="52" spans="1:21" s="2581" customFormat="1" ht="15" customHeight="1" outlineLevel="1">
      <c r="A52" s="2574"/>
      <c r="B52" s="2524" t="s">
        <v>140</v>
      </c>
      <c r="C52" s="2588" t="s">
        <v>1595</v>
      </c>
      <c r="D52" s="2576"/>
      <c r="E52" s="2576"/>
      <c r="F52" s="2577"/>
      <c r="G52" s="2576" t="s">
        <v>638</v>
      </c>
      <c r="H52" s="2576">
        <v>0</v>
      </c>
      <c r="I52" s="2576">
        <v>0</v>
      </c>
      <c r="J52" s="2576">
        <v>0</v>
      </c>
      <c r="K52" s="2576">
        <v>0</v>
      </c>
      <c r="L52" s="2576">
        <v>0</v>
      </c>
      <c r="M52" s="2580">
        <f>+[4]Nebyty!$B$51</f>
        <v>0</v>
      </c>
      <c r="N52" s="2579">
        <f t="shared" si="0"/>
        <v>0</v>
      </c>
      <c r="O52" s="2580"/>
      <c r="P52" s="2580"/>
      <c r="Q52" s="2580"/>
      <c r="R52" s="2580"/>
      <c r="S52" s="2580"/>
      <c r="T52" s="2496"/>
      <c r="U52" s="2539"/>
    </row>
    <row r="53" spans="1:21" s="2581" customFormat="1" ht="15" customHeight="1" outlineLevel="1">
      <c r="A53" s="2574"/>
      <c r="B53" s="2524" t="s">
        <v>140</v>
      </c>
      <c r="C53" s="2588" t="s">
        <v>1602</v>
      </c>
      <c r="D53" s="2576"/>
      <c r="E53" s="2576"/>
      <c r="F53" s="2577"/>
      <c r="G53" s="2576" t="s">
        <v>638</v>
      </c>
      <c r="H53" s="2576">
        <v>0</v>
      </c>
      <c r="I53" s="2576">
        <v>0</v>
      </c>
      <c r="J53" s="2576">
        <v>0</v>
      </c>
      <c r="K53" s="2576">
        <v>0</v>
      </c>
      <c r="L53" s="2576">
        <v>0</v>
      </c>
      <c r="M53" s="2580">
        <f>+[4]Nebyty!$B$52</f>
        <v>0</v>
      </c>
      <c r="N53" s="2579">
        <f t="shared" si="0"/>
        <v>0</v>
      </c>
      <c r="O53" s="2580"/>
      <c r="P53" s="2580"/>
      <c r="Q53" s="2580"/>
      <c r="R53" s="2580"/>
      <c r="S53" s="2580"/>
      <c r="T53" s="2496"/>
      <c r="U53" s="2539"/>
    </row>
    <row r="54" spans="1:21" s="2581" customFormat="1" ht="15" customHeight="1" outlineLevel="1">
      <c r="A54" s="2574"/>
      <c r="B54" s="2524" t="s">
        <v>140</v>
      </c>
      <c r="C54" s="2588" t="s">
        <v>1603</v>
      </c>
      <c r="D54" s="2576"/>
      <c r="E54" s="2576"/>
      <c r="F54" s="2577"/>
      <c r="G54" s="2576" t="s">
        <v>638</v>
      </c>
      <c r="H54" s="2576">
        <v>0</v>
      </c>
      <c r="I54" s="2576">
        <v>0</v>
      </c>
      <c r="J54" s="2576">
        <v>0</v>
      </c>
      <c r="K54" s="2576">
        <v>0</v>
      </c>
      <c r="L54" s="2576">
        <v>0</v>
      </c>
      <c r="M54" s="2579">
        <f>+[4]Nebyty!$B$66</f>
        <v>0</v>
      </c>
      <c r="N54" s="2579">
        <f t="shared" si="0"/>
        <v>0</v>
      </c>
      <c r="O54" s="2579"/>
      <c r="P54" s="2579"/>
      <c r="Q54" s="2579"/>
      <c r="R54" s="2579"/>
      <c r="S54" s="2589"/>
      <c r="T54" s="2496"/>
      <c r="U54" s="2539"/>
    </row>
    <row r="55" spans="1:21" s="2581" customFormat="1" ht="15" customHeight="1" outlineLevel="1">
      <c r="A55" s="2574"/>
      <c r="B55" s="2524" t="s">
        <v>140</v>
      </c>
      <c r="C55" s="2588" t="s">
        <v>1604</v>
      </c>
      <c r="D55" s="2576"/>
      <c r="E55" s="2576"/>
      <c r="F55" s="2577"/>
      <c r="G55" s="2576" t="s">
        <v>638</v>
      </c>
      <c r="H55" s="2576">
        <v>0</v>
      </c>
      <c r="I55" s="2576">
        <v>0</v>
      </c>
      <c r="J55" s="2576">
        <v>0</v>
      </c>
      <c r="K55" s="2576">
        <v>0</v>
      </c>
      <c r="L55" s="2576">
        <v>0</v>
      </c>
      <c r="M55" s="2580">
        <f>+[4]Nebyty!$B$67</f>
        <v>0</v>
      </c>
      <c r="N55" s="2579">
        <f t="shared" si="0"/>
        <v>0</v>
      </c>
      <c r="O55" s="2580"/>
      <c r="P55" s="2580"/>
      <c r="Q55" s="2580"/>
      <c r="R55" s="2580"/>
      <c r="S55" s="2580"/>
      <c r="T55" s="2496"/>
      <c r="U55" s="2539"/>
    </row>
    <row r="56" spans="1:21" s="2581" customFormat="1" ht="15" customHeight="1" outlineLevel="1">
      <c r="A56" s="2574"/>
      <c r="B56" s="2569" t="s">
        <v>140</v>
      </c>
      <c r="C56" s="2587" t="s">
        <v>2723</v>
      </c>
      <c r="D56" s="2583"/>
      <c r="E56" s="2583"/>
      <c r="F56" s="2584"/>
      <c r="G56" s="2583" t="s">
        <v>638</v>
      </c>
      <c r="H56" s="2583">
        <v>0</v>
      </c>
      <c r="I56" s="2583">
        <v>0</v>
      </c>
      <c r="J56" s="2583">
        <v>4635899</v>
      </c>
      <c r="K56" s="2583">
        <v>4635899</v>
      </c>
      <c r="L56" s="2583">
        <v>9835899</v>
      </c>
      <c r="M56" s="2585">
        <f>+[4]Nebyty!$B$78</f>
        <v>9835899</v>
      </c>
      <c r="N56" s="2586">
        <f t="shared" si="0"/>
        <v>0</v>
      </c>
      <c r="O56" s="2585"/>
      <c r="P56" s="2585"/>
      <c r="Q56" s="2585"/>
      <c r="R56" s="2585"/>
      <c r="S56" s="2585"/>
      <c r="T56" s="2496"/>
      <c r="U56" s="2539"/>
    </row>
    <row r="57" spans="1:21" s="2581" customFormat="1" ht="15" customHeight="1" outlineLevel="1">
      <c r="A57" s="2574"/>
      <c r="B57" s="2569" t="s">
        <v>140</v>
      </c>
      <c r="C57" s="2587" t="s">
        <v>1605</v>
      </c>
      <c r="D57" s="2583"/>
      <c r="E57" s="2583"/>
      <c r="F57" s="2584"/>
      <c r="G57" s="2583" t="s">
        <v>638</v>
      </c>
      <c r="H57" s="2583">
        <v>500000</v>
      </c>
      <c r="I57" s="2583">
        <v>500000</v>
      </c>
      <c r="J57" s="2583">
        <v>500000</v>
      </c>
      <c r="K57" s="2583">
        <v>500000</v>
      </c>
      <c r="L57" s="2583">
        <v>500000</v>
      </c>
      <c r="M57" s="2585">
        <f>+[4]Nebyty!$B$79</f>
        <v>500000</v>
      </c>
      <c r="N57" s="2586">
        <f t="shared" si="0"/>
        <v>0</v>
      </c>
      <c r="O57" s="2585"/>
      <c r="P57" s="2585"/>
      <c r="Q57" s="2585"/>
      <c r="R57" s="2585"/>
      <c r="S57" s="2585"/>
      <c r="T57" s="2496"/>
      <c r="U57" s="2539"/>
    </row>
    <row r="58" spans="1:21" s="2581" customFormat="1" ht="15" customHeight="1" outlineLevel="1">
      <c r="A58" s="2574"/>
      <c r="B58" s="2569" t="s">
        <v>140</v>
      </c>
      <c r="C58" s="2587" t="s">
        <v>1606</v>
      </c>
      <c r="D58" s="2583"/>
      <c r="E58" s="2583"/>
      <c r="F58" s="2584"/>
      <c r="G58" s="2583" t="s">
        <v>638</v>
      </c>
      <c r="H58" s="2583">
        <v>0</v>
      </c>
      <c r="I58" s="2583">
        <v>0</v>
      </c>
      <c r="J58" s="2583">
        <v>0</v>
      </c>
      <c r="K58" s="2583">
        <v>0</v>
      </c>
      <c r="L58" s="2583">
        <v>0</v>
      </c>
      <c r="M58" s="2585">
        <f>+[4]Nebyty!$B$89</f>
        <v>0</v>
      </c>
      <c r="N58" s="2586">
        <f t="shared" si="0"/>
        <v>0</v>
      </c>
      <c r="O58" s="2585"/>
      <c r="P58" s="2585"/>
      <c r="Q58" s="2585"/>
      <c r="R58" s="2585"/>
      <c r="S58" s="2585"/>
      <c r="T58" s="2496"/>
      <c r="U58" s="2539"/>
    </row>
    <row r="59" spans="1:21" s="2581" customFormat="1" ht="15" customHeight="1" outlineLevel="1">
      <c r="A59" s="2574"/>
      <c r="B59" s="2569" t="s">
        <v>140</v>
      </c>
      <c r="C59" s="2587" t="s">
        <v>1607</v>
      </c>
      <c r="D59" s="2583"/>
      <c r="E59" s="2583"/>
      <c r="F59" s="2584"/>
      <c r="G59" s="2583" t="s">
        <v>638</v>
      </c>
      <c r="H59" s="2583">
        <v>0</v>
      </c>
      <c r="I59" s="2583">
        <v>500000</v>
      </c>
      <c r="J59" s="2583">
        <v>500000</v>
      </c>
      <c r="K59" s="2583">
        <v>500000</v>
      </c>
      <c r="L59" s="2583">
        <v>500000</v>
      </c>
      <c r="M59" s="2585">
        <f>+[4]Nebyty!$B$90</f>
        <v>500000</v>
      </c>
      <c r="N59" s="2586">
        <f t="shared" si="0"/>
        <v>0</v>
      </c>
      <c r="O59" s="2585"/>
      <c r="P59" s="2585"/>
      <c r="Q59" s="2585"/>
      <c r="R59" s="2585"/>
      <c r="S59" s="2585"/>
      <c r="T59" s="2496"/>
      <c r="U59" s="2539"/>
    </row>
    <row r="60" spans="1:21" s="2581" customFormat="1" ht="15" customHeight="1" outlineLevel="1">
      <c r="A60" s="2574"/>
      <c r="B60" s="2569" t="s">
        <v>140</v>
      </c>
      <c r="C60" s="2587" t="s">
        <v>1688</v>
      </c>
      <c r="D60" s="2583"/>
      <c r="E60" s="2583"/>
      <c r="F60" s="2584"/>
      <c r="G60" s="2583" t="s">
        <v>638</v>
      </c>
      <c r="H60" s="2583">
        <v>0</v>
      </c>
      <c r="I60" s="2583">
        <v>0</v>
      </c>
      <c r="J60" s="2583">
        <v>0</v>
      </c>
      <c r="K60" s="2583">
        <v>0</v>
      </c>
      <c r="L60" s="2583">
        <v>150000</v>
      </c>
      <c r="M60" s="2585">
        <f>+[3]Nebyty!$B$23</f>
        <v>150000</v>
      </c>
      <c r="N60" s="2586">
        <f t="shared" si="0"/>
        <v>0</v>
      </c>
      <c r="O60" s="2585"/>
      <c r="P60" s="2585"/>
      <c r="Q60" s="2585"/>
      <c r="R60" s="2585"/>
      <c r="S60" s="2585"/>
      <c r="T60" s="2496"/>
      <c r="U60" s="2539"/>
    </row>
    <row r="61" spans="1:21" s="2581" customFormat="1" ht="15" customHeight="1" outlineLevel="1">
      <c r="A61" s="2574"/>
      <c r="B61" s="2569" t="s">
        <v>140</v>
      </c>
      <c r="C61" s="2587" t="s">
        <v>1689</v>
      </c>
      <c r="D61" s="2583"/>
      <c r="E61" s="2583"/>
      <c r="F61" s="2584"/>
      <c r="G61" s="2583" t="s">
        <v>638</v>
      </c>
      <c r="H61" s="2583">
        <v>0</v>
      </c>
      <c r="I61" s="2583">
        <v>0</v>
      </c>
      <c r="J61" s="2583">
        <v>0</v>
      </c>
      <c r="K61" s="2583">
        <v>0</v>
      </c>
      <c r="L61" s="2583">
        <v>0</v>
      </c>
      <c r="M61" s="2585">
        <f>+[3]Nebyty!$B$24</f>
        <v>0</v>
      </c>
      <c r="N61" s="2586">
        <f t="shared" si="0"/>
        <v>0</v>
      </c>
      <c r="O61" s="2585"/>
      <c r="P61" s="2585"/>
      <c r="Q61" s="2585"/>
      <c r="R61" s="2585"/>
      <c r="S61" s="2585"/>
      <c r="T61" s="2496"/>
      <c r="U61" s="2539"/>
    </row>
    <row r="62" spans="1:21" s="2581" customFormat="1" ht="15" customHeight="1" outlineLevel="1">
      <c r="A62" s="2574"/>
      <c r="B62" s="2569" t="s">
        <v>140</v>
      </c>
      <c r="C62" s="2587" t="s">
        <v>2207</v>
      </c>
      <c r="D62" s="2583"/>
      <c r="E62" s="2583"/>
      <c r="F62" s="2584"/>
      <c r="G62" s="2583" t="s">
        <v>638</v>
      </c>
      <c r="H62" s="2583">
        <v>30000</v>
      </c>
      <c r="I62" s="2583">
        <v>30000</v>
      </c>
      <c r="J62" s="2583">
        <v>30000</v>
      </c>
      <c r="K62" s="2583">
        <v>30000</v>
      </c>
      <c r="L62" s="2583">
        <v>30000</v>
      </c>
      <c r="M62" s="2585">
        <f>+[3]Nebyty!$B$25</f>
        <v>30000</v>
      </c>
      <c r="N62" s="2586">
        <f t="shared" si="0"/>
        <v>0</v>
      </c>
      <c r="O62" s="2585"/>
      <c r="P62" s="2585"/>
      <c r="Q62" s="2585"/>
      <c r="R62" s="2585"/>
      <c r="S62" s="2585"/>
      <c r="T62" s="2496"/>
      <c r="U62" s="2539"/>
    </row>
    <row r="63" spans="1:21" s="2581" customFormat="1" ht="15" customHeight="1" outlineLevel="1" thickBot="1">
      <c r="A63" s="2574"/>
      <c r="B63" s="2563" t="s">
        <v>140</v>
      </c>
      <c r="C63" s="2590"/>
      <c r="D63" s="2591"/>
      <c r="E63" s="2591"/>
      <c r="F63" s="2592"/>
      <c r="G63" s="2591"/>
      <c r="H63" s="2591"/>
      <c r="I63" s="2591"/>
      <c r="J63" s="2591"/>
      <c r="K63" s="2591"/>
      <c r="L63" s="2591"/>
      <c r="M63" s="2593"/>
      <c r="N63" s="2594">
        <f t="shared" si="0"/>
        <v>0</v>
      </c>
      <c r="O63" s="2593"/>
      <c r="P63" s="2593"/>
      <c r="Q63" s="2593"/>
      <c r="R63" s="2593"/>
      <c r="S63" s="2585"/>
      <c r="T63" s="2496"/>
      <c r="U63" s="2539"/>
    </row>
    <row r="64" spans="1:21" ht="13.9" thickBot="1">
      <c r="A64" s="3205" t="s">
        <v>1226</v>
      </c>
      <c r="B64" s="3206"/>
      <c r="C64" s="2532"/>
      <c r="D64" s="2533"/>
      <c r="E64" s="2533"/>
      <c r="F64" s="2534"/>
      <c r="G64" s="2533"/>
      <c r="H64" s="2533">
        <v>530000</v>
      </c>
      <c r="I64" s="2533">
        <v>1030000</v>
      </c>
      <c r="J64" s="2533">
        <v>5665899</v>
      </c>
      <c r="K64" s="2533">
        <v>5665899</v>
      </c>
      <c r="L64" s="2533">
        <v>11015899</v>
      </c>
      <c r="M64" s="2535">
        <f>SUM(M46:M63)</f>
        <v>11015899</v>
      </c>
      <c r="N64" s="2536">
        <f t="shared" si="0"/>
        <v>0</v>
      </c>
      <c r="O64" s="2537"/>
      <c r="P64" s="2537">
        <f>SUM(P46:P55)</f>
        <v>0</v>
      </c>
      <c r="Q64" s="2537"/>
      <c r="R64" s="2537"/>
      <c r="S64" s="2537"/>
      <c r="T64" s="2538">
        <f>+'Výdaje kapitol celkem'!AL69</f>
        <v>11015899</v>
      </c>
      <c r="U64" s="2539">
        <f>+T64-M64</f>
        <v>0</v>
      </c>
    </row>
    <row r="65" spans="1:21" s="2581" customFormat="1" ht="15" customHeight="1" outlineLevel="1">
      <c r="A65" s="2574"/>
      <c r="B65" s="2524" t="s">
        <v>139</v>
      </c>
      <c r="C65" s="2588"/>
      <c r="D65" s="2576"/>
      <c r="E65" s="2576"/>
      <c r="F65" s="2577"/>
      <c r="G65" s="2576" t="s">
        <v>638</v>
      </c>
      <c r="H65" s="2576">
        <v>0</v>
      </c>
      <c r="I65" s="2576">
        <v>0</v>
      </c>
      <c r="J65" s="2576">
        <v>0</v>
      </c>
      <c r="K65" s="2576">
        <v>0</v>
      </c>
      <c r="L65" s="2576">
        <v>0</v>
      </c>
      <c r="M65" s="2580">
        <f>+[3]DPS!$B$50</f>
        <v>0</v>
      </c>
      <c r="N65" s="2579">
        <f t="shared" si="0"/>
        <v>0</v>
      </c>
      <c r="O65" s="2580"/>
      <c r="P65" s="2580"/>
      <c r="Q65" s="2580"/>
      <c r="R65" s="2580"/>
      <c r="S65" s="2580"/>
      <c r="T65" s="2496"/>
      <c r="U65" s="2539"/>
    </row>
    <row r="66" spans="1:21" s="2581" customFormat="1" ht="15" customHeight="1" outlineLevel="1">
      <c r="A66" s="2574"/>
      <c r="B66" s="2524" t="s">
        <v>139</v>
      </c>
      <c r="C66" s="2588"/>
      <c r="D66" s="2576"/>
      <c r="E66" s="2576"/>
      <c r="F66" s="2577"/>
      <c r="G66" s="2576" t="s">
        <v>638</v>
      </c>
      <c r="H66" s="2576">
        <v>0</v>
      </c>
      <c r="I66" s="2576">
        <v>0</v>
      </c>
      <c r="J66" s="2576">
        <v>0</v>
      </c>
      <c r="K66" s="2576">
        <v>0</v>
      </c>
      <c r="L66" s="2576">
        <v>0</v>
      </c>
      <c r="M66" s="2580">
        <f>+[3]DPS!$B$51</f>
        <v>0</v>
      </c>
      <c r="N66" s="2579">
        <f t="shared" si="0"/>
        <v>0</v>
      </c>
      <c r="O66" s="2580"/>
      <c r="P66" s="2580"/>
      <c r="Q66" s="2580"/>
      <c r="R66" s="2580"/>
      <c r="S66" s="2580"/>
      <c r="T66" s="2496"/>
      <c r="U66" s="2539"/>
    </row>
    <row r="67" spans="1:21" s="2581" customFormat="1" ht="15" customHeight="1" outlineLevel="1" thickBot="1">
      <c r="A67" s="2542" t="s">
        <v>168</v>
      </c>
      <c r="B67" s="2563" t="s">
        <v>139</v>
      </c>
      <c r="C67" s="2590"/>
      <c r="D67" s="2591"/>
      <c r="E67" s="2591"/>
      <c r="F67" s="2592"/>
      <c r="G67" s="2591" t="s">
        <v>638</v>
      </c>
      <c r="H67" s="2591">
        <v>0</v>
      </c>
      <c r="I67" s="2591">
        <v>0</v>
      </c>
      <c r="J67" s="2591">
        <v>0</v>
      </c>
      <c r="K67" s="2591">
        <v>0</v>
      </c>
      <c r="L67" s="2591">
        <v>0</v>
      </c>
      <c r="M67" s="2593">
        <f>+[3]DPS!$B$52</f>
        <v>0</v>
      </c>
      <c r="N67" s="2594">
        <f t="shared" si="0"/>
        <v>0</v>
      </c>
      <c r="O67" s="2593"/>
      <c r="P67" s="2593"/>
      <c r="Q67" s="2593"/>
      <c r="R67" s="2593"/>
      <c r="S67" s="2593"/>
      <c r="T67" s="2496"/>
      <c r="U67" s="2539"/>
    </row>
    <row r="68" spans="1:21" ht="13.9" thickBot="1">
      <c r="A68" s="3205" t="s">
        <v>1192</v>
      </c>
      <c r="B68" s="3206" t="s">
        <v>139</v>
      </c>
      <c r="C68" s="2532"/>
      <c r="D68" s="2533"/>
      <c r="E68" s="2533"/>
      <c r="F68" s="2534"/>
      <c r="G68" s="2533" t="s">
        <v>638</v>
      </c>
      <c r="H68" s="2533">
        <v>0</v>
      </c>
      <c r="I68" s="2533">
        <v>0</v>
      </c>
      <c r="J68" s="2533">
        <v>0</v>
      </c>
      <c r="K68" s="2533">
        <v>0</v>
      </c>
      <c r="L68" s="2533">
        <v>0</v>
      </c>
      <c r="M68" s="2535">
        <f>SUM(M65:M67)</f>
        <v>0</v>
      </c>
      <c r="N68" s="2536">
        <f t="shared" si="0"/>
        <v>0</v>
      </c>
      <c r="O68" s="2537"/>
      <c r="P68" s="2537">
        <f>SUM(P65:P67)</f>
        <v>0</v>
      </c>
      <c r="Q68" s="2537"/>
      <c r="R68" s="2537"/>
      <c r="S68" s="2537"/>
      <c r="T68" s="2538">
        <f>'Výdaje kapitol celkem'!AI69</f>
        <v>0</v>
      </c>
      <c r="U68" s="2539">
        <f>+T68-M68</f>
        <v>0</v>
      </c>
    </row>
    <row r="69" spans="1:21" s="2581" customFormat="1" ht="13.5" outlineLevel="1">
      <c r="A69" s="2541"/>
      <c r="B69" s="2575" t="s">
        <v>706</v>
      </c>
      <c r="C69" s="2575"/>
      <c r="D69" s="2576"/>
      <c r="E69" s="2576"/>
      <c r="F69" s="2577"/>
      <c r="G69" s="2576" t="s">
        <v>638</v>
      </c>
      <c r="H69" s="2576"/>
      <c r="I69" s="2576"/>
      <c r="J69" s="2576"/>
      <c r="K69" s="2576"/>
      <c r="L69" s="2576"/>
      <c r="M69" s="2580"/>
      <c r="N69" s="2579">
        <f t="shared" si="0"/>
        <v>0</v>
      </c>
      <c r="O69" s="2580"/>
      <c r="P69" s="2580"/>
      <c r="Q69" s="2580"/>
      <c r="R69" s="2580"/>
      <c r="S69" s="2580"/>
      <c r="T69" s="2496"/>
      <c r="U69" s="2539"/>
    </row>
    <row r="70" spans="1:21" s="2581" customFormat="1" ht="13.9" outlineLevel="1" thickBot="1">
      <c r="A70" s="2542">
        <v>4351</v>
      </c>
      <c r="B70" s="2595" t="s">
        <v>706</v>
      </c>
      <c r="C70" s="2595"/>
      <c r="D70" s="2591"/>
      <c r="E70" s="2591"/>
      <c r="F70" s="2592"/>
      <c r="G70" s="2596" t="s">
        <v>638</v>
      </c>
      <c r="H70" s="2596"/>
      <c r="I70" s="2596"/>
      <c r="J70" s="2596"/>
      <c r="K70" s="2596"/>
      <c r="L70" s="2596"/>
      <c r="M70" s="2597"/>
      <c r="N70" s="2598">
        <f t="shared" si="0"/>
        <v>0</v>
      </c>
      <c r="O70" s="2597"/>
      <c r="P70" s="2597"/>
      <c r="Q70" s="2597"/>
      <c r="R70" s="2597"/>
      <c r="S70" s="2597"/>
      <c r="T70" s="2496"/>
      <c r="U70" s="2539"/>
    </row>
    <row r="71" spans="1:21" ht="15" customHeight="1" thickBot="1">
      <c r="A71" s="3205" t="s">
        <v>1928</v>
      </c>
      <c r="B71" s="3206"/>
      <c r="C71" s="2532"/>
      <c r="D71" s="2533"/>
      <c r="E71" s="2533"/>
      <c r="F71" s="2534"/>
      <c r="G71" s="2533" t="s">
        <v>638</v>
      </c>
      <c r="H71" s="2533">
        <v>0</v>
      </c>
      <c r="I71" s="2533">
        <v>0</v>
      </c>
      <c r="J71" s="2533">
        <v>0</v>
      </c>
      <c r="K71" s="2533">
        <v>0</v>
      </c>
      <c r="L71" s="2533">
        <v>0</v>
      </c>
      <c r="M71" s="2535">
        <f>SUM(M69:M70)</f>
        <v>0</v>
      </c>
      <c r="N71" s="2536">
        <f t="shared" ref="N71:N134" si="4">+M71-L71</f>
        <v>0</v>
      </c>
      <c r="O71" s="2537"/>
      <c r="P71" s="2537">
        <f t="shared" ref="P71" si="5">SUM(P69:P70)</f>
        <v>0</v>
      </c>
      <c r="Q71" s="2537"/>
      <c r="R71" s="2537"/>
      <c r="S71" s="2537"/>
      <c r="T71" s="2538">
        <f>'Výdaje kapitol celkem'!W69</f>
        <v>0</v>
      </c>
      <c r="U71" s="2539">
        <f>+T71-M71</f>
        <v>0</v>
      </c>
    </row>
    <row r="72" spans="1:21" s="2581" customFormat="1" ht="15" customHeight="1" outlineLevel="1">
      <c r="A72" s="2574"/>
      <c r="B72" s="2524" t="s">
        <v>141</v>
      </c>
      <c r="C72" s="2588" t="s">
        <v>1698</v>
      </c>
      <c r="D72" s="2576"/>
      <c r="E72" s="2576"/>
      <c r="F72" s="2577"/>
      <c r="G72" s="2576" t="s">
        <v>638</v>
      </c>
      <c r="H72" s="2576"/>
      <c r="I72" s="2576"/>
      <c r="J72" s="2576"/>
      <c r="K72" s="2576"/>
      <c r="L72" s="2576"/>
      <c r="M72" s="2580"/>
      <c r="N72" s="2579">
        <f t="shared" si="4"/>
        <v>0</v>
      </c>
      <c r="O72" s="2580"/>
      <c r="P72" s="2580">
        <v>0</v>
      </c>
      <c r="Q72" s="2580"/>
      <c r="R72" s="2580"/>
      <c r="S72" s="2580"/>
      <c r="T72" s="2496"/>
      <c r="U72" s="2539"/>
    </row>
    <row r="73" spans="1:21" s="2581" customFormat="1" ht="15" customHeight="1" outlineLevel="1">
      <c r="A73" s="2574"/>
      <c r="B73" s="2599" t="s">
        <v>141</v>
      </c>
      <c r="C73" s="2599" t="s">
        <v>1690</v>
      </c>
      <c r="D73" s="2600"/>
      <c r="E73" s="2600"/>
      <c r="F73" s="2601"/>
      <c r="G73" s="2600" t="s">
        <v>1929</v>
      </c>
      <c r="H73" s="2600"/>
      <c r="I73" s="2600"/>
      <c r="J73" s="2600"/>
      <c r="K73" s="2600"/>
      <c r="L73" s="2600"/>
      <c r="M73" s="2602"/>
      <c r="N73" s="2603">
        <f t="shared" si="4"/>
        <v>0</v>
      </c>
      <c r="O73" s="2602"/>
      <c r="P73" s="2602">
        <v>0</v>
      </c>
      <c r="Q73" s="2602"/>
      <c r="R73" s="2602"/>
      <c r="S73" s="2602"/>
      <c r="T73" s="2496"/>
      <c r="U73" s="2539"/>
    </row>
    <row r="74" spans="1:21" s="2581" customFormat="1" ht="13.5" outlineLevel="1">
      <c r="A74" s="2541"/>
      <c r="B74" s="2582" t="s">
        <v>141</v>
      </c>
      <c r="C74" s="2582" t="s">
        <v>108</v>
      </c>
      <c r="D74" s="2583"/>
      <c r="E74" s="2583"/>
      <c r="F74" s="2584"/>
      <c r="G74" s="2583" t="s">
        <v>638</v>
      </c>
      <c r="H74" s="2583">
        <v>0</v>
      </c>
      <c r="I74" s="2583">
        <v>0</v>
      </c>
      <c r="J74" s="2583">
        <v>0</v>
      </c>
      <c r="K74" s="2583">
        <v>0</v>
      </c>
      <c r="L74" s="2583">
        <v>0</v>
      </c>
      <c r="M74" s="2585">
        <f>+[3]Hasiči!$A$41</f>
        <v>0</v>
      </c>
      <c r="N74" s="2586">
        <f t="shared" si="4"/>
        <v>0</v>
      </c>
      <c r="O74" s="2585"/>
      <c r="P74" s="2585"/>
      <c r="Q74" s="2585"/>
      <c r="R74" s="2585"/>
      <c r="S74" s="2585"/>
      <c r="T74" s="2496"/>
      <c r="U74" s="2539"/>
    </row>
    <row r="75" spans="1:21" s="2581" customFormat="1" ht="13.9" outlineLevel="1" thickBot="1">
      <c r="A75" s="2542">
        <v>5512</v>
      </c>
      <c r="B75" s="2582" t="s">
        <v>141</v>
      </c>
      <c r="C75" s="2582" t="s">
        <v>108</v>
      </c>
      <c r="D75" s="2583"/>
      <c r="E75" s="2583"/>
      <c r="F75" s="2584"/>
      <c r="G75" s="2583" t="s">
        <v>638</v>
      </c>
      <c r="H75" s="2583">
        <v>0</v>
      </c>
      <c r="I75" s="2583">
        <v>0</v>
      </c>
      <c r="J75" s="2583">
        <v>0</v>
      </c>
      <c r="K75" s="2583">
        <v>0</v>
      </c>
      <c r="L75" s="2583">
        <v>0</v>
      </c>
      <c r="M75" s="2585">
        <f>+[2]Hasiči!$B$83</f>
        <v>0</v>
      </c>
      <c r="N75" s="2586">
        <f t="shared" si="4"/>
        <v>0</v>
      </c>
      <c r="O75" s="2585"/>
      <c r="P75" s="2585"/>
      <c r="Q75" s="2585"/>
      <c r="R75" s="2585"/>
      <c r="S75" s="2585"/>
      <c r="T75" s="2496"/>
      <c r="U75" s="2539"/>
    </row>
    <row r="76" spans="1:21" ht="13.9" thickBot="1">
      <c r="A76" s="3205" t="s">
        <v>645</v>
      </c>
      <c r="B76" s="3206"/>
      <c r="C76" s="2532"/>
      <c r="D76" s="2533"/>
      <c r="E76" s="2533"/>
      <c r="F76" s="2534"/>
      <c r="G76" s="2533" t="s">
        <v>638</v>
      </c>
      <c r="H76" s="2533">
        <v>0</v>
      </c>
      <c r="I76" s="2533">
        <v>0</v>
      </c>
      <c r="J76" s="2533">
        <v>0</v>
      </c>
      <c r="K76" s="2533">
        <v>0</v>
      </c>
      <c r="L76" s="2533">
        <v>0</v>
      </c>
      <c r="M76" s="2535">
        <f>SUM(M72:M75)</f>
        <v>0</v>
      </c>
      <c r="N76" s="2536">
        <f t="shared" si="4"/>
        <v>0</v>
      </c>
      <c r="O76" s="2537"/>
      <c r="P76" s="2537">
        <f>SUM(P72:P75)</f>
        <v>0</v>
      </c>
      <c r="Q76" s="2537"/>
      <c r="R76" s="2537"/>
      <c r="S76" s="2537"/>
      <c r="T76" s="2538">
        <f>'Výdaje kapitol celkem'!AO69</f>
        <v>0</v>
      </c>
      <c r="U76" s="2539">
        <f>+T76-M76</f>
        <v>0</v>
      </c>
    </row>
    <row r="77" spans="1:21" s="2581" customFormat="1" ht="13.5" outlineLevel="1">
      <c r="A77" s="2541"/>
      <c r="B77" s="2575" t="s">
        <v>144</v>
      </c>
      <c r="C77" s="2575" t="s">
        <v>1695</v>
      </c>
      <c r="D77" s="2576"/>
      <c r="E77" s="2576"/>
      <c r="F77" s="2577"/>
      <c r="G77" s="2576" t="s">
        <v>638</v>
      </c>
      <c r="H77" s="2576">
        <v>0</v>
      </c>
      <c r="I77" s="2576">
        <v>0</v>
      </c>
      <c r="J77" s="2576">
        <v>0</v>
      </c>
      <c r="K77" s="2576">
        <v>0</v>
      </c>
      <c r="L77" s="2576">
        <v>0</v>
      </c>
      <c r="M77" s="2580">
        <f>+[3]Hřbitov!$B$33</f>
        <v>0</v>
      </c>
      <c r="N77" s="2579">
        <f t="shared" si="4"/>
        <v>0</v>
      </c>
      <c r="O77" s="2580"/>
      <c r="P77" s="2580"/>
      <c r="Q77" s="2580"/>
      <c r="R77" s="2580"/>
      <c r="S77" s="2580"/>
      <c r="T77" s="2496"/>
      <c r="U77" s="2539"/>
    </row>
    <row r="78" spans="1:21" s="2581" customFormat="1" ht="13.5" outlineLevel="1">
      <c r="A78" s="2541"/>
      <c r="B78" s="2582" t="s">
        <v>144</v>
      </c>
      <c r="C78" s="2582" t="s">
        <v>1696</v>
      </c>
      <c r="D78" s="2583"/>
      <c r="E78" s="2583"/>
      <c r="F78" s="2584"/>
      <c r="G78" s="2583" t="s">
        <v>638</v>
      </c>
      <c r="H78" s="2583">
        <v>80000</v>
      </c>
      <c r="I78" s="2583">
        <v>80000</v>
      </c>
      <c r="J78" s="2583">
        <v>80000</v>
      </c>
      <c r="K78" s="2583">
        <v>80000</v>
      </c>
      <c r="L78" s="2583">
        <v>80000</v>
      </c>
      <c r="M78" s="2585">
        <f>+[3]Hřbitov!$B$34</f>
        <v>80000</v>
      </c>
      <c r="N78" s="2586">
        <f t="shared" si="4"/>
        <v>0</v>
      </c>
      <c r="O78" s="2585"/>
      <c r="P78" s="2585"/>
      <c r="Q78" s="2585"/>
      <c r="R78" s="2585"/>
      <c r="S78" s="2585"/>
      <c r="T78" s="2496"/>
      <c r="U78" s="2539"/>
    </row>
    <row r="79" spans="1:21" s="2581" customFormat="1" ht="13.9" outlineLevel="1" thickBot="1">
      <c r="A79" s="2542">
        <v>3632</v>
      </c>
      <c r="B79" s="2595" t="s">
        <v>144</v>
      </c>
      <c r="C79" s="2595"/>
      <c r="D79" s="2591"/>
      <c r="E79" s="2591"/>
      <c r="F79" s="2592"/>
      <c r="G79" s="2591" t="s">
        <v>638</v>
      </c>
      <c r="H79" s="2591"/>
      <c r="I79" s="2591"/>
      <c r="J79" s="2591"/>
      <c r="K79" s="2591"/>
      <c r="L79" s="2591"/>
      <c r="M79" s="2593"/>
      <c r="N79" s="2594">
        <f t="shared" si="4"/>
        <v>0</v>
      </c>
      <c r="O79" s="2593"/>
      <c r="P79" s="2593"/>
      <c r="Q79" s="2593"/>
      <c r="R79" s="2593"/>
      <c r="S79" s="2593"/>
      <c r="T79" s="2496"/>
      <c r="U79" s="2539"/>
    </row>
    <row r="80" spans="1:21" ht="13.9" thickBot="1">
      <c r="A80" s="3205" t="s">
        <v>253</v>
      </c>
      <c r="B80" s="3206"/>
      <c r="C80" s="2532"/>
      <c r="D80" s="2533"/>
      <c r="E80" s="2533"/>
      <c r="F80" s="2534"/>
      <c r="G80" s="2533"/>
      <c r="H80" s="2533">
        <v>80000</v>
      </c>
      <c r="I80" s="2533">
        <v>80000</v>
      </c>
      <c r="J80" s="2533">
        <v>80000</v>
      </c>
      <c r="K80" s="2533">
        <v>80000</v>
      </c>
      <c r="L80" s="2533">
        <v>80000</v>
      </c>
      <c r="M80" s="2535">
        <f>SUM(M77:M79)</f>
        <v>80000</v>
      </c>
      <c r="N80" s="2536">
        <f t="shared" si="4"/>
        <v>0</v>
      </c>
      <c r="O80" s="2537"/>
      <c r="P80" s="2537">
        <f>SUM(P77:P79)</f>
        <v>0</v>
      </c>
      <c r="Q80" s="2537"/>
      <c r="R80" s="2537"/>
      <c r="S80" s="2537"/>
      <c r="T80" s="2538">
        <f>'Výdaje kapitol celkem'!AR69</f>
        <v>80000</v>
      </c>
      <c r="U80" s="2539">
        <f>+T80-M80</f>
        <v>0</v>
      </c>
    </row>
    <row r="81" spans="1:21" s="2581" customFormat="1" ht="16.5" hidden="1" customHeight="1" outlineLevel="1">
      <c r="A81" s="2541"/>
      <c r="B81" s="2575" t="s">
        <v>499</v>
      </c>
      <c r="C81" s="2575" t="s">
        <v>2256</v>
      </c>
      <c r="D81" s="2576"/>
      <c r="E81" s="2576"/>
      <c r="F81" s="2577"/>
      <c r="G81" s="2576" t="s">
        <v>638</v>
      </c>
      <c r="H81" s="2576">
        <v>0</v>
      </c>
      <c r="I81" s="2576">
        <v>0</v>
      </c>
      <c r="J81" s="2576">
        <v>0</v>
      </c>
      <c r="K81" s="2576">
        <v>0</v>
      </c>
      <c r="L81" s="2576">
        <v>0</v>
      </c>
      <c r="M81" s="2580">
        <f>+'[6]Všebecná pokladna'!$B$72</f>
        <v>0</v>
      </c>
      <c r="N81" s="2579">
        <f t="shared" si="4"/>
        <v>0</v>
      </c>
      <c r="O81" s="2580"/>
      <c r="P81" s="2580"/>
      <c r="Q81" s="2580"/>
      <c r="R81" s="2580"/>
      <c r="S81" s="2580"/>
      <c r="T81" s="2496"/>
      <c r="U81" s="2539"/>
    </row>
    <row r="82" spans="1:21" s="2581" customFormat="1" ht="16.5" hidden="1" customHeight="1" outlineLevel="1">
      <c r="A82" s="2541"/>
      <c r="B82" s="2575" t="s">
        <v>499</v>
      </c>
      <c r="C82" s="2582" t="s">
        <v>2257</v>
      </c>
      <c r="D82" s="2583"/>
      <c r="E82" s="2583"/>
      <c r="F82" s="2584"/>
      <c r="G82" s="2583" t="s">
        <v>638</v>
      </c>
      <c r="H82" s="2583">
        <v>0</v>
      </c>
      <c r="I82" s="2583">
        <v>0</v>
      </c>
      <c r="J82" s="2583">
        <v>0</v>
      </c>
      <c r="K82" s="2583">
        <v>0</v>
      </c>
      <c r="L82" s="2583">
        <v>0</v>
      </c>
      <c r="M82" s="2585">
        <f>+'[6]Všebecná pokladna'!$B$79</f>
        <v>0</v>
      </c>
      <c r="N82" s="2586">
        <f t="shared" si="4"/>
        <v>0</v>
      </c>
      <c r="O82" s="2585"/>
      <c r="P82" s="2585"/>
      <c r="Q82" s="2585"/>
      <c r="R82" s="2585"/>
      <c r="S82" s="2585"/>
      <c r="T82" s="2496"/>
      <c r="U82" s="2539"/>
    </row>
    <row r="83" spans="1:21" s="2581" customFormat="1" ht="16.5" hidden="1" customHeight="1" outlineLevel="1">
      <c r="A83" s="2541"/>
      <c r="B83" s="2575" t="s">
        <v>499</v>
      </c>
      <c r="C83" s="2582" t="s">
        <v>2258</v>
      </c>
      <c r="D83" s="2583"/>
      <c r="E83" s="2583"/>
      <c r="F83" s="2584"/>
      <c r="G83" s="2583" t="s">
        <v>638</v>
      </c>
      <c r="H83" s="2576">
        <v>0</v>
      </c>
      <c r="I83" s="2576">
        <v>0</v>
      </c>
      <c r="J83" s="2576">
        <v>0</v>
      </c>
      <c r="K83" s="2576">
        <v>0</v>
      </c>
      <c r="L83" s="2576">
        <v>0</v>
      </c>
      <c r="M83" s="2580">
        <f>+'[6]Všebecná pokladna'!$B$80</f>
        <v>0</v>
      </c>
      <c r="N83" s="2579">
        <f t="shared" si="4"/>
        <v>0</v>
      </c>
      <c r="O83" s="2580"/>
      <c r="P83" s="2580"/>
      <c r="Q83" s="2580"/>
      <c r="R83" s="2580"/>
      <c r="S83" s="2580"/>
      <c r="T83" s="2496"/>
      <c r="U83" s="2539"/>
    </row>
    <row r="84" spans="1:21" s="2581" customFormat="1" ht="16.5" hidden="1" customHeight="1" outlineLevel="1">
      <c r="A84" s="2541"/>
      <c r="B84" s="2575" t="s">
        <v>499</v>
      </c>
      <c r="C84" s="2582" t="s">
        <v>2259</v>
      </c>
      <c r="D84" s="2583"/>
      <c r="E84" s="2583"/>
      <c r="F84" s="2584"/>
      <c r="G84" s="2583" t="s">
        <v>638</v>
      </c>
      <c r="H84" s="2576">
        <v>0</v>
      </c>
      <c r="I84" s="2576">
        <v>0</v>
      </c>
      <c r="J84" s="2576">
        <v>0</v>
      </c>
      <c r="K84" s="2576">
        <v>0</v>
      </c>
      <c r="L84" s="2576">
        <v>0</v>
      </c>
      <c r="M84" s="2580">
        <f>+'[6]Všebecná pokladna'!$B$86</f>
        <v>0</v>
      </c>
      <c r="N84" s="2579">
        <f t="shared" si="4"/>
        <v>0</v>
      </c>
      <c r="O84" s="2580"/>
      <c r="P84" s="2580"/>
      <c r="Q84" s="2580"/>
      <c r="R84" s="2580"/>
      <c r="S84" s="2580"/>
      <c r="T84" s="2496"/>
      <c r="U84" s="2539"/>
    </row>
    <row r="85" spans="1:21" s="2581" customFormat="1" ht="16.5" customHeight="1" outlineLevel="1">
      <c r="A85" s="2541"/>
      <c r="B85" s="2575" t="s">
        <v>499</v>
      </c>
      <c r="C85" s="2582" t="s">
        <v>1149</v>
      </c>
      <c r="D85" s="2583"/>
      <c r="E85" s="2583"/>
      <c r="F85" s="2584"/>
      <c r="G85" s="2583" t="s">
        <v>638</v>
      </c>
      <c r="H85" s="2576">
        <v>29400000</v>
      </c>
      <c r="I85" s="2576">
        <v>29400000</v>
      </c>
      <c r="J85" s="2576">
        <v>29400000</v>
      </c>
      <c r="K85" s="2576">
        <v>23600000</v>
      </c>
      <c r="L85" s="2576">
        <v>23600000</v>
      </c>
      <c r="M85" s="2578">
        <f>+'[6]Všebecná pokladna'!$B$87</f>
        <v>23600000</v>
      </c>
      <c r="N85" s="2579">
        <f t="shared" si="4"/>
        <v>0</v>
      </c>
      <c r="O85" s="2580"/>
      <c r="P85" s="2580"/>
      <c r="Q85" s="2580"/>
      <c r="R85" s="2580"/>
      <c r="S85" s="2580"/>
      <c r="T85" s="2496"/>
      <c r="U85" s="2539"/>
    </row>
    <row r="86" spans="1:21" s="2581" customFormat="1" ht="16.5" hidden="1" customHeight="1" outlineLevel="1">
      <c r="A86" s="2541"/>
      <c r="B86" s="2575" t="s">
        <v>499</v>
      </c>
      <c r="C86" s="2582" t="s">
        <v>2260</v>
      </c>
      <c r="D86" s="2583"/>
      <c r="E86" s="2583"/>
      <c r="F86" s="2584"/>
      <c r="G86" s="2583" t="s">
        <v>638</v>
      </c>
      <c r="H86" s="2576">
        <v>0</v>
      </c>
      <c r="I86" s="2576">
        <v>0</v>
      </c>
      <c r="J86" s="2576">
        <v>0</v>
      </c>
      <c r="K86" s="2576">
        <v>0</v>
      </c>
      <c r="L86" s="2576">
        <v>0</v>
      </c>
      <c r="M86" s="2580">
        <f>+'[6]Všebecná pokladna'!$B$101</f>
        <v>0</v>
      </c>
      <c r="N86" s="2579">
        <f t="shared" si="4"/>
        <v>0</v>
      </c>
      <c r="O86" s="2580"/>
      <c r="P86" s="2580"/>
      <c r="Q86" s="2580"/>
      <c r="R86" s="2580"/>
      <c r="S86" s="2580"/>
      <c r="T86" s="2496"/>
      <c r="U86" s="2539"/>
    </row>
    <row r="87" spans="1:21" s="2581" customFormat="1" ht="16.5" hidden="1" customHeight="1" outlineLevel="1">
      <c r="A87" s="2541"/>
      <c r="B87" s="2575" t="s">
        <v>499</v>
      </c>
      <c r="C87" s="2582" t="s">
        <v>2253</v>
      </c>
      <c r="D87" s="2583"/>
      <c r="E87" s="2583"/>
      <c r="F87" s="2584"/>
      <c r="G87" s="2583" t="s">
        <v>638</v>
      </c>
      <c r="H87" s="2576"/>
      <c r="I87" s="2576"/>
      <c r="J87" s="2576"/>
      <c r="K87" s="2576"/>
      <c r="L87" s="2576"/>
      <c r="M87" s="2580"/>
      <c r="N87" s="2579">
        <f t="shared" si="4"/>
        <v>0</v>
      </c>
      <c r="O87" s="2580"/>
      <c r="P87" s="2580"/>
      <c r="Q87" s="2580"/>
      <c r="R87" s="2580"/>
      <c r="S87" s="2580"/>
      <c r="T87" s="2496"/>
      <c r="U87" s="2539"/>
    </row>
    <row r="88" spans="1:21" s="2581" customFormat="1" ht="16.5" hidden="1" customHeight="1" outlineLevel="1">
      <c r="A88" s="2541"/>
      <c r="B88" s="2582" t="s">
        <v>499</v>
      </c>
      <c r="C88" s="2582" t="s">
        <v>1930</v>
      </c>
      <c r="D88" s="2583"/>
      <c r="E88" s="2583"/>
      <c r="F88" s="2584"/>
      <c r="G88" s="2583" t="s">
        <v>638</v>
      </c>
      <c r="H88" s="2583"/>
      <c r="I88" s="2583"/>
      <c r="J88" s="2583"/>
      <c r="K88" s="2583"/>
      <c r="L88" s="2583"/>
      <c r="M88" s="2585"/>
      <c r="N88" s="2586">
        <f t="shared" si="4"/>
        <v>0</v>
      </c>
      <c r="O88" s="2585"/>
      <c r="P88" s="2585"/>
      <c r="Q88" s="2585"/>
      <c r="R88" s="2585"/>
      <c r="S88" s="2585"/>
      <c r="T88" s="2496"/>
      <c r="U88" s="2539"/>
    </row>
    <row r="89" spans="1:21" s="2581" customFormat="1" ht="16.5" customHeight="1" outlineLevel="1">
      <c r="A89" s="2541"/>
      <c r="B89" s="2575" t="s">
        <v>499</v>
      </c>
      <c r="C89" s="2582" t="s">
        <v>1931</v>
      </c>
      <c r="D89" s="2583"/>
      <c r="E89" s="2583"/>
      <c r="F89" s="2584"/>
      <c r="G89" s="2583" t="s">
        <v>638</v>
      </c>
      <c r="H89" s="2583">
        <v>5000000</v>
      </c>
      <c r="I89" s="2583">
        <v>5000000</v>
      </c>
      <c r="J89" s="2583">
        <v>500000</v>
      </c>
      <c r="K89" s="2583">
        <v>500000</v>
      </c>
      <c r="L89" s="2583">
        <v>500000</v>
      </c>
      <c r="M89" s="2585">
        <f>+'[3]Všeob. pokladna'!$B$47</f>
        <v>0</v>
      </c>
      <c r="N89" s="2586">
        <f t="shared" si="4"/>
        <v>-500000</v>
      </c>
      <c r="O89" s="2585"/>
      <c r="P89" s="2585"/>
      <c r="Q89" s="2585"/>
      <c r="R89" s="2585"/>
      <c r="S89" s="2585"/>
      <c r="T89" s="2496"/>
      <c r="U89" s="2539"/>
    </row>
    <row r="90" spans="1:21" s="2581" customFormat="1" ht="16.5" customHeight="1" outlineLevel="1">
      <c r="A90" s="2541"/>
      <c r="B90" s="2575" t="s">
        <v>499</v>
      </c>
      <c r="C90" s="2582" t="s">
        <v>2314</v>
      </c>
      <c r="D90" s="2583"/>
      <c r="E90" s="2583"/>
      <c r="F90" s="2584"/>
      <c r="G90" s="2583" t="s">
        <v>638</v>
      </c>
      <c r="H90" s="2583">
        <v>0</v>
      </c>
      <c r="I90" s="2583">
        <v>0</v>
      </c>
      <c r="J90" s="2583">
        <v>5800000</v>
      </c>
      <c r="K90" s="2583">
        <v>5800000</v>
      </c>
      <c r="L90" s="2583">
        <v>5800000</v>
      </c>
      <c r="M90" s="2585">
        <f>+'[3]Všeob. pokladna'!$B$48</f>
        <v>10829500</v>
      </c>
      <c r="N90" s="2586">
        <f t="shared" si="4"/>
        <v>5029500</v>
      </c>
      <c r="O90" s="2585"/>
      <c r="P90" s="2585"/>
      <c r="Q90" s="2585"/>
      <c r="R90" s="2585"/>
      <c r="S90" s="2585"/>
      <c r="T90" s="2496"/>
      <c r="U90" s="2539"/>
    </row>
    <row r="91" spans="1:21" s="2581" customFormat="1" ht="16.5" customHeight="1" outlineLevel="1" thickBot="1">
      <c r="A91" s="2542">
        <v>6409</v>
      </c>
      <c r="B91" s="2595" t="s">
        <v>499</v>
      </c>
      <c r="C91" s="2595" t="s">
        <v>2309</v>
      </c>
      <c r="D91" s="2591"/>
      <c r="E91" s="2591"/>
      <c r="F91" s="2592"/>
      <c r="G91" s="2591" t="s">
        <v>638</v>
      </c>
      <c r="H91" s="2591">
        <v>7560000</v>
      </c>
      <c r="I91" s="2591">
        <v>7560000</v>
      </c>
      <c r="J91" s="2591">
        <v>0</v>
      </c>
      <c r="K91" s="2591">
        <v>0</v>
      </c>
      <c r="L91" s="2591">
        <v>0</v>
      </c>
      <c r="M91" s="2593">
        <f>+'[6]Všebecná pokladna'!$B$93</f>
        <v>0</v>
      </c>
      <c r="N91" s="2594">
        <f t="shared" si="4"/>
        <v>0</v>
      </c>
      <c r="O91" s="2593"/>
      <c r="P91" s="2593"/>
      <c r="Q91" s="2593"/>
      <c r="R91" s="2593"/>
      <c r="S91" s="2593"/>
      <c r="T91" s="2496"/>
      <c r="U91" s="2539"/>
    </row>
    <row r="92" spans="1:21" ht="13.9" thickBot="1">
      <c r="A92" s="3205" t="s">
        <v>646</v>
      </c>
      <c r="B92" s="3206"/>
      <c r="C92" s="2532"/>
      <c r="D92" s="2533"/>
      <c r="E92" s="2533"/>
      <c r="F92" s="2534"/>
      <c r="G92" s="2533"/>
      <c r="H92" s="2533">
        <v>41960000</v>
      </c>
      <c r="I92" s="2533">
        <v>41960000</v>
      </c>
      <c r="J92" s="2533">
        <v>35700000</v>
      </c>
      <c r="K92" s="2533">
        <v>29900000</v>
      </c>
      <c r="L92" s="2533">
        <v>29900000</v>
      </c>
      <c r="M92" s="2535">
        <f>SUM(M81:M91)</f>
        <v>34429500</v>
      </c>
      <c r="N92" s="2536">
        <f t="shared" si="4"/>
        <v>4529500</v>
      </c>
      <c r="O92" s="2537"/>
      <c r="P92" s="2537">
        <f>SUM(P81:P91)</f>
        <v>0</v>
      </c>
      <c r="Q92" s="2537"/>
      <c r="R92" s="2537"/>
      <c r="S92" s="2537"/>
      <c r="T92" s="2538">
        <f>'Výdaje kapitol celkem'!N57+'Výdaje kapitol celkem'!N58+'Výdaje kapitol celkem'!N59+'Výdaje kapitol celkem'!N60+'Výdaje kapitol celkem'!N61+'Výdaje kapitol celkem'!N62+'Výdaje kapitol celkem'!N63+'Výdaje kapitol celkem'!N64+'Výdaje kapitol celkem'!N65+'Výdaje kapitol celkem'!N66</f>
        <v>29900000</v>
      </c>
      <c r="U92" s="2539">
        <f>+T92-M92</f>
        <v>-4529500</v>
      </c>
    </row>
    <row r="93" spans="1:21" s="2581" customFormat="1" ht="12" hidden="1" customHeight="1" outlineLevel="1">
      <c r="A93" s="2541"/>
      <c r="B93" s="2575" t="s">
        <v>1194</v>
      </c>
      <c r="C93" s="2575"/>
      <c r="D93" s="2576"/>
      <c r="E93" s="2576"/>
      <c r="F93" s="2577"/>
      <c r="G93" s="2576" t="s">
        <v>638</v>
      </c>
      <c r="H93" s="2576"/>
      <c r="I93" s="2576"/>
      <c r="J93" s="2576"/>
      <c r="K93" s="2576"/>
      <c r="L93" s="2576"/>
      <c r="M93" s="2580"/>
      <c r="N93" s="2579">
        <f t="shared" si="4"/>
        <v>0</v>
      </c>
      <c r="O93" s="2580"/>
      <c r="P93" s="2580"/>
      <c r="Q93" s="2580"/>
      <c r="R93" s="2580"/>
      <c r="S93" s="2580"/>
      <c r="T93" s="2496"/>
      <c r="U93" s="2539"/>
    </row>
    <row r="94" spans="1:21" s="2581" customFormat="1" ht="12" hidden="1" customHeight="1" outlineLevel="1">
      <c r="A94" s="2541"/>
      <c r="B94" s="2575" t="s">
        <v>1194</v>
      </c>
      <c r="C94" s="2575"/>
      <c r="D94" s="2576"/>
      <c r="E94" s="2576"/>
      <c r="F94" s="2577"/>
      <c r="G94" s="2576" t="s">
        <v>638</v>
      </c>
      <c r="H94" s="2576"/>
      <c r="I94" s="2576"/>
      <c r="J94" s="2576"/>
      <c r="K94" s="2576"/>
      <c r="L94" s="2576"/>
      <c r="M94" s="2580"/>
      <c r="N94" s="2579">
        <f t="shared" si="4"/>
        <v>0</v>
      </c>
      <c r="O94" s="2580"/>
      <c r="P94" s="2580"/>
      <c r="Q94" s="2580"/>
      <c r="R94" s="2580"/>
      <c r="S94" s="2580"/>
      <c r="T94" s="2496"/>
      <c r="U94" s="2539"/>
    </row>
    <row r="95" spans="1:21" s="2581" customFormat="1" ht="12" hidden="1" customHeight="1" outlineLevel="1" thickBot="1">
      <c r="A95" s="2542" t="s">
        <v>181</v>
      </c>
      <c r="B95" s="2575" t="s">
        <v>1194</v>
      </c>
      <c r="C95" s="2575"/>
      <c r="D95" s="2576"/>
      <c r="E95" s="2576"/>
      <c r="F95" s="2577"/>
      <c r="G95" s="2576" t="s">
        <v>638</v>
      </c>
      <c r="H95" s="2576"/>
      <c r="I95" s="2576"/>
      <c r="J95" s="2576"/>
      <c r="K95" s="2576"/>
      <c r="L95" s="2576"/>
      <c r="M95" s="2580"/>
      <c r="N95" s="2579">
        <f t="shared" si="4"/>
        <v>0</v>
      </c>
      <c r="O95" s="2580"/>
      <c r="P95" s="2580"/>
      <c r="Q95" s="2580"/>
      <c r="R95" s="2580"/>
      <c r="S95" s="2580"/>
      <c r="T95" s="2496"/>
      <c r="U95" s="2539"/>
    </row>
    <row r="96" spans="1:21" ht="13.9" collapsed="1" thickBot="1">
      <c r="A96" s="3205" t="s">
        <v>1193</v>
      </c>
      <c r="B96" s="3206"/>
      <c r="C96" s="2532"/>
      <c r="D96" s="2533"/>
      <c r="E96" s="2533"/>
      <c r="F96" s="2534"/>
      <c r="G96" s="2533" t="s">
        <v>638</v>
      </c>
      <c r="H96" s="2533">
        <v>0</v>
      </c>
      <c r="I96" s="2533">
        <v>0</v>
      </c>
      <c r="J96" s="2533">
        <v>0</v>
      </c>
      <c r="K96" s="2533">
        <v>0</v>
      </c>
      <c r="L96" s="2533">
        <v>0</v>
      </c>
      <c r="M96" s="2535">
        <f>SUM(M93:M95)</f>
        <v>0</v>
      </c>
      <c r="N96" s="2536">
        <f t="shared" si="4"/>
        <v>0</v>
      </c>
      <c r="O96" s="2537"/>
      <c r="P96" s="2537">
        <f t="shared" ref="P96" si="6">SUM(P93:P95)</f>
        <v>0</v>
      </c>
      <c r="Q96" s="2537"/>
      <c r="R96" s="2537"/>
      <c r="S96" s="2537"/>
      <c r="T96" s="2538">
        <f>'Výdaje kapitol celkem'!DD69</f>
        <v>0</v>
      </c>
      <c r="U96" s="2539">
        <f>+T96-M96</f>
        <v>0</v>
      </c>
    </row>
    <row r="97" spans="1:21" s="2581" customFormat="1" ht="12" customHeight="1" outlineLevel="1">
      <c r="A97" s="2541"/>
      <c r="B97" s="2575" t="s">
        <v>159</v>
      </c>
      <c r="C97" s="2575" t="s">
        <v>2255</v>
      </c>
      <c r="D97" s="2576"/>
      <c r="E97" s="2576"/>
      <c r="F97" s="2577"/>
      <c r="G97" s="2576" t="s">
        <v>638</v>
      </c>
      <c r="H97" s="2576">
        <v>150000</v>
      </c>
      <c r="I97" s="2576">
        <v>150000</v>
      </c>
      <c r="J97" s="2576">
        <v>150000</v>
      </c>
      <c r="K97" s="2576">
        <v>150000</v>
      </c>
      <c r="L97" s="2576">
        <v>150000</v>
      </c>
      <c r="M97" s="2580">
        <f>+'[7]Příroda 3749'!$B$34</f>
        <v>150000</v>
      </c>
      <c r="N97" s="2579">
        <f t="shared" si="4"/>
        <v>0</v>
      </c>
      <c r="O97" s="2580"/>
      <c r="P97" s="2580"/>
      <c r="Q97" s="2580"/>
      <c r="R97" s="2580"/>
      <c r="S97" s="2580"/>
      <c r="T97" s="2496"/>
      <c r="U97" s="2539"/>
    </row>
    <row r="98" spans="1:21" s="2581" customFormat="1" ht="12" customHeight="1" outlineLevel="1" thickBot="1">
      <c r="A98" s="2542">
        <v>3749</v>
      </c>
      <c r="B98" s="2595" t="s">
        <v>159</v>
      </c>
      <c r="C98" s="2595"/>
      <c r="D98" s="2591"/>
      <c r="E98" s="2591"/>
      <c r="F98" s="2592"/>
      <c r="G98" s="2591" t="s">
        <v>638</v>
      </c>
      <c r="H98" s="2591">
        <v>0</v>
      </c>
      <c r="I98" s="2591">
        <v>0</v>
      </c>
      <c r="J98" s="2591">
        <v>0</v>
      </c>
      <c r="K98" s="2591">
        <v>0</v>
      </c>
      <c r="L98" s="2591">
        <v>0</v>
      </c>
      <c r="M98" s="2593">
        <f>+'[7]Příroda 3749'!$B$35</f>
        <v>0</v>
      </c>
      <c r="N98" s="2594">
        <f t="shared" si="4"/>
        <v>0</v>
      </c>
      <c r="O98" s="2593"/>
      <c r="P98" s="2593"/>
      <c r="Q98" s="2593"/>
      <c r="R98" s="2593"/>
      <c r="S98" s="2593"/>
      <c r="T98" s="2496"/>
      <c r="U98" s="2539"/>
    </row>
    <row r="99" spans="1:21" s="2581" customFormat="1" ht="12" customHeight="1" outlineLevel="1" thickBot="1">
      <c r="A99" s="2556"/>
      <c r="B99" s="3012"/>
      <c r="C99" s="2595"/>
      <c r="D99" s="2591"/>
      <c r="E99" s="2591"/>
      <c r="F99" s="2592"/>
      <c r="G99" s="2591"/>
      <c r="H99" s="2591"/>
      <c r="I99" s="2591"/>
      <c r="J99" s="2591"/>
      <c r="K99" s="2591"/>
      <c r="L99" s="2591"/>
      <c r="M99" s="2593"/>
      <c r="N99" s="2594">
        <f t="shared" si="4"/>
        <v>0</v>
      </c>
      <c r="O99" s="2593"/>
      <c r="P99" s="2593"/>
      <c r="Q99" s="2593"/>
      <c r="R99" s="2593"/>
      <c r="S99" s="2593"/>
      <c r="T99" s="2496"/>
      <c r="U99" s="2539"/>
    </row>
    <row r="100" spans="1:21" ht="13.9" thickBot="1">
      <c r="A100" s="3205" t="s">
        <v>624</v>
      </c>
      <c r="B100" s="3206"/>
      <c r="C100" s="2532"/>
      <c r="D100" s="2533"/>
      <c r="E100" s="2533"/>
      <c r="F100" s="2534"/>
      <c r="G100" s="2533"/>
      <c r="H100" s="2533">
        <v>150000</v>
      </c>
      <c r="I100" s="2533">
        <v>150000</v>
      </c>
      <c r="J100" s="2533">
        <v>150000</v>
      </c>
      <c r="K100" s="2533">
        <v>150000</v>
      </c>
      <c r="L100" s="2533">
        <v>150000</v>
      </c>
      <c r="M100" s="2535">
        <f>SUM(M97:M99)</f>
        <v>150000</v>
      </c>
      <c r="N100" s="2536">
        <f t="shared" si="4"/>
        <v>0</v>
      </c>
      <c r="O100" s="2537"/>
      <c r="P100" s="2537">
        <f>SUM(P97:P98)</f>
        <v>0</v>
      </c>
      <c r="Q100" s="2537"/>
      <c r="R100" s="2537"/>
      <c r="S100" s="2537"/>
      <c r="T100" s="2538">
        <f>'Výdaje kapitol celkem'!DK69</f>
        <v>150000</v>
      </c>
      <c r="U100" s="2539">
        <f>+T100-M100</f>
        <v>0</v>
      </c>
    </row>
    <row r="101" spans="1:21" s="2581" customFormat="1" ht="12" customHeight="1" outlineLevel="1">
      <c r="A101" s="2541"/>
      <c r="B101" s="2575" t="s">
        <v>294</v>
      </c>
      <c r="C101" s="2575" t="s">
        <v>294</v>
      </c>
      <c r="D101" s="2576"/>
      <c r="E101" s="2576"/>
      <c r="F101" s="2577"/>
      <c r="G101" s="2576" t="s">
        <v>638</v>
      </c>
      <c r="H101" s="2576">
        <v>0</v>
      </c>
      <c r="I101" s="2576">
        <v>0</v>
      </c>
      <c r="J101" s="2576">
        <v>0</v>
      </c>
      <c r="K101" s="2576">
        <v>0</v>
      </c>
      <c r="L101" s="2576">
        <v>0</v>
      </c>
      <c r="M101" s="2580">
        <f>+[4]Koupaliště!$B$4</f>
        <v>0</v>
      </c>
      <c r="N101" s="2579">
        <f t="shared" si="4"/>
        <v>0</v>
      </c>
      <c r="O101" s="2580"/>
      <c r="P101" s="2580"/>
      <c r="Q101" s="2580"/>
      <c r="R101" s="2580"/>
      <c r="S101" s="2580"/>
      <c r="T101" s="2496"/>
      <c r="U101" s="2539"/>
    </row>
    <row r="102" spans="1:21" s="2581" customFormat="1" ht="12" customHeight="1" outlineLevel="1">
      <c r="A102" s="2541"/>
      <c r="B102" s="2575" t="s">
        <v>294</v>
      </c>
      <c r="C102" s="2575" t="s">
        <v>2339</v>
      </c>
      <c r="D102" s="2576"/>
      <c r="E102" s="2576"/>
      <c r="F102" s="2577"/>
      <c r="G102" s="2576" t="s">
        <v>638</v>
      </c>
      <c r="H102" s="2576">
        <v>100000</v>
      </c>
      <c r="I102" s="2576">
        <v>100000</v>
      </c>
      <c r="J102" s="2576">
        <v>100000</v>
      </c>
      <c r="K102" s="2576">
        <v>100000</v>
      </c>
      <c r="L102" s="2576">
        <v>100000</v>
      </c>
      <c r="M102" s="2580">
        <f>+[3]koupaliště!$B$35</f>
        <v>100000</v>
      </c>
      <c r="N102" s="2579">
        <f t="shared" si="4"/>
        <v>0</v>
      </c>
      <c r="O102" s="2580"/>
      <c r="P102" s="2580"/>
      <c r="Q102" s="2580"/>
      <c r="R102" s="2580"/>
      <c r="S102" s="2580"/>
      <c r="T102" s="2496"/>
      <c r="U102" s="2539"/>
    </row>
    <row r="103" spans="1:21" s="2581" customFormat="1" ht="15" customHeight="1" outlineLevel="1" thickBot="1">
      <c r="A103" s="2542">
        <v>3412</v>
      </c>
      <c r="B103" s="2575" t="s">
        <v>294</v>
      </c>
      <c r="C103" s="2604" t="s">
        <v>2592</v>
      </c>
      <c r="D103" s="2596"/>
      <c r="E103" s="2596"/>
      <c r="F103" s="2605"/>
      <c r="G103" s="2596" t="s">
        <v>638</v>
      </c>
      <c r="H103" s="2596">
        <v>0</v>
      </c>
      <c r="I103" s="2596">
        <v>0</v>
      </c>
      <c r="J103" s="2596">
        <v>0</v>
      </c>
      <c r="K103" s="2596">
        <v>0</v>
      </c>
      <c r="L103" s="2596">
        <v>115000</v>
      </c>
      <c r="M103" s="2597">
        <f>+[3]koupaliště!$B$36</f>
        <v>115000</v>
      </c>
      <c r="N103" s="2598">
        <f t="shared" si="4"/>
        <v>0</v>
      </c>
      <c r="O103" s="2597"/>
      <c r="P103" s="2597"/>
      <c r="Q103" s="2597"/>
      <c r="R103" s="2597"/>
      <c r="S103" s="2597"/>
      <c r="T103" s="2496"/>
      <c r="U103" s="2539"/>
    </row>
    <row r="104" spans="1:21" ht="13.9" thickBot="1">
      <c r="A104" s="3205" t="s">
        <v>625</v>
      </c>
      <c r="B104" s="3206"/>
      <c r="C104" s="2532"/>
      <c r="D104" s="2533"/>
      <c r="E104" s="2533"/>
      <c r="F104" s="2534"/>
      <c r="G104" s="2533"/>
      <c r="H104" s="2533">
        <v>100000</v>
      </c>
      <c r="I104" s="2533">
        <v>100000</v>
      </c>
      <c r="J104" s="2533">
        <v>100000</v>
      </c>
      <c r="K104" s="2533">
        <v>100000</v>
      </c>
      <c r="L104" s="2533">
        <v>215000</v>
      </c>
      <c r="M104" s="2535">
        <f>SUM(M101:M103)</f>
        <v>215000</v>
      </c>
      <c r="N104" s="2536">
        <f t="shared" si="4"/>
        <v>0</v>
      </c>
      <c r="O104" s="2537"/>
      <c r="P104" s="2537">
        <f>SUM(P103:P103)</f>
        <v>0</v>
      </c>
      <c r="Q104" s="2537"/>
      <c r="R104" s="2537"/>
      <c r="S104" s="2537"/>
      <c r="T104" s="2538">
        <f>'Výdaje kapitol celkem'!AU69</f>
        <v>215000</v>
      </c>
      <c r="U104" s="2539">
        <f>+T104-M104</f>
        <v>0</v>
      </c>
    </row>
    <row r="105" spans="1:21" s="2581" customFormat="1" ht="12" hidden="1" customHeight="1" outlineLevel="1">
      <c r="A105" s="2606"/>
      <c r="B105" s="2524" t="s">
        <v>1180</v>
      </c>
      <c r="C105" s="2575" t="s">
        <v>1647</v>
      </c>
      <c r="D105" s="2576"/>
      <c r="E105" s="2576"/>
      <c r="F105" s="2577"/>
      <c r="G105" s="2576" t="s">
        <v>638</v>
      </c>
      <c r="H105" s="2576">
        <v>0</v>
      </c>
      <c r="I105" s="2576">
        <v>0</v>
      </c>
      <c r="J105" s="2576">
        <v>0</v>
      </c>
      <c r="K105" s="2576">
        <v>0</v>
      </c>
      <c r="L105" s="2576">
        <v>0</v>
      </c>
      <c r="M105" s="2580">
        <f>+[4]Hřiště!$B$4</f>
        <v>0</v>
      </c>
      <c r="N105" s="2579">
        <f t="shared" si="4"/>
        <v>0</v>
      </c>
      <c r="O105" s="2580"/>
      <c r="P105" s="2580"/>
      <c r="Q105" s="2580"/>
      <c r="R105" s="2580"/>
      <c r="S105" s="2580"/>
      <c r="T105" s="2496"/>
      <c r="U105" s="2539"/>
    </row>
    <row r="106" spans="1:21" s="2581" customFormat="1" ht="12" hidden="1" customHeight="1" outlineLevel="1">
      <c r="A106" s="2574"/>
      <c r="B106" s="2524" t="s">
        <v>1180</v>
      </c>
      <c r="C106" s="2575" t="s">
        <v>1648</v>
      </c>
      <c r="D106" s="2576"/>
      <c r="E106" s="2576"/>
      <c r="F106" s="2577"/>
      <c r="G106" s="2576" t="s">
        <v>638</v>
      </c>
      <c r="H106" s="2576">
        <v>0</v>
      </c>
      <c r="I106" s="2576">
        <v>0</v>
      </c>
      <c r="J106" s="2576">
        <v>0</v>
      </c>
      <c r="K106" s="2576">
        <v>0</v>
      </c>
      <c r="L106" s="2576">
        <v>0</v>
      </c>
      <c r="M106" s="2580">
        <f>+[4]Hřiště!$B$5</f>
        <v>0</v>
      </c>
      <c r="N106" s="2579">
        <f t="shared" si="4"/>
        <v>0</v>
      </c>
      <c r="O106" s="2580"/>
      <c r="P106" s="2580"/>
      <c r="Q106" s="2580"/>
      <c r="R106" s="2580"/>
      <c r="S106" s="2580"/>
      <c r="T106" s="2496"/>
      <c r="U106" s="2539"/>
    </row>
    <row r="107" spans="1:21" s="2581" customFormat="1" ht="12" hidden="1" customHeight="1" outlineLevel="1">
      <c r="A107" s="2574"/>
      <c r="B107" s="2524" t="s">
        <v>1180</v>
      </c>
      <c r="C107" s="2582"/>
      <c r="D107" s="2583"/>
      <c r="E107" s="2583"/>
      <c r="F107" s="2584"/>
      <c r="G107" s="2576" t="s">
        <v>638</v>
      </c>
      <c r="H107" s="2576"/>
      <c r="I107" s="2576"/>
      <c r="J107" s="2576"/>
      <c r="K107" s="2576"/>
      <c r="L107" s="2576"/>
      <c r="M107" s="2585"/>
      <c r="N107" s="2586">
        <f t="shared" si="4"/>
        <v>0</v>
      </c>
      <c r="O107" s="2585"/>
      <c r="P107" s="2585"/>
      <c r="Q107" s="2585"/>
      <c r="R107" s="2585"/>
      <c r="S107" s="2585"/>
      <c r="T107" s="2496"/>
      <c r="U107" s="2539"/>
    </row>
    <row r="108" spans="1:21" s="2581" customFormat="1" ht="12" hidden="1" customHeight="1" outlineLevel="1" thickBot="1">
      <c r="A108" s="2542" t="s">
        <v>1183</v>
      </c>
      <c r="B108" s="2563" t="s">
        <v>1180</v>
      </c>
      <c r="C108" s="2595"/>
      <c r="D108" s="2591"/>
      <c r="E108" s="2607"/>
      <c r="F108" s="2608"/>
      <c r="G108" s="2592" t="s">
        <v>638</v>
      </c>
      <c r="H108" s="2592"/>
      <c r="I108" s="2592"/>
      <c r="J108" s="2592"/>
      <c r="K108" s="2592"/>
      <c r="L108" s="2592"/>
      <c r="M108" s="2593"/>
      <c r="N108" s="2594">
        <f t="shared" si="4"/>
        <v>0</v>
      </c>
      <c r="O108" s="2593"/>
      <c r="P108" s="2593"/>
      <c r="Q108" s="2593"/>
      <c r="R108" s="2593"/>
      <c r="S108" s="2593"/>
      <c r="T108" s="2496"/>
      <c r="U108" s="2539"/>
    </row>
    <row r="109" spans="1:21" ht="13.9" collapsed="1" thickBot="1">
      <c r="A109" s="3205" t="s">
        <v>1227</v>
      </c>
      <c r="B109" s="3206"/>
      <c r="C109" s="2532"/>
      <c r="D109" s="2533"/>
      <c r="E109" s="2533"/>
      <c r="F109" s="2534"/>
      <c r="G109" s="2533"/>
      <c r="H109" s="2533">
        <v>0</v>
      </c>
      <c r="I109" s="2533">
        <v>0</v>
      </c>
      <c r="J109" s="2533">
        <v>0</v>
      </c>
      <c r="K109" s="2533">
        <v>0</v>
      </c>
      <c r="L109" s="2533">
        <v>0</v>
      </c>
      <c r="M109" s="2535">
        <f>SUM(M105:M108)</f>
        <v>0</v>
      </c>
      <c r="N109" s="2536">
        <f t="shared" si="4"/>
        <v>0</v>
      </c>
      <c r="O109" s="2537"/>
      <c r="P109" s="2537">
        <f>SUM(P105:P108)</f>
        <v>0</v>
      </c>
      <c r="Q109" s="2537"/>
      <c r="R109" s="2537"/>
      <c r="S109" s="2537"/>
      <c r="T109" s="2538">
        <f>'Výdaje kapitol celkem'!AX69</f>
        <v>0</v>
      </c>
      <c r="U109" s="2539">
        <f>+T109-M109</f>
        <v>0</v>
      </c>
    </row>
    <row r="110" spans="1:21" s="2581" customFormat="1" ht="12" customHeight="1" outlineLevel="1">
      <c r="A110" s="2606"/>
      <c r="B110" s="2524" t="s">
        <v>1692</v>
      </c>
      <c r="C110" s="2575" t="s">
        <v>1693</v>
      </c>
      <c r="D110" s="2576"/>
      <c r="E110" s="2576"/>
      <c r="F110" s="2577"/>
      <c r="G110" s="2577" t="s">
        <v>638</v>
      </c>
      <c r="H110" s="2577">
        <v>0</v>
      </c>
      <c r="I110" s="2577">
        <v>0</v>
      </c>
      <c r="J110" s="2577">
        <v>0</v>
      </c>
      <c r="K110" s="2577">
        <v>0</v>
      </c>
      <c r="L110" s="2577">
        <v>0</v>
      </c>
      <c r="M110" s="2580">
        <f>+'[3]Zdrav. středisko'!$B$19</f>
        <v>0</v>
      </c>
      <c r="N110" s="2579">
        <f t="shared" si="4"/>
        <v>0</v>
      </c>
      <c r="O110" s="2580"/>
      <c r="P110" s="2580"/>
      <c r="Q110" s="2580"/>
      <c r="R110" s="2580"/>
      <c r="S110" s="2580"/>
      <c r="T110" s="2496"/>
      <c r="U110" s="2539"/>
    </row>
    <row r="111" spans="1:21" s="2581" customFormat="1" ht="12" customHeight="1" outlineLevel="1">
      <c r="A111" s="2574"/>
      <c r="B111" s="2524" t="s">
        <v>1692</v>
      </c>
      <c r="C111" s="2575" t="s">
        <v>1694</v>
      </c>
      <c r="D111" s="2576"/>
      <c r="E111" s="2576"/>
      <c r="F111" s="2577"/>
      <c r="G111" s="2577" t="s">
        <v>638</v>
      </c>
      <c r="H111" s="2577">
        <v>0</v>
      </c>
      <c r="I111" s="2577">
        <v>0</v>
      </c>
      <c r="J111" s="2577">
        <v>0</v>
      </c>
      <c r="K111" s="2577">
        <v>0</v>
      </c>
      <c r="L111" s="2577">
        <v>0</v>
      </c>
      <c r="M111" s="2585">
        <f>+'[3]Zdrav. středisko'!$B$20</f>
        <v>0</v>
      </c>
      <c r="N111" s="2586">
        <f t="shared" si="4"/>
        <v>0</v>
      </c>
      <c r="O111" s="2585"/>
      <c r="P111" s="2585"/>
      <c r="Q111" s="2585"/>
      <c r="R111" s="2585"/>
      <c r="S111" s="2585"/>
      <c r="T111" s="2496"/>
      <c r="U111" s="2539"/>
    </row>
    <row r="112" spans="1:21" s="2581" customFormat="1" ht="12" customHeight="1" outlineLevel="1">
      <c r="A112" s="2574"/>
      <c r="B112" s="2524" t="s">
        <v>1692</v>
      </c>
      <c r="C112" s="2582"/>
      <c r="D112" s="2583"/>
      <c r="E112" s="2583"/>
      <c r="F112" s="2584"/>
      <c r="G112" s="2577" t="s">
        <v>638</v>
      </c>
      <c r="H112" s="2577"/>
      <c r="I112" s="2577"/>
      <c r="J112" s="2577"/>
      <c r="K112" s="2577"/>
      <c r="L112" s="2577"/>
      <c r="M112" s="2585"/>
      <c r="N112" s="2586">
        <f t="shared" si="4"/>
        <v>0</v>
      </c>
      <c r="O112" s="2585"/>
      <c r="P112" s="2585"/>
      <c r="Q112" s="2585"/>
      <c r="R112" s="2585"/>
      <c r="S112" s="2585"/>
      <c r="T112" s="2496"/>
      <c r="U112" s="2539"/>
    </row>
    <row r="113" spans="1:21" s="2581" customFormat="1" ht="12" customHeight="1" outlineLevel="1" thickBot="1">
      <c r="A113" s="2542">
        <v>3519</v>
      </c>
      <c r="B113" s="2563" t="s">
        <v>1692</v>
      </c>
      <c r="C113" s="2595"/>
      <c r="D113" s="2591"/>
      <c r="E113" s="2607"/>
      <c r="F113" s="2608"/>
      <c r="G113" s="2592" t="s">
        <v>638</v>
      </c>
      <c r="H113" s="2620"/>
      <c r="I113" s="2620"/>
      <c r="J113" s="2620"/>
      <c r="K113" s="2620"/>
      <c r="L113" s="2620"/>
      <c r="M113" s="2609"/>
      <c r="N113" s="2610">
        <f t="shared" si="4"/>
        <v>0</v>
      </c>
      <c r="O113" s="2609"/>
      <c r="P113" s="2609"/>
      <c r="Q113" s="2609"/>
      <c r="R113" s="2609"/>
      <c r="S113" s="2609"/>
      <c r="T113" s="2496"/>
      <c r="U113" s="2539"/>
    </row>
    <row r="114" spans="1:21" ht="13.9" thickBot="1">
      <c r="A114" s="3205" t="s">
        <v>1691</v>
      </c>
      <c r="B114" s="3206"/>
      <c r="C114" s="2532"/>
      <c r="D114" s="2533"/>
      <c r="E114" s="2533"/>
      <c r="F114" s="2534"/>
      <c r="G114" s="2533"/>
      <c r="H114" s="2533">
        <v>0</v>
      </c>
      <c r="I114" s="2533">
        <v>0</v>
      </c>
      <c r="J114" s="2533">
        <v>0</v>
      </c>
      <c r="K114" s="2533">
        <v>0</v>
      </c>
      <c r="L114" s="2533">
        <v>0</v>
      </c>
      <c r="M114" s="2611">
        <f>SUM(M110:M113)</f>
        <v>0</v>
      </c>
      <c r="N114" s="2612">
        <f t="shared" si="4"/>
        <v>0</v>
      </c>
      <c r="O114" s="2613"/>
      <c r="P114" s="2613">
        <f>SUM(P110:P113)</f>
        <v>0</v>
      </c>
      <c r="Q114" s="2613"/>
      <c r="R114" s="2613"/>
      <c r="S114" s="2613"/>
      <c r="T114" s="2538">
        <f>'Výdaje kapitol celkem'!AP57+'Výdaje kapitol celkem'!AP58+'Výdaje kapitol celkem'!AP59+'Výdaje kapitol celkem'!AP60+'Výdaje kapitol celkem'!AP61+'Výdaje kapitol celkem'!AP62+'Výdaje kapitol celkem'!AP63+'Výdaje kapitol celkem'!AP64</f>
        <v>0</v>
      </c>
      <c r="U114" s="2539">
        <f>+T114-M114</f>
        <v>0</v>
      </c>
    </row>
    <row r="115" spans="1:21" s="2581" customFormat="1" ht="12" hidden="1" customHeight="1" outlineLevel="1">
      <c r="A115" s="2606"/>
      <c r="B115" s="2524" t="s">
        <v>145</v>
      </c>
      <c r="C115" s="2614" t="s">
        <v>1649</v>
      </c>
      <c r="D115" s="2615"/>
      <c r="E115" s="2576"/>
      <c r="F115" s="2577"/>
      <c r="G115" s="2577" t="s">
        <v>638</v>
      </c>
      <c r="H115" s="2577">
        <v>0</v>
      </c>
      <c r="I115" s="2577">
        <v>0</v>
      </c>
      <c r="J115" s="2577">
        <v>0</v>
      </c>
      <c r="K115" s="2577">
        <v>0</v>
      </c>
      <c r="L115" s="2577">
        <v>0</v>
      </c>
      <c r="M115" s="2580">
        <f>+[4]ZŠ!$B$8</f>
        <v>0</v>
      </c>
      <c r="N115" s="2579">
        <f t="shared" si="4"/>
        <v>0</v>
      </c>
      <c r="O115" s="2580"/>
      <c r="P115" s="2580"/>
      <c r="Q115" s="2580"/>
      <c r="R115" s="2580"/>
      <c r="S115" s="2580"/>
      <c r="T115" s="2496"/>
      <c r="U115" s="2539"/>
    </row>
    <row r="116" spans="1:21" s="2581" customFormat="1" ht="12" hidden="1" customHeight="1" outlineLevel="1">
      <c r="A116" s="2574"/>
      <c r="B116" s="2569" t="s">
        <v>145</v>
      </c>
      <c r="C116" s="2614" t="s">
        <v>1650</v>
      </c>
      <c r="D116" s="2576"/>
      <c r="E116" s="2576"/>
      <c r="F116" s="2577"/>
      <c r="G116" s="2577" t="s">
        <v>638</v>
      </c>
      <c r="H116" s="2577">
        <v>0</v>
      </c>
      <c r="I116" s="2577">
        <v>0</v>
      </c>
      <c r="J116" s="2577">
        <v>0</v>
      </c>
      <c r="K116" s="2577">
        <v>0</v>
      </c>
      <c r="L116" s="2577">
        <v>0</v>
      </c>
      <c r="M116" s="2585">
        <f>+[4]ZŠ!$B$9</f>
        <v>0</v>
      </c>
      <c r="N116" s="2586">
        <f t="shared" si="4"/>
        <v>0</v>
      </c>
      <c r="O116" s="2585"/>
      <c r="P116" s="2585"/>
      <c r="Q116" s="2585"/>
      <c r="R116" s="2585"/>
      <c r="S116" s="2585"/>
      <c r="T116" s="2496"/>
      <c r="U116" s="2539"/>
    </row>
    <row r="117" spans="1:21" s="2581" customFormat="1" ht="12" hidden="1" customHeight="1" outlineLevel="1">
      <c r="A117" s="2541"/>
      <c r="B117" s="2616" t="s">
        <v>145</v>
      </c>
      <c r="C117" s="3022" t="s">
        <v>1651</v>
      </c>
      <c r="D117" s="2617"/>
      <c r="E117" s="2618"/>
      <c r="F117" s="2619"/>
      <c r="G117" s="2620" t="s">
        <v>638</v>
      </c>
      <c r="H117" s="2620">
        <v>0</v>
      </c>
      <c r="I117" s="2620">
        <v>0</v>
      </c>
      <c r="J117" s="2620">
        <v>0</v>
      </c>
      <c r="K117" s="2620">
        <v>0</v>
      </c>
      <c r="L117" s="2620">
        <v>0</v>
      </c>
      <c r="M117" s="2585">
        <f>+[4]ZŠ!$B$22</f>
        <v>0</v>
      </c>
      <c r="N117" s="2586">
        <f t="shared" si="4"/>
        <v>0</v>
      </c>
      <c r="O117" s="2585"/>
      <c r="P117" s="2585"/>
      <c r="Q117" s="2585"/>
      <c r="R117" s="2585"/>
      <c r="S117" s="2585"/>
      <c r="T117" s="2496"/>
      <c r="U117" s="2539"/>
    </row>
    <row r="118" spans="1:21" s="2581" customFormat="1" ht="12" hidden="1" customHeight="1" outlineLevel="1">
      <c r="A118" s="2541"/>
      <c r="B118" s="2569" t="s">
        <v>145</v>
      </c>
      <c r="C118" s="2621" t="s">
        <v>1652</v>
      </c>
      <c r="D118" s="2583"/>
      <c r="E118" s="2622"/>
      <c r="F118" s="2623"/>
      <c r="G118" s="2584" t="s">
        <v>638</v>
      </c>
      <c r="H118" s="2584">
        <v>0</v>
      </c>
      <c r="I118" s="2584">
        <v>0</v>
      </c>
      <c r="J118" s="2584">
        <v>0</v>
      </c>
      <c r="K118" s="2584">
        <v>0</v>
      </c>
      <c r="L118" s="2584">
        <v>0</v>
      </c>
      <c r="M118" s="2585">
        <f>+[4]ZŠ!$B$23</f>
        <v>0</v>
      </c>
      <c r="N118" s="2586">
        <f t="shared" si="4"/>
        <v>0</v>
      </c>
      <c r="O118" s="2585"/>
      <c r="P118" s="2585"/>
      <c r="Q118" s="2585"/>
      <c r="R118" s="2585"/>
      <c r="S118" s="2585"/>
      <c r="T118" s="2496"/>
      <c r="U118" s="2539"/>
    </row>
    <row r="119" spans="1:21" s="2581" customFormat="1" ht="12" hidden="1" customHeight="1" outlineLevel="1">
      <c r="A119" s="2541"/>
      <c r="B119" s="2569" t="s">
        <v>145</v>
      </c>
      <c r="C119" s="2621" t="s">
        <v>2193</v>
      </c>
      <c r="D119" s="2583"/>
      <c r="E119" s="2622"/>
      <c r="F119" s="2623"/>
      <c r="G119" s="2584" t="s">
        <v>638</v>
      </c>
      <c r="H119" s="2584">
        <v>0</v>
      </c>
      <c r="I119" s="2584">
        <v>0</v>
      </c>
      <c r="J119" s="2584">
        <v>0</v>
      </c>
      <c r="K119" s="2584">
        <v>0</v>
      </c>
      <c r="L119" s="2584">
        <v>0</v>
      </c>
      <c r="M119" s="2585">
        <f>+[4]ZŠ!$B$36</f>
        <v>0</v>
      </c>
      <c r="N119" s="2586">
        <f t="shared" si="4"/>
        <v>0</v>
      </c>
      <c r="O119" s="2585"/>
      <c r="P119" s="2585"/>
      <c r="Q119" s="2585"/>
      <c r="R119" s="2585"/>
      <c r="S119" s="2585"/>
      <c r="T119" s="2496"/>
      <c r="U119" s="2539"/>
    </row>
    <row r="120" spans="1:21" s="2581" customFormat="1" ht="12" hidden="1" customHeight="1" outlineLevel="1">
      <c r="A120" s="2541"/>
      <c r="B120" s="2569" t="s">
        <v>145</v>
      </c>
      <c r="C120" s="2621" t="s">
        <v>2194</v>
      </c>
      <c r="D120" s="2583"/>
      <c r="E120" s="2622"/>
      <c r="F120" s="2623"/>
      <c r="G120" s="2584" t="s">
        <v>638</v>
      </c>
      <c r="H120" s="2584">
        <v>0</v>
      </c>
      <c r="I120" s="2584">
        <v>0</v>
      </c>
      <c r="J120" s="2584">
        <v>0</v>
      </c>
      <c r="K120" s="2584">
        <v>0</v>
      </c>
      <c r="L120" s="2584">
        <v>0</v>
      </c>
      <c r="M120" s="2585">
        <f>+[4]ZŠ!$B$37</f>
        <v>0</v>
      </c>
      <c r="N120" s="2586">
        <f t="shared" si="4"/>
        <v>0</v>
      </c>
      <c r="O120" s="2585"/>
      <c r="P120" s="2585"/>
      <c r="Q120" s="2585"/>
      <c r="R120" s="2585"/>
      <c r="S120" s="2585"/>
      <c r="T120" s="2496"/>
      <c r="U120" s="2539"/>
    </row>
    <row r="121" spans="1:21" s="2581" customFormat="1" ht="12" hidden="1" customHeight="1" outlineLevel="1">
      <c r="A121" s="2541"/>
      <c r="B121" s="2569" t="s">
        <v>145</v>
      </c>
      <c r="C121" s="2621" t="s">
        <v>1658</v>
      </c>
      <c r="D121" s="2583"/>
      <c r="E121" s="2622"/>
      <c r="F121" s="2623"/>
      <c r="G121" s="2584" t="s">
        <v>638</v>
      </c>
      <c r="H121" s="2584">
        <v>0</v>
      </c>
      <c r="I121" s="2584">
        <v>0</v>
      </c>
      <c r="J121" s="2584">
        <v>0</v>
      </c>
      <c r="K121" s="2584">
        <v>0</v>
      </c>
      <c r="L121" s="2584">
        <v>0</v>
      </c>
      <c r="M121" s="2585">
        <f>+[4]ZŠ!$B$76</f>
        <v>0</v>
      </c>
      <c r="N121" s="2586">
        <f t="shared" si="4"/>
        <v>0</v>
      </c>
      <c r="O121" s="2585"/>
      <c r="P121" s="2585"/>
      <c r="Q121" s="2585"/>
      <c r="R121" s="2585"/>
      <c r="S121" s="2585"/>
      <c r="T121" s="2496"/>
      <c r="U121" s="2539"/>
    </row>
    <row r="122" spans="1:21" s="2581" customFormat="1" ht="12" hidden="1" customHeight="1" outlineLevel="1">
      <c r="A122" s="2541"/>
      <c r="B122" s="2569" t="s">
        <v>145</v>
      </c>
      <c r="C122" s="2621" t="s">
        <v>1659</v>
      </c>
      <c r="D122" s="2583"/>
      <c r="E122" s="2622"/>
      <c r="F122" s="2623"/>
      <c r="G122" s="2584" t="s">
        <v>638</v>
      </c>
      <c r="H122" s="2584">
        <v>0</v>
      </c>
      <c r="I122" s="2584">
        <v>0</v>
      </c>
      <c r="J122" s="2584">
        <v>0</v>
      </c>
      <c r="K122" s="2584">
        <v>0</v>
      </c>
      <c r="L122" s="2584">
        <v>0</v>
      </c>
      <c r="M122" s="2585">
        <f>+[4]ZŠ!$B$77</f>
        <v>0</v>
      </c>
      <c r="N122" s="2586">
        <f t="shared" si="4"/>
        <v>0</v>
      </c>
      <c r="O122" s="2585"/>
      <c r="P122" s="2585"/>
      <c r="Q122" s="2585"/>
      <c r="R122" s="2585"/>
      <c r="S122" s="2585"/>
      <c r="T122" s="2496"/>
      <c r="U122" s="2539"/>
    </row>
    <row r="123" spans="1:21" s="2581" customFormat="1" ht="12" hidden="1" customHeight="1" outlineLevel="1">
      <c r="A123" s="2541"/>
      <c r="B123" s="2569" t="s">
        <v>145</v>
      </c>
      <c r="C123" s="2621" t="s">
        <v>1653</v>
      </c>
      <c r="D123" s="2583"/>
      <c r="E123" s="2622"/>
      <c r="F123" s="2623"/>
      <c r="G123" s="2584" t="s">
        <v>638</v>
      </c>
      <c r="H123" s="2584"/>
      <c r="I123" s="2584"/>
      <c r="J123" s="2584"/>
      <c r="K123" s="2584"/>
      <c r="L123" s="2584"/>
      <c r="M123" s="2585"/>
      <c r="N123" s="2586">
        <f t="shared" si="4"/>
        <v>0</v>
      </c>
      <c r="O123" s="2585"/>
      <c r="P123" s="2585"/>
      <c r="Q123" s="2585"/>
      <c r="R123" s="2585"/>
      <c r="S123" s="2585"/>
      <c r="T123" s="2496"/>
      <c r="U123" s="2539"/>
    </row>
    <row r="124" spans="1:21" s="2581" customFormat="1" ht="12" hidden="1" customHeight="1" outlineLevel="1">
      <c r="A124" s="2541"/>
      <c r="B124" s="2569" t="s">
        <v>145</v>
      </c>
      <c r="C124" s="2621" t="s">
        <v>1952</v>
      </c>
      <c r="D124" s="2583"/>
      <c r="E124" s="2622"/>
      <c r="F124" s="2623"/>
      <c r="G124" s="2584" t="s">
        <v>638</v>
      </c>
      <c r="H124" s="2584"/>
      <c r="I124" s="2584"/>
      <c r="J124" s="2584"/>
      <c r="K124" s="2584"/>
      <c r="L124" s="2584"/>
      <c r="M124" s="2585"/>
      <c r="N124" s="2586">
        <f t="shared" si="4"/>
        <v>0</v>
      </c>
      <c r="O124" s="2585"/>
      <c r="P124" s="2585"/>
      <c r="Q124" s="2585"/>
      <c r="R124" s="2585"/>
      <c r="S124" s="2585"/>
      <c r="T124" s="2496"/>
      <c r="U124" s="2539"/>
    </row>
    <row r="125" spans="1:21" s="2581" customFormat="1" ht="12" hidden="1" customHeight="1" outlineLevel="1">
      <c r="A125" s="2624"/>
      <c r="B125" s="2569" t="s">
        <v>145</v>
      </c>
      <c r="C125" s="2621" t="s">
        <v>1654</v>
      </c>
      <c r="D125" s="2583"/>
      <c r="E125" s="2622"/>
      <c r="F125" s="2623"/>
      <c r="G125" s="2584" t="s">
        <v>638</v>
      </c>
      <c r="H125" s="2584">
        <v>0</v>
      </c>
      <c r="I125" s="2584">
        <v>0</v>
      </c>
      <c r="J125" s="2584">
        <v>0</v>
      </c>
      <c r="K125" s="2584">
        <v>0</v>
      </c>
      <c r="L125" s="2584">
        <v>0</v>
      </c>
      <c r="M125" s="2585">
        <f>+[4]ZŠ!$B$49</f>
        <v>0</v>
      </c>
      <c r="N125" s="2586">
        <f t="shared" si="4"/>
        <v>0</v>
      </c>
      <c r="O125" s="2585"/>
      <c r="P125" s="2585"/>
      <c r="Q125" s="2585"/>
      <c r="R125" s="2585"/>
      <c r="S125" s="2585"/>
      <c r="T125" s="2496"/>
      <c r="U125" s="2539"/>
    </row>
    <row r="126" spans="1:21" s="2581" customFormat="1" ht="12" hidden="1" customHeight="1" outlineLevel="1">
      <c r="A126" s="2541"/>
      <c r="B126" s="2569" t="s">
        <v>145</v>
      </c>
      <c r="C126" s="2621" t="s">
        <v>1655</v>
      </c>
      <c r="D126" s="2583"/>
      <c r="E126" s="2622"/>
      <c r="F126" s="2623"/>
      <c r="G126" s="2584" t="s">
        <v>638</v>
      </c>
      <c r="H126" s="2584">
        <v>0</v>
      </c>
      <c r="I126" s="2584">
        <v>0</v>
      </c>
      <c r="J126" s="2584">
        <v>0</v>
      </c>
      <c r="K126" s="2584">
        <v>0</v>
      </c>
      <c r="L126" s="2584">
        <v>0</v>
      </c>
      <c r="M126" s="2585">
        <f>+[4]ZŠ!$B$50</f>
        <v>0</v>
      </c>
      <c r="N126" s="2586">
        <f t="shared" si="4"/>
        <v>0</v>
      </c>
      <c r="O126" s="2585"/>
      <c r="P126" s="2585"/>
      <c r="Q126" s="2585"/>
      <c r="R126" s="2585"/>
      <c r="S126" s="2585"/>
      <c r="T126" s="2496"/>
      <c r="U126" s="2539"/>
    </row>
    <row r="127" spans="1:21" s="2581" customFormat="1" ht="12" customHeight="1" outlineLevel="1">
      <c r="A127" s="2541"/>
      <c r="B127" s="2569" t="s">
        <v>145</v>
      </c>
      <c r="C127" s="2625" t="s">
        <v>1657</v>
      </c>
      <c r="D127" s="2583"/>
      <c r="E127" s="2622"/>
      <c r="F127" s="2623"/>
      <c r="G127" s="2584" t="s">
        <v>638</v>
      </c>
      <c r="H127" s="2584">
        <v>30000</v>
      </c>
      <c r="I127" s="2584">
        <v>30000</v>
      </c>
      <c r="J127" s="2584">
        <v>30000</v>
      </c>
      <c r="K127" s="2584">
        <v>30000</v>
      </c>
      <c r="L127" s="2584">
        <v>30000</v>
      </c>
      <c r="M127" s="2585">
        <f>+[4]ZŠ!$B$62</f>
        <v>30000</v>
      </c>
      <c r="N127" s="2586">
        <f t="shared" si="4"/>
        <v>0</v>
      </c>
      <c r="O127" s="2585"/>
      <c r="P127" s="2585"/>
      <c r="Q127" s="2585"/>
      <c r="R127" s="2585"/>
      <c r="S127" s="2585"/>
      <c r="T127" s="2496"/>
      <c r="U127" s="2539"/>
    </row>
    <row r="128" spans="1:21" s="2581" customFormat="1" ht="12" customHeight="1" outlineLevel="1">
      <c r="A128" s="2541"/>
      <c r="B128" s="2569" t="s">
        <v>145</v>
      </c>
      <c r="C128" s="2614" t="s">
        <v>1656</v>
      </c>
      <c r="D128" s="2576"/>
      <c r="E128" s="2626"/>
      <c r="F128" s="2627"/>
      <c r="G128" s="2584" t="s">
        <v>638</v>
      </c>
      <c r="H128" s="2584">
        <v>0</v>
      </c>
      <c r="I128" s="2584">
        <v>0</v>
      </c>
      <c r="J128" s="2584">
        <v>0</v>
      </c>
      <c r="K128" s="2584">
        <v>0</v>
      </c>
      <c r="L128" s="2584">
        <v>0</v>
      </c>
      <c r="M128" s="2585">
        <f>+[4]ZŠ!$B$63</f>
        <v>0</v>
      </c>
      <c r="N128" s="2586">
        <f t="shared" si="4"/>
        <v>0</v>
      </c>
      <c r="O128" s="2585"/>
      <c r="P128" s="2585"/>
      <c r="Q128" s="2585"/>
      <c r="R128" s="2585"/>
      <c r="S128" s="2585"/>
      <c r="T128" s="2496"/>
      <c r="U128" s="2539"/>
    </row>
    <row r="129" spans="1:21" s="2581" customFormat="1" ht="12" hidden="1" customHeight="1" outlineLevel="1">
      <c r="A129" s="2541"/>
      <c r="B129" s="2628" t="s">
        <v>145</v>
      </c>
      <c r="C129" s="2629" t="s">
        <v>1658</v>
      </c>
      <c r="D129" s="2630"/>
      <c r="E129" s="2631"/>
      <c r="F129" s="2632"/>
      <c r="G129" s="2601" t="s">
        <v>1929</v>
      </c>
      <c r="H129" s="2601"/>
      <c r="I129" s="2601"/>
      <c r="J129" s="2601"/>
      <c r="K129" s="2601"/>
      <c r="L129" s="2601"/>
      <c r="M129" s="2602"/>
      <c r="N129" s="2603">
        <f t="shared" si="4"/>
        <v>0</v>
      </c>
      <c r="O129" s="2602"/>
      <c r="P129" s="2602"/>
      <c r="Q129" s="2602"/>
      <c r="R129" s="2602"/>
      <c r="S129" s="2602"/>
      <c r="T129" s="2496"/>
      <c r="U129" s="2539"/>
    </row>
    <row r="130" spans="1:21" s="2581" customFormat="1" ht="12" hidden="1" customHeight="1" outlineLevel="1">
      <c r="A130" s="2541"/>
      <c r="B130" s="2569" t="s">
        <v>145</v>
      </c>
      <c r="C130" s="2614" t="s">
        <v>1659</v>
      </c>
      <c r="D130" s="2576"/>
      <c r="E130" s="2626"/>
      <c r="F130" s="2627"/>
      <c r="G130" s="2584" t="s">
        <v>638</v>
      </c>
      <c r="H130" s="2584"/>
      <c r="I130" s="2584"/>
      <c r="J130" s="2584"/>
      <c r="K130" s="2584"/>
      <c r="L130" s="2584"/>
      <c r="M130" s="2585"/>
      <c r="N130" s="2586">
        <f t="shared" si="4"/>
        <v>0</v>
      </c>
      <c r="O130" s="2585"/>
      <c r="P130" s="2585"/>
      <c r="Q130" s="2585"/>
      <c r="R130" s="2585"/>
      <c r="S130" s="2585"/>
      <c r="T130" s="2496"/>
      <c r="U130" s="2539"/>
    </row>
    <row r="131" spans="1:21" s="2581" customFormat="1" ht="12" hidden="1" customHeight="1" outlineLevel="1">
      <c r="A131" s="2541"/>
      <c r="B131" s="2569" t="s">
        <v>145</v>
      </c>
      <c r="C131" s="2614" t="s">
        <v>2326</v>
      </c>
      <c r="D131" s="2576"/>
      <c r="E131" s="2626"/>
      <c r="F131" s="2627"/>
      <c r="G131" s="2584" t="s">
        <v>638</v>
      </c>
      <c r="H131" s="2584"/>
      <c r="I131" s="2584"/>
      <c r="J131" s="2584"/>
      <c r="K131" s="2584"/>
      <c r="L131" s="2584"/>
      <c r="M131" s="2585"/>
      <c r="N131" s="2586">
        <f t="shared" si="4"/>
        <v>0</v>
      </c>
      <c r="O131" s="2585"/>
      <c r="P131" s="2585"/>
      <c r="Q131" s="2585"/>
      <c r="R131" s="2585"/>
      <c r="S131" s="2585"/>
      <c r="T131" s="2496"/>
      <c r="U131" s="2539"/>
    </row>
    <row r="132" spans="1:21" s="2581" customFormat="1" ht="12" customHeight="1" outlineLevel="1" thickBot="1">
      <c r="A132" s="2556"/>
      <c r="B132" s="2563" t="s">
        <v>145</v>
      </c>
      <c r="C132" s="2633"/>
      <c r="D132" s="2591"/>
      <c r="E132" s="2607"/>
      <c r="F132" s="2608"/>
      <c r="G132" s="2592" t="s">
        <v>638</v>
      </c>
      <c r="H132" s="2620"/>
      <c r="I132" s="2596"/>
      <c r="J132" s="2692"/>
      <c r="K132" s="2692"/>
      <c r="L132" s="2692"/>
      <c r="M132" s="2609"/>
      <c r="N132" s="2610">
        <f t="shared" si="4"/>
        <v>0</v>
      </c>
      <c r="O132" s="2609"/>
      <c r="P132" s="2609"/>
      <c r="Q132" s="2609"/>
      <c r="R132" s="2609"/>
      <c r="S132" s="2609"/>
      <c r="T132" s="2496"/>
      <c r="U132" s="2539"/>
    </row>
    <row r="133" spans="1:21" ht="13.9" thickBot="1">
      <c r="A133" s="3205" t="s">
        <v>205</v>
      </c>
      <c r="B133" s="3206"/>
      <c r="C133" s="2532"/>
      <c r="D133" s="2533"/>
      <c r="E133" s="2533"/>
      <c r="F133" s="2534"/>
      <c r="G133" s="2533"/>
      <c r="H133" s="2533">
        <v>30000</v>
      </c>
      <c r="I133" s="2533">
        <v>30000</v>
      </c>
      <c r="J133" s="2533">
        <v>30000</v>
      </c>
      <c r="K133" s="2533">
        <v>30000</v>
      </c>
      <c r="L133" s="2533">
        <v>30000</v>
      </c>
      <c r="M133" s="2611">
        <f>SUM(M115:M132)</f>
        <v>30000</v>
      </c>
      <c r="N133" s="2612">
        <f t="shared" si="4"/>
        <v>0</v>
      </c>
      <c r="O133" s="2613"/>
      <c r="P133" s="2613">
        <f>SUM(P115:P117)</f>
        <v>0</v>
      </c>
      <c r="Q133" s="2613"/>
      <c r="R133" s="2613"/>
      <c r="S133" s="2613"/>
      <c r="T133" s="2538">
        <f>'Výdaje kapitol celkem'!BD69</f>
        <v>30000</v>
      </c>
      <c r="U133" s="2539">
        <f>+T133-M133</f>
        <v>0</v>
      </c>
    </row>
    <row r="134" spans="1:21" s="2581" customFormat="1" ht="12" customHeight="1" outlineLevel="1">
      <c r="A134" s="2606"/>
      <c r="B134" s="2524" t="s">
        <v>1542</v>
      </c>
      <c r="C134" s="2621" t="s">
        <v>2310</v>
      </c>
      <c r="D134" s="2576"/>
      <c r="E134" s="2576"/>
      <c r="F134" s="2577"/>
      <c r="G134" s="2576" t="s">
        <v>638</v>
      </c>
      <c r="H134" s="2576">
        <v>0</v>
      </c>
      <c r="I134" s="2576">
        <v>0</v>
      </c>
      <c r="J134" s="2576">
        <v>0</v>
      </c>
      <c r="K134" s="2576">
        <v>0</v>
      </c>
      <c r="L134" s="2576">
        <v>0</v>
      </c>
      <c r="M134" s="2580">
        <f>+[3]Sv.Š!$B$47</f>
        <v>0</v>
      </c>
      <c r="N134" s="2579">
        <f t="shared" si="4"/>
        <v>0</v>
      </c>
      <c r="O134" s="2580"/>
      <c r="P134" s="2580"/>
      <c r="Q134" s="2580"/>
      <c r="R134" s="2580"/>
      <c r="S134" s="2580"/>
      <c r="T134" s="2496"/>
      <c r="U134" s="2539"/>
    </row>
    <row r="135" spans="1:21" s="2581" customFormat="1" ht="12" customHeight="1" outlineLevel="1">
      <c r="A135" s="2574"/>
      <c r="B135" s="2524" t="s">
        <v>1542</v>
      </c>
      <c r="C135" s="2621" t="s">
        <v>2311</v>
      </c>
      <c r="D135" s="2576"/>
      <c r="E135" s="2576"/>
      <c r="F135" s="2577"/>
      <c r="G135" s="2576" t="s">
        <v>638</v>
      </c>
      <c r="H135" s="2576">
        <v>0</v>
      </c>
      <c r="I135" s="2576">
        <v>0</v>
      </c>
      <c r="J135" s="2576">
        <v>0</v>
      </c>
      <c r="K135" s="2576">
        <v>0</v>
      </c>
      <c r="L135" s="2576">
        <v>0</v>
      </c>
      <c r="M135" s="2580">
        <f>+[3]Sv.Š!$B$48</f>
        <v>0</v>
      </c>
      <c r="N135" s="2579">
        <f t="shared" ref="N135:N198" si="7">+M135-L135</f>
        <v>0</v>
      </c>
      <c r="O135" s="2580"/>
      <c r="P135" s="2580"/>
      <c r="Q135" s="2580"/>
      <c r="R135" s="2580"/>
      <c r="S135" s="2580"/>
      <c r="T135" s="2496"/>
      <c r="U135" s="2539"/>
    </row>
    <row r="136" spans="1:21" s="2581" customFormat="1" ht="12" customHeight="1" outlineLevel="1">
      <c r="A136" s="2574"/>
      <c r="B136" s="2524" t="s">
        <v>1542</v>
      </c>
      <c r="C136" s="2621" t="s">
        <v>2192</v>
      </c>
      <c r="D136" s="2576"/>
      <c r="E136" s="2576"/>
      <c r="F136" s="2577"/>
      <c r="G136" s="2576" t="s">
        <v>638</v>
      </c>
      <c r="H136" s="2576">
        <v>0</v>
      </c>
      <c r="I136" s="2576">
        <v>0</v>
      </c>
      <c r="J136" s="2576">
        <v>0</v>
      </c>
      <c r="K136" s="2576">
        <v>0</v>
      </c>
      <c r="L136" s="2576">
        <v>0</v>
      </c>
      <c r="M136" s="2580">
        <f>+[4]Sv.Š!$B$19</f>
        <v>0</v>
      </c>
      <c r="N136" s="2579">
        <f t="shared" si="7"/>
        <v>0</v>
      </c>
      <c r="O136" s="2580"/>
      <c r="P136" s="2580"/>
      <c r="Q136" s="2580"/>
      <c r="R136" s="2580"/>
      <c r="S136" s="2580"/>
      <c r="T136" s="2496"/>
      <c r="U136" s="2539"/>
    </row>
    <row r="137" spans="1:21" s="2581" customFormat="1" ht="12" customHeight="1" outlineLevel="1" thickBot="1">
      <c r="A137" s="2542" t="s">
        <v>1543</v>
      </c>
      <c r="B137" s="2563" t="s">
        <v>1542</v>
      </c>
      <c r="C137" s="2595" t="s">
        <v>2588</v>
      </c>
      <c r="D137" s="2591"/>
      <c r="E137" s="2607"/>
      <c r="F137" s="2608"/>
      <c r="G137" s="2591" t="s">
        <v>638</v>
      </c>
      <c r="H137" s="2591">
        <v>0</v>
      </c>
      <c r="I137" s="2591">
        <v>0</v>
      </c>
      <c r="J137" s="2591">
        <v>0</v>
      </c>
      <c r="K137" s="2591">
        <v>0</v>
      </c>
      <c r="L137" s="2591">
        <v>0</v>
      </c>
      <c r="M137" s="2593">
        <f>+[4]Sv.Š!$B$12</f>
        <v>0</v>
      </c>
      <c r="N137" s="2579">
        <f t="shared" si="7"/>
        <v>0</v>
      </c>
      <c r="O137" s="2593"/>
      <c r="P137" s="2593"/>
      <c r="Q137" s="2593"/>
      <c r="R137" s="2593"/>
      <c r="S137" s="2593"/>
      <c r="T137" s="2496"/>
      <c r="U137" s="2539"/>
    </row>
    <row r="138" spans="1:21" ht="13.9" thickBot="1">
      <c r="A138" s="3205" t="s">
        <v>2660</v>
      </c>
      <c r="B138" s="3206"/>
      <c r="C138" s="2532"/>
      <c r="D138" s="2533"/>
      <c r="E138" s="2533"/>
      <c r="F138" s="2534"/>
      <c r="G138" s="2533"/>
      <c r="H138" s="2533">
        <v>0</v>
      </c>
      <c r="I138" s="2533">
        <v>0</v>
      </c>
      <c r="J138" s="2533">
        <v>0</v>
      </c>
      <c r="K138" s="2533">
        <v>0</v>
      </c>
      <c r="L138" s="2533">
        <v>0</v>
      </c>
      <c r="M138" s="2535">
        <f>SUM(M134:M137)</f>
        <v>0</v>
      </c>
      <c r="N138" s="2536">
        <f t="shared" si="7"/>
        <v>0</v>
      </c>
      <c r="O138" s="2537"/>
      <c r="P138" s="2537">
        <f>SUM(P134:P137)</f>
        <v>0</v>
      </c>
      <c r="Q138" s="2537"/>
      <c r="R138" s="2537"/>
      <c r="S138" s="2537"/>
      <c r="T138" s="2538">
        <f>+'Výdaje kapitol celkem'!BG69</f>
        <v>0</v>
      </c>
      <c r="U138" s="2539">
        <f>+T138-M138</f>
        <v>0</v>
      </c>
    </row>
    <row r="139" spans="1:21" s="2581" customFormat="1" ht="12" customHeight="1" outlineLevel="1">
      <c r="A139" s="2574"/>
      <c r="B139" s="2588" t="s">
        <v>490</v>
      </c>
      <c r="C139" s="2575"/>
      <c r="D139" s="2576"/>
      <c r="E139" s="2576"/>
      <c r="F139" s="2577"/>
      <c r="G139" s="2576" t="s">
        <v>638</v>
      </c>
      <c r="H139" s="2576">
        <v>0</v>
      </c>
      <c r="I139" s="2576">
        <v>0</v>
      </c>
      <c r="J139" s="2576">
        <v>0</v>
      </c>
      <c r="K139" s="2576">
        <v>0</v>
      </c>
      <c r="L139" s="2576">
        <v>0</v>
      </c>
      <c r="M139" s="2527">
        <f>+'[4]Č.p. 65'!$B$4</f>
        <v>0</v>
      </c>
      <c r="N139" s="2528">
        <f t="shared" si="7"/>
        <v>0</v>
      </c>
      <c r="O139" s="2527"/>
      <c r="P139" s="2527"/>
      <c r="Q139" s="2527"/>
      <c r="R139" s="2527"/>
      <c r="S139" s="2527"/>
      <c r="T139" s="2496"/>
      <c r="U139" s="2539"/>
    </row>
    <row r="140" spans="1:21" s="2581" customFormat="1" ht="12" customHeight="1" outlineLevel="1">
      <c r="A140" s="2574"/>
      <c r="B140" s="2588" t="s">
        <v>490</v>
      </c>
      <c r="C140" s="2575"/>
      <c r="D140" s="2576"/>
      <c r="E140" s="2576"/>
      <c r="F140" s="2577"/>
      <c r="G140" s="2576" t="s">
        <v>638</v>
      </c>
      <c r="H140" s="2576">
        <v>0</v>
      </c>
      <c r="I140" s="2576">
        <v>0</v>
      </c>
      <c r="J140" s="2576">
        <v>0</v>
      </c>
      <c r="K140" s="2576">
        <v>0</v>
      </c>
      <c r="L140" s="2576">
        <v>0</v>
      </c>
      <c r="M140" s="2527">
        <f>+'[4]Č.p. 65'!$B$5</f>
        <v>0</v>
      </c>
      <c r="N140" s="2528">
        <f t="shared" si="7"/>
        <v>0</v>
      </c>
      <c r="O140" s="2527"/>
      <c r="P140" s="2527"/>
      <c r="Q140" s="2527"/>
      <c r="R140" s="2527"/>
      <c r="S140" s="2527"/>
      <c r="T140" s="2496"/>
      <c r="U140" s="2539"/>
    </row>
    <row r="141" spans="1:21" s="2581" customFormat="1" ht="12" customHeight="1" outlineLevel="1" thickBot="1">
      <c r="A141" s="2634">
        <v>3114</v>
      </c>
      <c r="B141" s="2590" t="s">
        <v>490</v>
      </c>
      <c r="C141" s="2595"/>
      <c r="D141" s="2591"/>
      <c r="E141" s="2591"/>
      <c r="F141" s="2592"/>
      <c r="G141" s="2591" t="s">
        <v>638</v>
      </c>
      <c r="H141" s="2591"/>
      <c r="I141" s="2591"/>
      <c r="J141" s="2591"/>
      <c r="K141" s="2591"/>
      <c r="L141" s="2591"/>
      <c r="M141" s="2567"/>
      <c r="N141" s="2568">
        <f t="shared" si="7"/>
        <v>0</v>
      </c>
      <c r="O141" s="2567"/>
      <c r="P141" s="2567"/>
      <c r="Q141" s="2567"/>
      <c r="R141" s="2567"/>
      <c r="S141" s="2567"/>
      <c r="T141" s="2496"/>
      <c r="U141" s="2539"/>
    </row>
    <row r="142" spans="1:21" ht="13.9" thickBot="1">
      <c r="A142" s="3205" t="s">
        <v>626</v>
      </c>
      <c r="B142" s="3206"/>
      <c r="C142" s="2532"/>
      <c r="D142" s="2533"/>
      <c r="E142" s="2533"/>
      <c r="F142" s="2534"/>
      <c r="G142" s="2533"/>
      <c r="H142" s="2533">
        <v>0</v>
      </c>
      <c r="I142" s="2533">
        <v>0</v>
      </c>
      <c r="J142" s="2533">
        <v>0</v>
      </c>
      <c r="K142" s="2533">
        <v>0</v>
      </c>
      <c r="L142" s="2533">
        <v>0</v>
      </c>
      <c r="M142" s="2535">
        <f>SUM(M139:M141)</f>
        <v>0</v>
      </c>
      <c r="N142" s="2536">
        <f t="shared" si="7"/>
        <v>0</v>
      </c>
      <c r="O142" s="2537"/>
      <c r="P142" s="2537">
        <f>SUM(P139:P141)</f>
        <v>0</v>
      </c>
      <c r="Q142" s="2537"/>
      <c r="R142" s="2537"/>
      <c r="S142" s="2537"/>
      <c r="T142" s="2538">
        <f>'Výdaje kapitol celkem'!BJ69</f>
        <v>0</v>
      </c>
      <c r="U142" s="2539">
        <f>+T142-M142</f>
        <v>0</v>
      </c>
    </row>
    <row r="143" spans="1:21" s="2581" customFormat="1" ht="13.5" outlineLevel="1">
      <c r="A143" s="2574"/>
      <c r="B143" s="2588" t="s">
        <v>148</v>
      </c>
      <c r="C143" s="2575" t="s">
        <v>1660</v>
      </c>
      <c r="D143" s="2576"/>
      <c r="E143" s="2576"/>
      <c r="F143" s="2577"/>
      <c r="G143" s="2576" t="s">
        <v>638</v>
      </c>
      <c r="H143" s="2576"/>
      <c r="I143" s="2576"/>
      <c r="J143" s="2576"/>
      <c r="K143" s="2576"/>
      <c r="L143" s="2576"/>
      <c r="M143" s="2527"/>
      <c r="N143" s="2528">
        <f t="shared" si="7"/>
        <v>0</v>
      </c>
      <c r="O143" s="2527"/>
      <c r="P143" s="2527"/>
      <c r="Q143" s="2527"/>
      <c r="R143" s="2527"/>
      <c r="S143" s="2527"/>
      <c r="T143" s="2496"/>
      <c r="U143" s="2539"/>
    </row>
    <row r="144" spans="1:21" s="2581" customFormat="1" ht="13.5" outlineLevel="1">
      <c r="A144" s="2574"/>
      <c r="B144" s="2588" t="s">
        <v>148</v>
      </c>
      <c r="C144" s="2575" t="s">
        <v>2431</v>
      </c>
      <c r="D144" s="2576"/>
      <c r="E144" s="2576"/>
      <c r="F144" s="2577"/>
      <c r="G144" s="2576"/>
      <c r="H144" s="2576"/>
      <c r="I144" s="2576"/>
      <c r="J144" s="2576"/>
      <c r="K144" s="2576"/>
      <c r="L144" s="2576"/>
      <c r="M144" s="2527"/>
      <c r="N144" s="2528">
        <f t="shared" si="7"/>
        <v>0</v>
      </c>
      <c r="O144" s="2527"/>
      <c r="P144" s="2527"/>
      <c r="Q144" s="2527"/>
      <c r="R144" s="2527"/>
      <c r="S144" s="2527"/>
      <c r="T144" s="2496"/>
      <c r="U144" s="2539"/>
    </row>
    <row r="145" spans="1:21" s="2581" customFormat="1" ht="13.5" outlineLevel="1">
      <c r="A145" s="2574"/>
      <c r="B145" s="2588" t="s">
        <v>148</v>
      </c>
      <c r="C145" s="2575" t="s">
        <v>2847</v>
      </c>
      <c r="D145" s="2576"/>
      <c r="E145" s="2576"/>
      <c r="F145" s="2577"/>
      <c r="G145" s="2576"/>
      <c r="H145" s="2576"/>
      <c r="I145" s="2576"/>
      <c r="J145" s="2576"/>
      <c r="K145" s="2576"/>
      <c r="L145" s="2576">
        <v>200000</v>
      </c>
      <c r="M145" s="2527">
        <f>+'[3]MŠ Kollárova'!$B$22</f>
        <v>200000</v>
      </c>
      <c r="N145" s="2528">
        <f t="shared" si="7"/>
        <v>0</v>
      </c>
      <c r="O145" s="2527"/>
      <c r="P145" s="2527"/>
      <c r="Q145" s="2527"/>
      <c r="R145" s="2527"/>
      <c r="S145" s="2527"/>
      <c r="T145" s="2496"/>
      <c r="U145" s="2539"/>
    </row>
    <row r="146" spans="1:21" s="2581" customFormat="1" ht="13.5" outlineLevel="1">
      <c r="A146" s="2574"/>
      <c r="B146" s="2635" t="s">
        <v>148</v>
      </c>
      <c r="C146" s="2636" t="s">
        <v>1646</v>
      </c>
      <c r="D146" s="2630"/>
      <c r="E146" s="2630"/>
      <c r="F146" s="2637"/>
      <c r="G146" s="2630" t="s">
        <v>4</v>
      </c>
      <c r="H146" s="2630"/>
      <c r="I146" s="2630"/>
      <c r="J146" s="2630"/>
      <c r="K146" s="2630"/>
      <c r="L146" s="2630"/>
      <c r="M146" s="2638"/>
      <c r="N146" s="2639">
        <f t="shared" si="7"/>
        <v>0</v>
      </c>
      <c r="O146" s="2638"/>
      <c r="P146" s="2638"/>
      <c r="Q146" s="2638"/>
      <c r="R146" s="2638"/>
      <c r="S146" s="2638"/>
      <c r="T146" s="2496"/>
      <c r="U146" s="2539"/>
    </row>
    <row r="147" spans="1:21" s="2581" customFormat="1" ht="13.5" outlineLevel="1">
      <c r="A147" s="2574"/>
      <c r="B147" s="2588" t="s">
        <v>148</v>
      </c>
      <c r="C147" s="2575" t="s">
        <v>1661</v>
      </c>
      <c r="D147" s="2576"/>
      <c r="E147" s="2576"/>
      <c r="F147" s="2577"/>
      <c r="G147" s="2576" t="s">
        <v>638</v>
      </c>
      <c r="H147" s="2576"/>
      <c r="I147" s="2576"/>
      <c r="J147" s="2576"/>
      <c r="K147" s="2576"/>
      <c r="L147" s="2576"/>
      <c r="M147" s="2527"/>
      <c r="N147" s="2528">
        <f t="shared" si="7"/>
        <v>0</v>
      </c>
      <c r="O147" s="2527"/>
      <c r="P147" s="2527"/>
      <c r="Q147" s="2527"/>
      <c r="R147" s="2527"/>
      <c r="S147" s="2527"/>
      <c r="T147" s="2496"/>
      <c r="U147" s="2539"/>
    </row>
    <row r="148" spans="1:21" s="2581" customFormat="1" ht="13.5" outlineLevel="1">
      <c r="A148" s="2574"/>
      <c r="B148" s="2588" t="s">
        <v>148</v>
      </c>
      <c r="C148" s="2575" t="s">
        <v>1662</v>
      </c>
      <c r="D148" s="2576"/>
      <c r="E148" s="2576"/>
      <c r="F148" s="2577"/>
      <c r="G148" s="2576" t="s">
        <v>638</v>
      </c>
      <c r="H148" s="2576"/>
      <c r="I148" s="2576"/>
      <c r="J148" s="2576"/>
      <c r="K148" s="2576"/>
      <c r="L148" s="2576"/>
      <c r="M148" s="2527"/>
      <c r="N148" s="2528">
        <f t="shared" si="7"/>
        <v>0</v>
      </c>
      <c r="O148" s="2527"/>
      <c r="P148" s="2527"/>
      <c r="Q148" s="2527"/>
      <c r="R148" s="2527"/>
      <c r="S148" s="2527"/>
      <c r="T148" s="2496"/>
      <c r="U148" s="2539"/>
    </row>
    <row r="149" spans="1:21" s="2581" customFormat="1" ht="13.5" outlineLevel="1">
      <c r="A149" s="2574"/>
      <c r="B149" s="2588" t="s">
        <v>148</v>
      </c>
      <c r="C149" s="2575" t="s">
        <v>1663</v>
      </c>
      <c r="D149" s="2576"/>
      <c r="E149" s="2576"/>
      <c r="F149" s="2577"/>
      <c r="G149" s="2576" t="s">
        <v>638</v>
      </c>
      <c r="H149" s="2576"/>
      <c r="I149" s="2576"/>
      <c r="J149" s="2576"/>
      <c r="K149" s="2576"/>
      <c r="L149" s="2576"/>
      <c r="M149" s="2527"/>
      <c r="N149" s="2528">
        <f t="shared" si="7"/>
        <v>0</v>
      </c>
      <c r="O149" s="2527"/>
      <c r="P149" s="2527"/>
      <c r="Q149" s="2527"/>
      <c r="R149" s="2527"/>
      <c r="S149" s="2527"/>
      <c r="T149" s="2496"/>
      <c r="U149" s="2539"/>
    </row>
    <row r="150" spans="1:21" s="2581" customFormat="1" ht="13.5" outlineLevel="1">
      <c r="A150" s="2574"/>
      <c r="B150" s="2588" t="s">
        <v>148</v>
      </c>
      <c r="C150" s="2575" t="s">
        <v>1664</v>
      </c>
      <c r="D150" s="2576"/>
      <c r="E150" s="2576"/>
      <c r="F150" s="2577"/>
      <c r="G150" s="2576" t="s">
        <v>638</v>
      </c>
      <c r="H150" s="2576"/>
      <c r="I150" s="2576"/>
      <c r="J150" s="2576"/>
      <c r="K150" s="2576"/>
      <c r="L150" s="2576"/>
      <c r="M150" s="2527"/>
      <c r="N150" s="2528">
        <f t="shared" si="7"/>
        <v>0</v>
      </c>
      <c r="O150" s="2527"/>
      <c r="P150" s="2527"/>
      <c r="Q150" s="2527"/>
      <c r="R150" s="2527"/>
      <c r="S150" s="2527"/>
      <c r="T150" s="2496"/>
      <c r="U150" s="2539"/>
    </row>
    <row r="151" spans="1:21" s="2581" customFormat="1" ht="13.5" outlineLevel="1">
      <c r="A151" s="2574"/>
      <c r="B151" s="2587" t="s">
        <v>148</v>
      </c>
      <c r="C151" s="2582" t="s">
        <v>1665</v>
      </c>
      <c r="D151" s="2583"/>
      <c r="E151" s="2622"/>
      <c r="F151" s="2640"/>
      <c r="G151" s="2583" t="s">
        <v>638</v>
      </c>
      <c r="H151" s="2576"/>
      <c r="I151" s="2576"/>
      <c r="J151" s="2576"/>
      <c r="K151" s="2576"/>
      <c r="L151" s="2576"/>
      <c r="M151" s="2527"/>
      <c r="N151" s="2641">
        <f t="shared" si="7"/>
        <v>0</v>
      </c>
      <c r="O151" s="2642"/>
      <c r="P151" s="2642"/>
      <c r="Q151" s="2642"/>
      <c r="R151" s="2642"/>
      <c r="S151" s="2642"/>
      <c r="T151" s="2496"/>
      <c r="U151" s="2539"/>
    </row>
    <row r="152" spans="1:21" s="2581" customFormat="1" ht="13.5" outlineLevel="1">
      <c r="A152" s="2574"/>
      <c r="B152" s="2588" t="s">
        <v>148</v>
      </c>
      <c r="C152" s="2575" t="s">
        <v>1666</v>
      </c>
      <c r="D152" s="2576"/>
      <c r="E152" s="2626"/>
      <c r="F152" s="2643"/>
      <c r="G152" s="2576" t="s">
        <v>638</v>
      </c>
      <c r="H152" s="2576"/>
      <c r="I152" s="2576"/>
      <c r="J152" s="2576"/>
      <c r="K152" s="2576"/>
      <c r="L152" s="2576"/>
      <c r="M152" s="2527"/>
      <c r="N152" s="2644">
        <f t="shared" si="7"/>
        <v>0</v>
      </c>
      <c r="O152" s="2530"/>
      <c r="P152" s="2530"/>
      <c r="Q152" s="2530"/>
      <c r="R152" s="2530"/>
      <c r="S152" s="2530"/>
      <c r="T152" s="2496"/>
      <c r="U152" s="2539"/>
    </row>
    <row r="153" spans="1:21" s="2581" customFormat="1" ht="13.9" outlineLevel="1" thickBot="1">
      <c r="A153" s="2634" t="s">
        <v>1667</v>
      </c>
      <c r="B153" s="2590" t="s">
        <v>148</v>
      </c>
      <c r="C153" s="2595" t="s">
        <v>1668</v>
      </c>
      <c r="D153" s="2591"/>
      <c r="E153" s="2607"/>
      <c r="F153" s="2608"/>
      <c r="G153" s="2591"/>
      <c r="H153" s="2617"/>
      <c r="I153" s="2617"/>
      <c r="J153" s="2617"/>
      <c r="K153" s="2617"/>
      <c r="L153" s="2617"/>
      <c r="M153" s="2527"/>
      <c r="N153" s="2645">
        <f t="shared" si="7"/>
        <v>0</v>
      </c>
      <c r="O153" s="2646"/>
      <c r="P153" s="2646"/>
      <c r="Q153" s="2646"/>
      <c r="R153" s="2646"/>
      <c r="S153" s="2646"/>
      <c r="T153" s="2496"/>
      <c r="U153" s="2539"/>
    </row>
    <row r="154" spans="1:21" ht="13.9" thickBot="1">
      <c r="A154" s="3205" t="s">
        <v>627</v>
      </c>
      <c r="B154" s="3206"/>
      <c r="C154" s="2532"/>
      <c r="D154" s="2533"/>
      <c r="E154" s="2533"/>
      <c r="F154" s="2534"/>
      <c r="G154" s="2533"/>
      <c r="H154" s="2533">
        <v>0</v>
      </c>
      <c r="I154" s="2533">
        <v>0</v>
      </c>
      <c r="J154" s="2533">
        <v>0</v>
      </c>
      <c r="K154" s="2533">
        <v>0</v>
      </c>
      <c r="L154" s="2533">
        <v>200000</v>
      </c>
      <c r="M154" s="2535">
        <f>SUM(M143:M153)</f>
        <v>200000</v>
      </c>
      <c r="N154" s="2536">
        <f t="shared" si="7"/>
        <v>0</v>
      </c>
      <c r="O154" s="2537"/>
      <c r="P154" s="2537">
        <f t="shared" ref="P154" si="8">SUM(P143:P151)</f>
        <v>0</v>
      </c>
      <c r="Q154" s="2537"/>
      <c r="R154" s="2537"/>
      <c r="S154" s="2537"/>
      <c r="T154" s="2538">
        <f>'Výdaje kapitol celkem'!BS69</f>
        <v>200000</v>
      </c>
      <c r="U154" s="2539">
        <f>+T154-M154</f>
        <v>0</v>
      </c>
    </row>
    <row r="155" spans="1:21" s="2581" customFormat="1" ht="12" customHeight="1" outlineLevel="1">
      <c r="A155" s="2541"/>
      <c r="B155" s="2524" t="s">
        <v>1133</v>
      </c>
      <c r="C155" s="2575" t="s">
        <v>2846</v>
      </c>
      <c r="D155" s="2576"/>
      <c r="E155" s="2576"/>
      <c r="F155" s="2577"/>
      <c r="G155" s="2576" t="s">
        <v>638</v>
      </c>
      <c r="H155" s="2576">
        <v>770000</v>
      </c>
      <c r="I155" s="2576">
        <v>770000</v>
      </c>
      <c r="J155" s="2576">
        <v>770000</v>
      </c>
      <c r="K155" s="2576">
        <v>770000</v>
      </c>
      <c r="L155" s="2576">
        <v>770000</v>
      </c>
      <c r="M155" s="2527">
        <f>+'[4]MŠ Pražská'!$B$4</f>
        <v>770000</v>
      </c>
      <c r="N155" s="2528">
        <f t="shared" si="7"/>
        <v>0</v>
      </c>
      <c r="O155" s="2527"/>
      <c r="P155" s="2527"/>
      <c r="Q155" s="2527"/>
      <c r="R155" s="2527"/>
      <c r="S155" s="2527"/>
      <c r="T155" s="2496"/>
      <c r="U155" s="2539"/>
    </row>
    <row r="156" spans="1:21" s="2581" customFormat="1" ht="12" customHeight="1" outlineLevel="1">
      <c r="A156" s="2541"/>
      <c r="B156" s="2524" t="s">
        <v>1133</v>
      </c>
      <c r="C156" s="2575" t="s">
        <v>2192</v>
      </c>
      <c r="D156" s="2576"/>
      <c r="E156" s="2576"/>
      <c r="F156" s="2577"/>
      <c r="G156" s="2576" t="s">
        <v>638</v>
      </c>
      <c r="H156" s="2576">
        <v>0</v>
      </c>
      <c r="I156" s="2576">
        <v>0</v>
      </c>
      <c r="J156" s="2576">
        <v>0</v>
      </c>
      <c r="K156" s="2576">
        <v>0</v>
      </c>
      <c r="L156" s="2576">
        <v>10000</v>
      </c>
      <c r="M156" s="2527">
        <f>+'[4]MŠ Pražská'!$B$5</f>
        <v>10000</v>
      </c>
      <c r="N156" s="2528">
        <f t="shared" si="7"/>
        <v>0</v>
      </c>
      <c r="O156" s="2527"/>
      <c r="P156" s="2527"/>
      <c r="Q156" s="2527"/>
      <c r="R156" s="2527"/>
      <c r="S156" s="2527"/>
      <c r="T156" s="2496"/>
      <c r="U156" s="2539"/>
    </row>
    <row r="157" spans="1:21" s="2581" customFormat="1" ht="12" customHeight="1" outlineLevel="1" thickBot="1">
      <c r="A157" s="2542" t="s">
        <v>193</v>
      </c>
      <c r="B157" s="2647" t="s">
        <v>1133</v>
      </c>
      <c r="C157" s="2604"/>
      <c r="D157" s="2596"/>
      <c r="E157" s="2596"/>
      <c r="F157" s="2605"/>
      <c r="G157" s="2596"/>
      <c r="H157" s="2596"/>
      <c r="I157" s="2596"/>
      <c r="J157" s="2596"/>
      <c r="K157" s="2596"/>
      <c r="L157" s="2596"/>
      <c r="M157" s="2546"/>
      <c r="N157" s="2547">
        <f t="shared" si="7"/>
        <v>0</v>
      </c>
      <c r="O157" s="2546"/>
      <c r="P157" s="2546"/>
      <c r="Q157" s="2546"/>
      <c r="R157" s="2546"/>
      <c r="S157" s="2546"/>
      <c r="T157" s="2496"/>
      <c r="U157" s="2539"/>
    </row>
    <row r="158" spans="1:21" ht="13.9" thickBot="1">
      <c r="A158" s="3205" t="s">
        <v>1132</v>
      </c>
      <c r="B158" s="3206"/>
      <c r="C158" s="2532"/>
      <c r="D158" s="2533"/>
      <c r="E158" s="2533"/>
      <c r="F158" s="2534"/>
      <c r="G158" s="2533"/>
      <c r="H158" s="2533">
        <v>770000</v>
      </c>
      <c r="I158" s="2533">
        <v>770000</v>
      </c>
      <c r="J158" s="2533">
        <v>770000</v>
      </c>
      <c r="K158" s="2533">
        <v>770000</v>
      </c>
      <c r="L158" s="2533">
        <v>780000</v>
      </c>
      <c r="M158" s="2535">
        <f>SUM(M155:M157)</f>
        <v>780000</v>
      </c>
      <c r="N158" s="2536">
        <f t="shared" si="7"/>
        <v>0</v>
      </c>
      <c r="O158" s="2537"/>
      <c r="P158" s="2537">
        <f>SUM(P155:P157)</f>
        <v>0</v>
      </c>
      <c r="Q158" s="2537"/>
      <c r="R158" s="2537"/>
      <c r="S158" s="2537"/>
      <c r="T158" s="2538">
        <f>'Výdaje kapitol celkem'!BP58+'Výdaje kapitol celkem'!BP59</f>
        <v>780000</v>
      </c>
      <c r="U158" s="2539">
        <f>+T158-M158</f>
        <v>0</v>
      </c>
    </row>
    <row r="159" spans="1:21" s="2581" customFormat="1" ht="12" customHeight="1" outlineLevel="1">
      <c r="A159" s="2541"/>
      <c r="B159" s="2524" t="s">
        <v>261</v>
      </c>
      <c r="C159" s="2575" t="s">
        <v>2195</v>
      </c>
      <c r="D159" s="2576"/>
      <c r="E159" s="2576"/>
      <c r="F159" s="2577"/>
      <c r="G159" s="2576" t="s">
        <v>638</v>
      </c>
      <c r="H159" s="2576">
        <v>0</v>
      </c>
      <c r="I159" s="2576">
        <v>0</v>
      </c>
      <c r="J159" s="2576">
        <v>0</v>
      </c>
      <c r="K159" s="2576">
        <v>0</v>
      </c>
      <c r="L159" s="2576">
        <v>0</v>
      </c>
      <c r="M159" s="2527">
        <f>+'[4]Jídelna ZŠ'!$B$3</f>
        <v>0</v>
      </c>
      <c r="N159" s="2528">
        <f t="shared" si="7"/>
        <v>0</v>
      </c>
      <c r="O159" s="2527"/>
      <c r="P159" s="2527"/>
      <c r="Q159" s="2527"/>
      <c r="R159" s="2527"/>
      <c r="S159" s="2527"/>
      <c r="T159" s="2496"/>
      <c r="U159" s="2539"/>
    </row>
    <row r="160" spans="1:21" s="2581" customFormat="1" ht="12" customHeight="1" outlineLevel="1">
      <c r="A160" s="2541"/>
      <c r="B160" s="2524" t="s">
        <v>261</v>
      </c>
      <c r="C160" s="2575" t="s">
        <v>2196</v>
      </c>
      <c r="D160" s="2576"/>
      <c r="E160" s="2576"/>
      <c r="F160" s="2577"/>
      <c r="G160" s="2576" t="s">
        <v>638</v>
      </c>
      <c r="H160" s="2576">
        <v>0</v>
      </c>
      <c r="I160" s="2576">
        <v>0</v>
      </c>
      <c r="J160" s="2576">
        <v>0</v>
      </c>
      <c r="K160" s="2576">
        <v>0</v>
      </c>
      <c r="L160" s="2576">
        <v>0</v>
      </c>
      <c r="M160" s="2527">
        <f>+'[4]Jídelna ZŠ'!$B$4</f>
        <v>0</v>
      </c>
      <c r="N160" s="2528">
        <f t="shared" si="7"/>
        <v>0</v>
      </c>
      <c r="O160" s="2527"/>
      <c r="P160" s="2527"/>
      <c r="Q160" s="2527"/>
      <c r="R160" s="2527"/>
      <c r="S160" s="2527"/>
      <c r="T160" s="2496"/>
      <c r="U160" s="2539"/>
    </row>
    <row r="161" spans="1:21" s="2581" customFormat="1" ht="12" customHeight="1" outlineLevel="1">
      <c r="A161" s="2541"/>
      <c r="B161" s="2569" t="s">
        <v>261</v>
      </c>
      <c r="C161" s="2582" t="s">
        <v>1666</v>
      </c>
      <c r="D161" s="2583"/>
      <c r="E161" s="2583"/>
      <c r="F161" s="2584"/>
      <c r="G161" s="2583" t="s">
        <v>638</v>
      </c>
      <c r="H161" s="2583">
        <v>0</v>
      </c>
      <c r="I161" s="2583">
        <v>0</v>
      </c>
      <c r="J161" s="2583">
        <v>0</v>
      </c>
      <c r="K161" s="2583">
        <v>0</v>
      </c>
      <c r="L161" s="2583">
        <v>0</v>
      </c>
      <c r="M161" s="2573">
        <f>+'[4]Jídelna ZŠ'!$B$14</f>
        <v>0</v>
      </c>
      <c r="N161" s="2648">
        <f t="shared" si="7"/>
        <v>0</v>
      </c>
      <c r="O161" s="2573"/>
      <c r="P161" s="2573"/>
      <c r="Q161" s="2573"/>
      <c r="R161" s="2573"/>
      <c r="S161" s="2573"/>
      <c r="T161" s="2496"/>
      <c r="U161" s="2539"/>
    </row>
    <row r="162" spans="1:21" s="2581" customFormat="1" ht="12" customHeight="1" outlineLevel="1">
      <c r="A162" s="2541"/>
      <c r="B162" s="2616" t="s">
        <v>261</v>
      </c>
      <c r="C162" s="2649" t="s">
        <v>1668</v>
      </c>
      <c r="D162" s="2617"/>
      <c r="E162" s="2617"/>
      <c r="F162" s="2620"/>
      <c r="G162" s="2617" t="s">
        <v>638</v>
      </c>
      <c r="H162" s="2617">
        <v>0</v>
      </c>
      <c r="I162" s="2617">
        <v>0</v>
      </c>
      <c r="J162" s="2617">
        <v>0</v>
      </c>
      <c r="K162" s="2617">
        <v>0</v>
      </c>
      <c r="L162" s="2617">
        <v>0</v>
      </c>
      <c r="M162" s="2650">
        <f>+'[4]Jídelna ZŠ'!$B$15</f>
        <v>0</v>
      </c>
      <c r="N162" s="2651">
        <f t="shared" si="7"/>
        <v>0</v>
      </c>
      <c r="O162" s="2650"/>
      <c r="P162" s="2650"/>
      <c r="Q162" s="2650"/>
      <c r="R162" s="2650"/>
      <c r="S162" s="2650"/>
      <c r="T162" s="2496"/>
      <c r="U162" s="2539"/>
    </row>
    <row r="163" spans="1:21" s="2581" customFormat="1" ht="12" customHeight="1" outlineLevel="1">
      <c r="A163" s="2541"/>
      <c r="B163" s="2569" t="s">
        <v>261</v>
      </c>
      <c r="C163" s="2582" t="s">
        <v>2197</v>
      </c>
      <c r="D163" s="2583"/>
      <c r="E163" s="2583"/>
      <c r="F163" s="2584"/>
      <c r="G163" s="2583" t="s">
        <v>638</v>
      </c>
      <c r="H163" s="2583">
        <v>0</v>
      </c>
      <c r="I163" s="2583">
        <v>0</v>
      </c>
      <c r="J163" s="2583">
        <v>0</v>
      </c>
      <c r="K163" s="2583">
        <v>0</v>
      </c>
      <c r="L163" s="2583">
        <v>0</v>
      </c>
      <c r="M163" s="2573">
        <f>+'[4]Jídelna ZŠ'!$B$25</f>
        <v>0</v>
      </c>
      <c r="N163" s="2648">
        <f t="shared" si="7"/>
        <v>0</v>
      </c>
      <c r="O163" s="2573"/>
      <c r="P163" s="2573"/>
      <c r="Q163" s="2573"/>
      <c r="R163" s="2573"/>
      <c r="S163" s="2573"/>
      <c r="T163" s="2496"/>
      <c r="U163" s="2539"/>
    </row>
    <row r="164" spans="1:21" s="2581" customFormat="1" ht="12" customHeight="1" outlineLevel="1" thickBot="1">
      <c r="A164" s="2542" t="s">
        <v>620</v>
      </c>
      <c r="B164" s="2563" t="s">
        <v>261</v>
      </c>
      <c r="C164" s="2595" t="s">
        <v>2198</v>
      </c>
      <c r="D164" s="2591"/>
      <c r="E164" s="2591"/>
      <c r="F164" s="2592"/>
      <c r="G164" s="2591" t="s">
        <v>638</v>
      </c>
      <c r="H164" s="2591">
        <v>0</v>
      </c>
      <c r="I164" s="2591">
        <v>0</v>
      </c>
      <c r="J164" s="2591">
        <v>0</v>
      </c>
      <c r="K164" s="2591">
        <v>0</v>
      </c>
      <c r="L164" s="2591">
        <v>0</v>
      </c>
      <c r="M164" s="2567">
        <f>+'[4]Jídelna ZŠ'!$B$26</f>
        <v>0</v>
      </c>
      <c r="N164" s="2568">
        <f t="shared" si="7"/>
        <v>0</v>
      </c>
      <c r="O164" s="2567"/>
      <c r="P164" s="2567"/>
      <c r="Q164" s="2567"/>
      <c r="R164" s="2567"/>
      <c r="S164" s="2567"/>
      <c r="T164" s="2496"/>
      <c r="U164" s="2539"/>
    </row>
    <row r="165" spans="1:21" ht="13.9" thickBot="1">
      <c r="A165" s="3205" t="s">
        <v>628</v>
      </c>
      <c r="B165" s="3206"/>
      <c r="C165" s="2532"/>
      <c r="D165" s="2533"/>
      <c r="E165" s="2533"/>
      <c r="F165" s="2534"/>
      <c r="G165" s="2533"/>
      <c r="H165" s="2533"/>
      <c r="I165" s="2533"/>
      <c r="J165" s="2533"/>
      <c r="K165" s="2533"/>
      <c r="L165" s="2533"/>
      <c r="M165" s="2535"/>
      <c r="N165" s="2536">
        <f t="shared" si="7"/>
        <v>0</v>
      </c>
      <c r="O165" s="2537"/>
      <c r="P165" s="2537">
        <f>SUM(P159:P164)</f>
        <v>0</v>
      </c>
      <c r="Q165" s="2537"/>
      <c r="R165" s="2537"/>
      <c r="S165" s="2537"/>
      <c r="T165" s="2538">
        <f>'Výdaje kapitol celkem'!BV69</f>
        <v>0</v>
      </c>
      <c r="U165" s="2539">
        <f>+T165-M165</f>
        <v>0</v>
      </c>
    </row>
    <row r="166" spans="1:21" s="2581" customFormat="1" ht="12" customHeight="1" outlineLevel="1">
      <c r="A166" s="2541"/>
      <c r="B166" s="2652" t="s">
        <v>491</v>
      </c>
      <c r="C166" s="2653" t="s">
        <v>1660</v>
      </c>
      <c r="D166" s="2576"/>
      <c r="E166" s="2576"/>
      <c r="F166" s="2577"/>
      <c r="G166" s="2576" t="s">
        <v>638</v>
      </c>
      <c r="H166" s="2980">
        <v>300000</v>
      </c>
      <c r="I166" s="2980">
        <v>300000</v>
      </c>
      <c r="J166" s="2980">
        <v>300000</v>
      </c>
      <c r="K166" s="2980">
        <v>300000</v>
      </c>
      <c r="L166" s="2980">
        <v>300000</v>
      </c>
      <c r="M166" s="2654">
        <f>+'[4]MŠ Cukrovar'!$B$7</f>
        <v>300000</v>
      </c>
      <c r="N166" s="3077">
        <f t="shared" si="7"/>
        <v>0</v>
      </c>
      <c r="O166" s="2654">
        <f>+M166</f>
        <v>300000</v>
      </c>
      <c r="P166" s="2654"/>
      <c r="Q166" s="2654"/>
      <c r="R166" s="2654"/>
      <c r="S166" s="2654"/>
      <c r="T166" s="2496"/>
      <c r="U166" s="2539"/>
    </row>
    <row r="167" spans="1:21" s="2581" customFormat="1" ht="12" hidden="1" customHeight="1" outlineLevel="1">
      <c r="A167" s="2541"/>
      <c r="B167" s="2655" t="s">
        <v>491</v>
      </c>
      <c r="C167" s="2575" t="s">
        <v>2431</v>
      </c>
      <c r="D167" s="2576"/>
      <c r="E167" s="2576"/>
      <c r="F167" s="2577"/>
      <c r="G167" s="2583" t="s">
        <v>638</v>
      </c>
      <c r="H167" s="2980"/>
      <c r="I167" s="2980"/>
      <c r="J167" s="2980"/>
      <c r="K167" s="2980"/>
      <c r="L167" s="2980"/>
      <c r="M167" s="2656"/>
      <c r="N167" s="3078">
        <f t="shared" si="7"/>
        <v>0</v>
      </c>
      <c r="O167" s="2656"/>
      <c r="P167" s="2656"/>
      <c r="Q167" s="2656"/>
      <c r="R167" s="2656"/>
      <c r="S167" s="2656"/>
      <c r="T167" s="2496"/>
      <c r="U167" s="2539"/>
    </row>
    <row r="168" spans="1:21" s="2581" customFormat="1" ht="12" customHeight="1" outlineLevel="1">
      <c r="A168" s="2541"/>
      <c r="B168" s="2657" t="s">
        <v>491</v>
      </c>
      <c r="C168" s="2658" t="s">
        <v>1646</v>
      </c>
      <c r="D168" s="2659"/>
      <c r="E168" s="2659"/>
      <c r="F168" s="2660"/>
      <c r="G168" s="2659" t="s">
        <v>4</v>
      </c>
      <c r="H168" s="2659">
        <v>30398512</v>
      </c>
      <c r="I168" s="2659">
        <v>30398512</v>
      </c>
      <c r="J168" s="2659">
        <v>30398512</v>
      </c>
      <c r="K168" s="2659">
        <v>30398512</v>
      </c>
      <c r="L168" s="2659">
        <v>30398512</v>
      </c>
      <c r="M168" s="2661">
        <f>+'[4]MŠ Cukrovar'!$C$18</f>
        <v>30398512</v>
      </c>
      <c r="N168" s="2662">
        <f t="shared" si="7"/>
        <v>0</v>
      </c>
      <c r="O168" s="2663"/>
      <c r="P168" s="2664">
        <f>+'[4]MŠ Cukrovar'!$C$12</f>
        <v>30398512</v>
      </c>
      <c r="Q168" s="2665"/>
      <c r="R168" s="2665"/>
      <c r="S168" s="2661" t="s">
        <v>2432</v>
      </c>
      <c r="T168" s="2496"/>
      <c r="U168" s="2539"/>
    </row>
    <row r="169" spans="1:21" s="2581" customFormat="1" ht="12" customHeight="1" outlineLevel="1">
      <c r="A169" s="2541"/>
      <c r="B169" s="2655" t="s">
        <v>491</v>
      </c>
      <c r="C169" s="2575" t="s">
        <v>1661</v>
      </c>
      <c r="D169" s="2576"/>
      <c r="E169" s="2576"/>
      <c r="F169" s="2577"/>
      <c r="G169" s="2576" t="s">
        <v>638</v>
      </c>
      <c r="H169" s="2980">
        <v>3750488</v>
      </c>
      <c r="I169" s="2980">
        <v>3750488</v>
      </c>
      <c r="J169" s="2980">
        <v>3750488</v>
      </c>
      <c r="K169" s="2980">
        <v>3750488</v>
      </c>
      <c r="L169" s="2980">
        <v>7936191</v>
      </c>
      <c r="M169" s="2656">
        <f>+'[4]MŠ Cukrovar'!$D$12</f>
        <v>7936191</v>
      </c>
      <c r="N169" s="3078">
        <f t="shared" si="7"/>
        <v>0</v>
      </c>
      <c r="O169" s="2656">
        <f>+M169</f>
        <v>7936191</v>
      </c>
      <c r="P169" s="2656"/>
      <c r="Q169" s="2656"/>
      <c r="R169" s="2656"/>
      <c r="S169" s="2656"/>
      <c r="T169" s="2496"/>
      <c r="U169" s="2539"/>
    </row>
    <row r="170" spans="1:21" s="2581" customFormat="1" ht="12" customHeight="1" outlineLevel="1">
      <c r="A170" s="2541"/>
      <c r="B170" s="2655" t="s">
        <v>491</v>
      </c>
      <c r="C170" s="2575" t="s">
        <v>1661</v>
      </c>
      <c r="D170" s="2576"/>
      <c r="E170" s="2576"/>
      <c r="F170" s="2577"/>
      <c r="G170" s="2576" t="s">
        <v>638</v>
      </c>
      <c r="H170" s="2980">
        <v>500000</v>
      </c>
      <c r="I170" s="2980">
        <v>500000</v>
      </c>
      <c r="J170" s="2980">
        <v>500000</v>
      </c>
      <c r="K170" s="2980">
        <v>500000</v>
      </c>
      <c r="L170" s="2980">
        <v>500000</v>
      </c>
      <c r="M170" s="2656">
        <f>+'[4]MŠ Cukrovar'!$B$13</f>
        <v>500000</v>
      </c>
      <c r="N170" s="3078">
        <f t="shared" si="7"/>
        <v>0</v>
      </c>
      <c r="O170" s="2656">
        <f>+M170</f>
        <v>500000</v>
      </c>
      <c r="P170" s="2656"/>
      <c r="Q170" s="2656"/>
      <c r="R170" s="2656"/>
      <c r="S170" s="2656"/>
      <c r="T170" s="2496"/>
      <c r="U170" s="2539"/>
    </row>
    <row r="171" spans="1:21" s="2581" customFormat="1" ht="12" customHeight="1" outlineLevel="1">
      <c r="A171" s="2541"/>
      <c r="B171" s="2655" t="s">
        <v>491</v>
      </c>
      <c r="C171" s="2575" t="s">
        <v>1662</v>
      </c>
      <c r="D171" s="2576"/>
      <c r="E171" s="2576"/>
      <c r="F171" s="2577"/>
      <c r="G171" s="2576" t="s">
        <v>638</v>
      </c>
      <c r="H171" s="2980">
        <v>100000</v>
      </c>
      <c r="I171" s="2980">
        <v>100000</v>
      </c>
      <c r="J171" s="2980">
        <v>100000</v>
      </c>
      <c r="K171" s="2980">
        <v>100000</v>
      </c>
      <c r="L171" s="2980">
        <v>100000</v>
      </c>
      <c r="M171" s="2656">
        <f>+'[4]MŠ Cukrovar'!$B$14</f>
        <v>100000</v>
      </c>
      <c r="N171" s="3078">
        <f t="shared" si="7"/>
        <v>0</v>
      </c>
      <c r="O171" s="2656">
        <f>+M171</f>
        <v>100000</v>
      </c>
      <c r="P171" s="2656"/>
      <c r="Q171" s="2656"/>
      <c r="R171" s="2656"/>
      <c r="S171" s="2656"/>
      <c r="T171" s="2496"/>
      <c r="U171" s="2539"/>
    </row>
    <row r="172" spans="1:21" s="2581" customFormat="1" ht="12" customHeight="1" outlineLevel="1">
      <c r="A172" s="2541"/>
      <c r="B172" s="2655" t="s">
        <v>491</v>
      </c>
      <c r="C172" s="2575" t="s">
        <v>1663</v>
      </c>
      <c r="D172" s="2576"/>
      <c r="E172" s="2576"/>
      <c r="F172" s="2577"/>
      <c r="G172" s="2576" t="s">
        <v>638</v>
      </c>
      <c r="H172" s="2980">
        <v>100000</v>
      </c>
      <c r="I172" s="2980">
        <v>100000</v>
      </c>
      <c r="J172" s="2980">
        <v>100000</v>
      </c>
      <c r="K172" s="2980">
        <v>100000</v>
      </c>
      <c r="L172" s="2980">
        <v>100000</v>
      </c>
      <c r="M172" s="2656">
        <f>+'[4]MŠ Cukrovar'!$B$15</f>
        <v>100000</v>
      </c>
      <c r="N172" s="3078">
        <f t="shared" si="7"/>
        <v>0</v>
      </c>
      <c r="O172" s="2656">
        <f>+M172</f>
        <v>100000</v>
      </c>
      <c r="P172" s="2656"/>
      <c r="Q172" s="2656"/>
      <c r="R172" s="2656"/>
      <c r="S172" s="2656"/>
      <c r="T172" s="2496"/>
      <c r="U172" s="2539"/>
    </row>
    <row r="173" spans="1:21" s="2581" customFormat="1" ht="12" customHeight="1" outlineLevel="1">
      <c r="A173" s="2541"/>
      <c r="B173" s="2655" t="s">
        <v>491</v>
      </c>
      <c r="C173" s="2575" t="s">
        <v>1664</v>
      </c>
      <c r="D173" s="2576"/>
      <c r="E173" s="2576"/>
      <c r="F173" s="2577"/>
      <c r="G173" s="2576" t="s">
        <v>638</v>
      </c>
      <c r="H173" s="2980">
        <v>100000</v>
      </c>
      <c r="I173" s="2980">
        <v>100000</v>
      </c>
      <c r="J173" s="2980">
        <v>100000</v>
      </c>
      <c r="K173" s="2980">
        <v>100000</v>
      </c>
      <c r="L173" s="2980">
        <v>100000</v>
      </c>
      <c r="M173" s="2656">
        <f>+'[4]MŠ Cukrovar'!$B$16</f>
        <v>100000</v>
      </c>
      <c r="N173" s="3078">
        <f t="shared" si="7"/>
        <v>0</v>
      </c>
      <c r="O173" s="2656">
        <f>+M173</f>
        <v>100000</v>
      </c>
      <c r="P173" s="2656"/>
      <c r="Q173" s="2656"/>
      <c r="R173" s="2656"/>
      <c r="S173" s="2656"/>
      <c r="T173" s="2496"/>
      <c r="U173" s="2539"/>
    </row>
    <row r="174" spans="1:21" s="2581" customFormat="1" ht="12" customHeight="1" outlineLevel="1">
      <c r="A174" s="2541"/>
      <c r="B174" s="2655" t="s">
        <v>491</v>
      </c>
      <c r="C174" s="2582" t="s">
        <v>1665</v>
      </c>
      <c r="D174" s="2583"/>
      <c r="E174" s="2622"/>
      <c r="F174" s="2640"/>
      <c r="G174" s="2583" t="s">
        <v>638</v>
      </c>
      <c r="H174" s="2981">
        <v>30000</v>
      </c>
      <c r="I174" s="2981">
        <v>30000</v>
      </c>
      <c r="J174" s="2981">
        <v>30000</v>
      </c>
      <c r="K174" s="2981">
        <v>30000</v>
      </c>
      <c r="L174" s="2981">
        <v>30000</v>
      </c>
      <c r="M174" s="2666">
        <f>+'[4]MŠ Cukrovar'!$B$17</f>
        <v>30000</v>
      </c>
      <c r="N174" s="3079">
        <f t="shared" si="7"/>
        <v>0</v>
      </c>
      <c r="O174" s="2666"/>
      <c r="P174" s="2666"/>
      <c r="Q174" s="2666"/>
      <c r="R174" s="2666"/>
      <c r="S174" s="2666"/>
      <c r="T174" s="2496"/>
      <c r="U174" s="2539"/>
    </row>
    <row r="175" spans="1:21" s="2581" customFormat="1" ht="12" customHeight="1" outlineLevel="1">
      <c r="A175" s="2541"/>
      <c r="B175" s="2655" t="s">
        <v>491</v>
      </c>
      <c r="C175" s="2575" t="s">
        <v>2300</v>
      </c>
      <c r="D175" s="2576"/>
      <c r="E175" s="2626"/>
      <c r="F175" s="2643"/>
      <c r="G175" s="2583" t="s">
        <v>638</v>
      </c>
      <c r="H175" s="2980">
        <v>3500000</v>
      </c>
      <c r="I175" s="2980">
        <v>3500000</v>
      </c>
      <c r="J175" s="2980">
        <v>3500000</v>
      </c>
      <c r="K175" s="2980">
        <v>3500000</v>
      </c>
      <c r="L175" s="2980">
        <v>3500000</v>
      </c>
      <c r="M175" s="2656">
        <f>+'[4]MŠ Cukrovar'!$B$21</f>
        <v>3500000</v>
      </c>
      <c r="N175" s="3078">
        <f t="shared" si="7"/>
        <v>0</v>
      </c>
      <c r="O175" s="2656">
        <f>+M175</f>
        <v>3500000</v>
      </c>
      <c r="P175" s="2656"/>
      <c r="Q175" s="2656"/>
      <c r="R175" s="2656"/>
      <c r="S175" s="2656"/>
      <c r="T175" s="2496"/>
      <c r="U175" s="2539"/>
    </row>
    <row r="176" spans="1:21" s="2581" customFormat="1" ht="12" hidden="1" customHeight="1" outlineLevel="1">
      <c r="A176" s="2541"/>
      <c r="B176" s="2655" t="s">
        <v>491</v>
      </c>
      <c r="C176" s="2575"/>
      <c r="D176" s="2576"/>
      <c r="E176" s="2626"/>
      <c r="F176" s="2643"/>
      <c r="G176" s="2583" t="s">
        <v>638</v>
      </c>
      <c r="H176" s="2980">
        <v>0</v>
      </c>
      <c r="I176" s="2980">
        <v>0</v>
      </c>
      <c r="J176" s="2980">
        <v>0</v>
      </c>
      <c r="K176" s="2980">
        <v>0</v>
      </c>
      <c r="L176" s="2980">
        <v>0</v>
      </c>
      <c r="M176" s="2656">
        <f>+'[4]MŠ Cukrovar'!$B$22</f>
        <v>0</v>
      </c>
      <c r="N176" s="3078">
        <f t="shared" si="7"/>
        <v>0</v>
      </c>
      <c r="O176" s="2656"/>
      <c r="P176" s="2656"/>
      <c r="Q176" s="2656"/>
      <c r="R176" s="2656"/>
      <c r="S176" s="2656"/>
      <c r="T176" s="2496"/>
      <c r="U176" s="2539"/>
    </row>
    <row r="177" spans="1:21" s="2581" customFormat="1" ht="12" customHeight="1" outlineLevel="1">
      <c r="A177" s="2541"/>
      <c r="B177" s="2655" t="s">
        <v>491</v>
      </c>
      <c r="C177" s="2575" t="s">
        <v>1666</v>
      </c>
      <c r="D177" s="2576"/>
      <c r="E177" s="2626"/>
      <c r="F177" s="2643"/>
      <c r="G177" s="2583" t="s">
        <v>638</v>
      </c>
      <c r="H177" s="2980">
        <v>250000</v>
      </c>
      <c r="I177" s="2980">
        <v>250000</v>
      </c>
      <c r="J177" s="2980">
        <v>250000</v>
      </c>
      <c r="K177" s="2980">
        <v>250000</v>
      </c>
      <c r="L177" s="2980">
        <v>250000</v>
      </c>
      <c r="M177" s="2656">
        <f>+'[4]MŠ Cukrovar'!$B$44</f>
        <v>250000</v>
      </c>
      <c r="N177" s="3078">
        <f t="shared" si="7"/>
        <v>0</v>
      </c>
      <c r="O177" s="2656">
        <f>+M177</f>
        <v>250000</v>
      </c>
      <c r="P177" s="2656"/>
      <c r="Q177" s="2656"/>
      <c r="R177" s="2656"/>
      <c r="S177" s="2656"/>
      <c r="T177" s="2496"/>
      <c r="U177" s="2539"/>
    </row>
    <row r="178" spans="1:21" s="2581" customFormat="1" ht="12" customHeight="1" outlineLevel="1" thickBot="1">
      <c r="A178" s="2541"/>
      <c r="B178" s="2655" t="s">
        <v>491</v>
      </c>
      <c r="C178" s="2582" t="s">
        <v>1668</v>
      </c>
      <c r="D178" s="2591"/>
      <c r="E178" s="2607"/>
      <c r="F178" s="2608"/>
      <c r="G178" s="2576" t="s">
        <v>638</v>
      </c>
      <c r="H178" s="2980">
        <v>0</v>
      </c>
      <c r="I178" s="2980">
        <v>0</v>
      </c>
      <c r="J178" s="2980">
        <v>0</v>
      </c>
      <c r="K178" s="2980">
        <v>0</v>
      </c>
      <c r="L178" s="2980">
        <v>0</v>
      </c>
      <c r="M178" s="2667">
        <f>+'[4]MŠ Cukrovar'!$B$41</f>
        <v>0</v>
      </c>
      <c r="N178" s="3080">
        <f t="shared" si="7"/>
        <v>0</v>
      </c>
      <c r="O178" s="2667"/>
      <c r="P178" s="2667"/>
      <c r="Q178" s="2667"/>
      <c r="R178" s="2667"/>
      <c r="S178" s="2667"/>
      <c r="T178" s="2496"/>
      <c r="U178" s="2539"/>
    </row>
    <row r="179" spans="1:21" s="2581" customFormat="1" ht="15" customHeight="1" outlineLevel="1" thickBot="1">
      <c r="A179" s="2542" t="s">
        <v>621</v>
      </c>
      <c r="B179" s="2668" t="s">
        <v>491</v>
      </c>
      <c r="C179" s="2669"/>
      <c r="D179" s="2670"/>
      <c r="E179" s="2670"/>
      <c r="F179" s="2671"/>
      <c r="G179" s="2670" t="s">
        <v>638</v>
      </c>
      <c r="H179" s="2670"/>
      <c r="I179" s="2670"/>
      <c r="J179" s="2670"/>
      <c r="K179" s="2670"/>
      <c r="L179" s="2670"/>
      <c r="M179" s="2672"/>
      <c r="N179" s="2673">
        <f t="shared" si="7"/>
        <v>0</v>
      </c>
      <c r="O179" s="2672"/>
      <c r="P179" s="2672"/>
      <c r="Q179" s="2672"/>
      <c r="R179" s="2672"/>
      <c r="S179" s="2672"/>
      <c r="T179" s="2496"/>
      <c r="U179" s="2539"/>
    </row>
    <row r="180" spans="1:21" ht="13.9" thickBot="1">
      <c r="A180" s="3205" t="s">
        <v>629</v>
      </c>
      <c r="B180" s="3206"/>
      <c r="C180" s="2532"/>
      <c r="D180" s="2533"/>
      <c r="E180" s="2533"/>
      <c r="F180" s="2534"/>
      <c r="G180" s="2533"/>
      <c r="H180" s="2533">
        <v>39029000</v>
      </c>
      <c r="I180" s="2533">
        <v>39029000</v>
      </c>
      <c r="J180" s="2533">
        <v>39029000</v>
      </c>
      <c r="K180" s="2533">
        <v>39029000</v>
      </c>
      <c r="L180" s="2533">
        <v>43214703</v>
      </c>
      <c r="M180" s="2535">
        <f>SUM(M166:M179)</f>
        <v>43214703</v>
      </c>
      <c r="N180" s="2536">
        <f t="shared" si="7"/>
        <v>0</v>
      </c>
      <c r="O180" s="2537"/>
      <c r="P180" s="2537">
        <f>SUM(P166:P179)</f>
        <v>30398512</v>
      </c>
      <c r="Q180" s="2537"/>
      <c r="R180" s="2537"/>
      <c r="S180" s="2537"/>
      <c r="T180" s="2538">
        <f>'Výdaje kapitol celkem'!BZ69</f>
        <v>43214703</v>
      </c>
      <c r="U180" s="2539">
        <f>+T180-M180</f>
        <v>0</v>
      </c>
    </row>
    <row r="181" spans="1:21" s="2581" customFormat="1" ht="12" customHeight="1" outlineLevel="1">
      <c r="A181" s="2574"/>
      <c r="B181" s="2515" t="s">
        <v>152</v>
      </c>
      <c r="C181" s="2575" t="s">
        <v>1697</v>
      </c>
      <c r="D181" s="2576"/>
      <c r="E181" s="2626"/>
      <c r="F181" s="2643"/>
      <c r="G181" s="2576" t="s">
        <v>638</v>
      </c>
      <c r="H181" s="2576">
        <v>351000</v>
      </c>
      <c r="I181" s="2576">
        <v>351000</v>
      </c>
      <c r="J181" s="2576">
        <v>351000</v>
      </c>
      <c r="K181" s="2576">
        <v>351000</v>
      </c>
      <c r="L181" s="2576">
        <v>351000</v>
      </c>
      <c r="M181" s="2527">
        <f>+[3]VO!$B$38</f>
        <v>351000</v>
      </c>
      <c r="N181" s="2528">
        <f t="shared" si="7"/>
        <v>0</v>
      </c>
      <c r="O181" s="2527"/>
      <c r="P181" s="2527"/>
      <c r="Q181" s="2527"/>
      <c r="R181" s="2527"/>
      <c r="S181" s="2527"/>
      <c r="T181" s="2496"/>
      <c r="U181" s="2539"/>
    </row>
    <row r="182" spans="1:21" s="2581" customFormat="1" ht="12" customHeight="1" outlineLevel="1">
      <c r="A182" s="2574"/>
      <c r="B182" s="2524" t="s">
        <v>152</v>
      </c>
      <c r="C182" s="2575" t="s">
        <v>2606</v>
      </c>
      <c r="D182" s="2576"/>
      <c r="E182" s="2576"/>
      <c r="F182" s="2577"/>
      <c r="G182" s="2576" t="s">
        <v>638</v>
      </c>
      <c r="H182" s="2576">
        <v>300000</v>
      </c>
      <c r="I182" s="2576">
        <v>300000</v>
      </c>
      <c r="J182" s="2576">
        <v>300000</v>
      </c>
      <c r="K182" s="2576">
        <v>300000</v>
      </c>
      <c r="L182" s="2576">
        <v>0</v>
      </c>
      <c r="M182" s="2527">
        <f>+[3]VO!$B$39</f>
        <v>0</v>
      </c>
      <c r="N182" s="2528">
        <f t="shared" si="7"/>
        <v>0</v>
      </c>
      <c r="O182" s="2527"/>
      <c r="P182" s="2527"/>
      <c r="Q182" s="2527"/>
      <c r="R182" s="2527"/>
      <c r="S182" s="2527"/>
      <c r="T182" s="2496"/>
      <c r="U182" s="2539"/>
    </row>
    <row r="183" spans="1:21" s="2581" customFormat="1" ht="12" customHeight="1" outlineLevel="1">
      <c r="A183" s="2574"/>
      <c r="B183" s="2569" t="s">
        <v>152</v>
      </c>
      <c r="C183" s="2582" t="s">
        <v>2607</v>
      </c>
      <c r="D183" s="2583"/>
      <c r="E183" s="2583"/>
      <c r="F183" s="2584"/>
      <c r="G183" s="2583" t="s">
        <v>638</v>
      </c>
      <c r="H183" s="2583">
        <v>605000</v>
      </c>
      <c r="I183" s="2583">
        <v>605000</v>
      </c>
      <c r="J183" s="2583">
        <v>605000</v>
      </c>
      <c r="K183" s="2583">
        <v>605000</v>
      </c>
      <c r="L183" s="2583">
        <v>605000</v>
      </c>
      <c r="M183" s="2573">
        <f>+[3]VO!$B$40</f>
        <v>605000</v>
      </c>
      <c r="N183" s="2648">
        <f t="shared" si="7"/>
        <v>0</v>
      </c>
      <c r="O183" s="2573"/>
      <c r="P183" s="2573"/>
      <c r="Q183" s="2573"/>
      <c r="R183" s="2573"/>
      <c r="S183" s="2573"/>
      <c r="T183" s="2496"/>
      <c r="U183" s="2539"/>
    </row>
    <row r="184" spans="1:21" s="2581" customFormat="1" ht="12" customHeight="1" outlineLevel="1" thickBot="1">
      <c r="A184" s="2634">
        <v>3631</v>
      </c>
      <c r="B184" s="2569" t="s">
        <v>152</v>
      </c>
      <c r="C184" s="2582" t="s">
        <v>2868</v>
      </c>
      <c r="D184" s="2583"/>
      <c r="E184" s="2583"/>
      <c r="F184" s="2584"/>
      <c r="G184" s="2583" t="s">
        <v>638</v>
      </c>
      <c r="H184" s="2583"/>
      <c r="I184" s="2583"/>
      <c r="J184" s="2583"/>
      <c r="K184" s="2583"/>
      <c r="L184" s="2583">
        <v>290400</v>
      </c>
      <c r="M184" s="2573">
        <f>+[3]VO!$B$41</f>
        <v>290400</v>
      </c>
      <c r="N184" s="2648">
        <f t="shared" si="7"/>
        <v>0</v>
      </c>
      <c r="O184" s="2573"/>
      <c r="P184" s="2573"/>
      <c r="Q184" s="2573"/>
      <c r="R184" s="2573"/>
      <c r="S184" s="2573"/>
      <c r="T184" s="2496"/>
      <c r="U184" s="2539"/>
    </row>
    <row r="185" spans="1:21" ht="13.9" thickBot="1">
      <c r="A185" s="3205" t="s">
        <v>630</v>
      </c>
      <c r="B185" s="3206"/>
      <c r="C185" s="2532"/>
      <c r="D185" s="2533"/>
      <c r="E185" s="2533"/>
      <c r="F185" s="2534"/>
      <c r="G185" s="2533"/>
      <c r="H185" s="2533">
        <v>1256000</v>
      </c>
      <c r="I185" s="2533">
        <v>1256000</v>
      </c>
      <c r="J185" s="2533">
        <v>1256000</v>
      </c>
      <c r="K185" s="2533">
        <v>1256000</v>
      </c>
      <c r="L185" s="2533">
        <v>1246400</v>
      </c>
      <c r="M185" s="2535">
        <f>SUM(M181:M184)</f>
        <v>1246400</v>
      </c>
      <c r="N185" s="2536">
        <f t="shared" si="7"/>
        <v>0</v>
      </c>
      <c r="O185" s="2537"/>
      <c r="P185" s="2537">
        <f>SUM(P181:P184)</f>
        <v>0</v>
      </c>
      <c r="Q185" s="2537"/>
      <c r="R185" s="2537"/>
      <c r="S185" s="2537"/>
      <c r="T185" s="2538">
        <f>'Výdaje kapitol celkem'!CD69</f>
        <v>1246400</v>
      </c>
      <c r="U185" s="2539">
        <f>+T185-M185</f>
        <v>0</v>
      </c>
    </row>
    <row r="186" spans="1:21" ht="12" customHeight="1" outlineLevel="1">
      <c r="A186" s="2574"/>
      <c r="B186" s="2569" t="s">
        <v>153</v>
      </c>
      <c r="C186" s="2674" t="s">
        <v>1608</v>
      </c>
      <c r="D186" s="2675"/>
      <c r="E186" s="2675"/>
      <c r="F186" s="2676"/>
      <c r="G186" s="2675" t="s">
        <v>638</v>
      </c>
      <c r="H186" s="2675">
        <v>0</v>
      </c>
      <c r="I186" s="2675">
        <v>0</v>
      </c>
      <c r="J186" s="2675">
        <v>0</v>
      </c>
      <c r="K186" s="2675">
        <v>0</v>
      </c>
      <c r="L186" s="2675">
        <v>0</v>
      </c>
      <c r="M186" s="2573">
        <f>+'[4]Silnice stavba'!$B$13</f>
        <v>0</v>
      </c>
      <c r="N186" s="2648">
        <f t="shared" si="7"/>
        <v>0</v>
      </c>
      <c r="O186" s="2573"/>
      <c r="P186" s="2573"/>
      <c r="Q186" s="2573"/>
      <c r="R186" s="2573"/>
      <c r="S186" s="2573"/>
      <c r="T186" s="2496"/>
      <c r="U186" s="2539"/>
    </row>
    <row r="187" spans="1:21" ht="12" customHeight="1" outlineLevel="1">
      <c r="A187" s="2574"/>
      <c r="B187" s="2569" t="s">
        <v>153</v>
      </c>
      <c r="C187" s="2674" t="s">
        <v>2869</v>
      </c>
      <c r="D187" s="2675"/>
      <c r="E187" s="2677"/>
      <c r="F187" s="2678"/>
      <c r="G187" s="2675" t="s">
        <v>638</v>
      </c>
      <c r="H187" s="2675">
        <v>0</v>
      </c>
      <c r="I187" s="2675">
        <v>0</v>
      </c>
      <c r="J187" s="2675">
        <v>0</v>
      </c>
      <c r="K187" s="2675">
        <v>0</v>
      </c>
      <c r="L187" s="2675">
        <v>0</v>
      </c>
      <c r="M187" s="2573">
        <f>+'[4]Silnice stavba'!$B$21</f>
        <v>0</v>
      </c>
      <c r="N187" s="2648">
        <f t="shared" si="7"/>
        <v>0</v>
      </c>
      <c r="O187" s="2573"/>
      <c r="P187" s="2573">
        <v>0</v>
      </c>
      <c r="Q187" s="2573"/>
      <c r="R187" s="2573"/>
      <c r="S187" s="2573"/>
      <c r="T187" s="2496"/>
      <c r="U187" s="2539"/>
    </row>
    <row r="188" spans="1:21" ht="12" customHeight="1" outlineLevel="1">
      <c r="A188" s="2574"/>
      <c r="B188" s="2569" t="s">
        <v>153</v>
      </c>
      <c r="C188" s="2674" t="s">
        <v>2870</v>
      </c>
      <c r="D188" s="2675"/>
      <c r="E188" s="2677"/>
      <c r="F188" s="2678"/>
      <c r="G188" s="2675" t="s">
        <v>638</v>
      </c>
      <c r="H188" s="2675">
        <v>0</v>
      </c>
      <c r="I188" s="2675">
        <v>0</v>
      </c>
      <c r="J188" s="2675">
        <v>0</v>
      </c>
      <c r="K188" s="2675">
        <v>0</v>
      </c>
      <c r="L188" s="2675">
        <v>0</v>
      </c>
      <c r="M188" s="2573">
        <f>+'[4]Silnice stavba'!$B$30</f>
        <v>0</v>
      </c>
      <c r="N188" s="2648">
        <f t="shared" si="7"/>
        <v>0</v>
      </c>
      <c r="O188" s="2573"/>
      <c r="P188" s="2573"/>
      <c r="Q188" s="2573"/>
      <c r="R188" s="2573"/>
      <c r="S188" s="2573"/>
      <c r="T188" s="2496"/>
      <c r="U188" s="2539"/>
    </row>
    <row r="189" spans="1:21" ht="12" customHeight="1" outlineLevel="1">
      <c r="A189" s="2574"/>
      <c r="B189" s="2569" t="s">
        <v>153</v>
      </c>
      <c r="C189" s="2674" t="s">
        <v>1609</v>
      </c>
      <c r="D189" s="2675"/>
      <c r="E189" s="2675"/>
      <c r="F189" s="2676"/>
      <c r="G189" s="2675" t="s">
        <v>638</v>
      </c>
      <c r="H189" s="2675">
        <v>80000</v>
      </c>
      <c r="I189" s="2675">
        <v>80000</v>
      </c>
      <c r="J189" s="2675">
        <v>80000</v>
      </c>
      <c r="K189" s="2675">
        <v>80000</v>
      </c>
      <c r="L189" s="2675">
        <v>80000</v>
      </c>
      <c r="M189" s="2573">
        <f>+'[4]Silnice stavba'!$B$33</f>
        <v>80000</v>
      </c>
      <c r="N189" s="2648">
        <f t="shared" si="7"/>
        <v>0</v>
      </c>
      <c r="O189" s="2573"/>
      <c r="P189" s="2573"/>
      <c r="Q189" s="2573"/>
      <c r="R189" s="2573"/>
      <c r="S189" s="2573"/>
      <c r="T189" s="2496"/>
      <c r="U189" s="2539"/>
    </row>
    <row r="190" spans="1:21" ht="12" customHeight="1" outlineLevel="1">
      <c r="A190" s="2574"/>
      <c r="B190" s="2569" t="s">
        <v>153</v>
      </c>
      <c r="C190" s="2674" t="s">
        <v>1610</v>
      </c>
      <c r="D190" s="2675"/>
      <c r="E190" s="2675"/>
      <c r="F190" s="2676"/>
      <c r="G190" s="2675" t="s">
        <v>638</v>
      </c>
      <c r="H190" s="2675">
        <v>0</v>
      </c>
      <c r="I190" s="2675">
        <v>0</v>
      </c>
      <c r="J190" s="2675">
        <v>0</v>
      </c>
      <c r="K190" s="2675">
        <v>0</v>
      </c>
      <c r="L190" s="2675">
        <v>0</v>
      </c>
      <c r="M190" s="2573">
        <f>+'[4]Silnice stavba'!$B$34</f>
        <v>0</v>
      </c>
      <c r="N190" s="2648">
        <f t="shared" si="7"/>
        <v>0</v>
      </c>
      <c r="O190" s="2573"/>
      <c r="P190" s="2573"/>
      <c r="Q190" s="2573"/>
      <c r="R190" s="2573"/>
      <c r="S190" s="2573"/>
      <c r="T190" s="2496"/>
      <c r="U190" s="2539"/>
    </row>
    <row r="191" spans="1:21" ht="12" customHeight="1" outlineLevel="1">
      <c r="A191" s="2574"/>
      <c r="B191" s="2569" t="s">
        <v>153</v>
      </c>
      <c r="C191" s="2674" t="s">
        <v>2187</v>
      </c>
      <c r="D191" s="2675"/>
      <c r="E191" s="2675"/>
      <c r="F191" s="2676"/>
      <c r="G191" s="2675" t="s">
        <v>638</v>
      </c>
      <c r="H191" s="2675">
        <v>0</v>
      </c>
      <c r="I191" s="2675">
        <v>0</v>
      </c>
      <c r="J191" s="2675">
        <v>0</v>
      </c>
      <c r="K191" s="2675">
        <v>0</v>
      </c>
      <c r="L191" s="2675">
        <v>0</v>
      </c>
      <c r="M191" s="2573">
        <f>+'[4]Silnice stavba'!$B$47</f>
        <v>0</v>
      </c>
      <c r="N191" s="2648">
        <f t="shared" si="7"/>
        <v>0</v>
      </c>
      <c r="O191" s="2573"/>
      <c r="P191" s="2573"/>
      <c r="Q191" s="2573"/>
      <c r="R191" s="2573"/>
      <c r="S191" s="2573"/>
      <c r="T191" s="2496"/>
      <c r="U191" s="2539"/>
    </row>
    <row r="192" spans="1:21" ht="12" customHeight="1" outlineLevel="1">
      <c r="A192" s="2574"/>
      <c r="B192" s="2569" t="s">
        <v>153</v>
      </c>
      <c r="C192" s="2674" t="s">
        <v>2188</v>
      </c>
      <c r="D192" s="2675"/>
      <c r="E192" s="2675"/>
      <c r="F192" s="2676"/>
      <c r="G192" s="2576" t="s">
        <v>638</v>
      </c>
      <c r="H192" s="2576">
        <v>0</v>
      </c>
      <c r="I192" s="2576">
        <v>0</v>
      </c>
      <c r="J192" s="2576">
        <v>0</v>
      </c>
      <c r="K192" s="2576">
        <v>0</v>
      </c>
      <c r="L192" s="2576">
        <v>0</v>
      </c>
      <c r="M192" s="2573">
        <f>+'[4]Silnice stavba'!$B$48</f>
        <v>0</v>
      </c>
      <c r="N192" s="2648">
        <f t="shared" si="7"/>
        <v>0</v>
      </c>
      <c r="O192" s="2573"/>
      <c r="P192" s="2573"/>
      <c r="Q192" s="2573"/>
      <c r="R192" s="2573"/>
      <c r="S192" s="2573"/>
      <c r="T192" s="2496"/>
      <c r="U192" s="2539"/>
    </row>
    <row r="193" spans="1:21" ht="12" customHeight="1" outlineLevel="1">
      <c r="A193" s="2574"/>
      <c r="B193" s="2569" t="s">
        <v>153</v>
      </c>
      <c r="C193" s="2674" t="s">
        <v>1611</v>
      </c>
      <c r="D193" s="2675"/>
      <c r="E193" s="2675"/>
      <c r="F193" s="2676"/>
      <c r="G193" s="2576" t="s">
        <v>638</v>
      </c>
      <c r="H193" s="2576">
        <v>0</v>
      </c>
      <c r="I193" s="2576">
        <v>0</v>
      </c>
      <c r="J193" s="2576">
        <v>0</v>
      </c>
      <c r="K193" s="2576">
        <v>0</v>
      </c>
      <c r="L193" s="2576">
        <v>0</v>
      </c>
      <c r="M193" s="2573">
        <f>+'[4]Silnice stavba'!$B$59</f>
        <v>0</v>
      </c>
      <c r="N193" s="2648">
        <f t="shared" si="7"/>
        <v>0</v>
      </c>
      <c r="O193" s="2573"/>
      <c r="P193" s="2573"/>
      <c r="Q193" s="2573"/>
      <c r="R193" s="2573"/>
      <c r="S193" s="2573"/>
      <c r="T193" s="2496"/>
      <c r="U193" s="2539"/>
    </row>
    <row r="194" spans="1:21" ht="12" customHeight="1" outlineLevel="1">
      <c r="A194" s="2574"/>
      <c r="B194" s="2569" t="s">
        <v>153</v>
      </c>
      <c r="C194" s="2674" t="s">
        <v>1612</v>
      </c>
      <c r="D194" s="2675"/>
      <c r="E194" s="2675"/>
      <c r="F194" s="2676"/>
      <c r="G194" s="2576" t="s">
        <v>638</v>
      </c>
      <c r="H194" s="2576">
        <v>2050000</v>
      </c>
      <c r="I194" s="2576">
        <v>2050000</v>
      </c>
      <c r="J194" s="2576">
        <v>2050000</v>
      </c>
      <c r="K194" s="2576">
        <v>2050000</v>
      </c>
      <c r="L194" s="2576">
        <v>2050000</v>
      </c>
      <c r="M194" s="2680">
        <f>+'[4]Silnice stavba'!$B$60</f>
        <v>2050000</v>
      </c>
      <c r="N194" s="2648">
        <f t="shared" si="7"/>
        <v>0</v>
      </c>
      <c r="O194" s="2573"/>
      <c r="P194" s="2573"/>
      <c r="Q194" s="2573"/>
      <c r="R194" s="2573"/>
      <c r="S194" s="2573"/>
      <c r="T194" s="2496"/>
      <c r="U194" s="2539"/>
    </row>
    <row r="195" spans="1:21" ht="12" customHeight="1" outlineLevel="1">
      <c r="A195" s="2574"/>
      <c r="B195" s="2569" t="s">
        <v>153</v>
      </c>
      <c r="C195" s="2674" t="s">
        <v>1613</v>
      </c>
      <c r="D195" s="2675"/>
      <c r="E195" s="2675"/>
      <c r="F195" s="2676"/>
      <c r="G195" s="2583" t="s">
        <v>638</v>
      </c>
      <c r="H195" s="2583">
        <v>0</v>
      </c>
      <c r="I195" s="2583">
        <v>0</v>
      </c>
      <c r="J195" s="2583">
        <v>0</v>
      </c>
      <c r="K195" s="2583">
        <v>0</v>
      </c>
      <c r="L195" s="2583">
        <v>0</v>
      </c>
      <c r="M195" s="2573">
        <f>+'[4]Silnice stavba'!$B$70</f>
        <v>0</v>
      </c>
      <c r="N195" s="2648">
        <f t="shared" si="7"/>
        <v>0</v>
      </c>
      <c r="O195" s="2573"/>
      <c r="P195" s="2573"/>
      <c r="Q195" s="2573"/>
      <c r="R195" s="2573"/>
      <c r="S195" s="2573"/>
      <c r="T195" s="2496"/>
      <c r="U195" s="2539"/>
    </row>
    <row r="196" spans="1:21" ht="12" customHeight="1" outlineLevel="1">
      <c r="A196" s="2574"/>
      <c r="B196" s="2569" t="s">
        <v>153</v>
      </c>
      <c r="C196" s="2674" t="s">
        <v>1614</v>
      </c>
      <c r="D196" s="2675"/>
      <c r="E196" s="2675"/>
      <c r="F196" s="2676"/>
      <c r="G196" s="2583" t="s">
        <v>638</v>
      </c>
      <c r="H196" s="2583">
        <v>0</v>
      </c>
      <c r="I196" s="2583">
        <v>0</v>
      </c>
      <c r="J196" s="2583">
        <v>0</v>
      </c>
      <c r="K196" s="2583">
        <v>0</v>
      </c>
      <c r="L196" s="2583">
        <v>0</v>
      </c>
      <c r="M196" s="2573">
        <f>+'[4]Silnice stavba'!$B$71</f>
        <v>0</v>
      </c>
      <c r="N196" s="2648">
        <f t="shared" si="7"/>
        <v>0</v>
      </c>
      <c r="O196" s="2573"/>
      <c r="P196" s="2573"/>
      <c r="Q196" s="2573"/>
      <c r="R196" s="2573"/>
      <c r="S196" s="2573"/>
      <c r="T196" s="2496"/>
      <c r="U196" s="2539"/>
    </row>
    <row r="197" spans="1:21" ht="12" customHeight="1" outlineLevel="1">
      <c r="A197" s="2574"/>
      <c r="B197" s="2569" t="s">
        <v>153</v>
      </c>
      <c r="C197" s="2674" t="s">
        <v>1615</v>
      </c>
      <c r="D197" s="2675"/>
      <c r="E197" s="2675"/>
      <c r="F197" s="2676"/>
      <c r="G197" s="2583" t="s">
        <v>638</v>
      </c>
      <c r="H197" s="2583">
        <v>0</v>
      </c>
      <c r="I197" s="2583">
        <v>0</v>
      </c>
      <c r="J197" s="2583">
        <v>0</v>
      </c>
      <c r="K197" s="2583">
        <v>0</v>
      </c>
      <c r="L197" s="2583">
        <v>0</v>
      </c>
      <c r="M197" s="2573">
        <f>+'[4]Silnice stavba'!$B$84</f>
        <v>0</v>
      </c>
      <c r="N197" s="2648">
        <f t="shared" si="7"/>
        <v>0</v>
      </c>
      <c r="O197" s="2573"/>
      <c r="P197" s="2573"/>
      <c r="Q197" s="2573"/>
      <c r="R197" s="2573"/>
      <c r="S197" s="2573"/>
      <c r="T197" s="2496"/>
      <c r="U197" s="2539"/>
    </row>
    <row r="198" spans="1:21" ht="12" customHeight="1" outlineLevel="1">
      <c r="A198" s="2574"/>
      <c r="B198" s="2569" t="s">
        <v>153</v>
      </c>
      <c r="C198" s="2674" t="s">
        <v>1616</v>
      </c>
      <c r="D198" s="2675"/>
      <c r="E198" s="2675"/>
      <c r="F198" s="2676"/>
      <c r="G198" s="2583" t="s">
        <v>638</v>
      </c>
      <c r="H198" s="2583">
        <v>0</v>
      </c>
      <c r="I198" s="2583">
        <v>0</v>
      </c>
      <c r="J198" s="2583">
        <v>0</v>
      </c>
      <c r="K198" s="2583">
        <v>0</v>
      </c>
      <c r="L198" s="2583">
        <v>0</v>
      </c>
      <c r="M198" s="2573">
        <f>+'[4]Silnice stavba'!$B$85</f>
        <v>0</v>
      </c>
      <c r="N198" s="2648">
        <f t="shared" si="7"/>
        <v>0</v>
      </c>
      <c r="O198" s="2573"/>
      <c r="P198" s="2573"/>
      <c r="Q198" s="2573"/>
      <c r="R198" s="2573"/>
      <c r="S198" s="2573"/>
      <c r="T198" s="2496"/>
      <c r="U198" s="2539"/>
    </row>
    <row r="199" spans="1:21" ht="12" customHeight="1" outlineLevel="1">
      <c r="A199" s="2574"/>
      <c r="B199" s="2569" t="s">
        <v>153</v>
      </c>
      <c r="C199" s="2674" t="s">
        <v>1617</v>
      </c>
      <c r="D199" s="2675"/>
      <c r="E199" s="2675"/>
      <c r="F199" s="2676"/>
      <c r="G199" s="2583" t="s">
        <v>638</v>
      </c>
      <c r="H199" s="2583">
        <v>1000000</v>
      </c>
      <c r="I199" s="2583">
        <v>1500000</v>
      </c>
      <c r="J199" s="2583">
        <v>1500000</v>
      </c>
      <c r="K199" s="2583">
        <v>1500000</v>
      </c>
      <c r="L199" s="2583">
        <v>1500000</v>
      </c>
      <c r="M199" s="2573">
        <f>+'[4]Silnice stavba'!$B$94</f>
        <v>1500000</v>
      </c>
      <c r="N199" s="2648">
        <f t="shared" ref="N199:N262" si="9">+M199-L199</f>
        <v>0</v>
      </c>
      <c r="O199" s="2573"/>
      <c r="P199" s="2573"/>
      <c r="Q199" s="2573"/>
      <c r="R199" s="2573"/>
      <c r="S199" s="2573"/>
      <c r="T199" s="2496"/>
      <c r="U199" s="2539"/>
    </row>
    <row r="200" spans="1:21" ht="12" customHeight="1" outlineLevel="1">
      <c r="A200" s="2574"/>
      <c r="B200" s="2569" t="s">
        <v>153</v>
      </c>
      <c r="C200" s="2674" t="s">
        <v>1618</v>
      </c>
      <c r="D200" s="2675"/>
      <c r="E200" s="2675"/>
      <c r="F200" s="2676"/>
      <c r="G200" s="2583" t="s">
        <v>638</v>
      </c>
      <c r="H200" s="2583">
        <v>0</v>
      </c>
      <c r="I200" s="2583">
        <v>0</v>
      </c>
      <c r="J200" s="2583">
        <v>0</v>
      </c>
      <c r="K200" s="2583">
        <v>0</v>
      </c>
      <c r="L200" s="2583">
        <v>0</v>
      </c>
      <c r="M200" s="2573">
        <f>+'[4]Silnice stavba'!$B$95</f>
        <v>0</v>
      </c>
      <c r="N200" s="2648">
        <f t="shared" si="9"/>
        <v>0</v>
      </c>
      <c r="O200" s="2573"/>
      <c r="P200" s="2573"/>
      <c r="Q200" s="2573"/>
      <c r="R200" s="2573"/>
      <c r="S200" s="2573"/>
      <c r="T200" s="2496"/>
      <c r="U200" s="2539"/>
    </row>
    <row r="201" spans="1:21" ht="12" customHeight="1" outlineLevel="1">
      <c r="A201" s="2574"/>
      <c r="B201" s="2569" t="s">
        <v>153</v>
      </c>
      <c r="C201" s="2674" t="s">
        <v>1619</v>
      </c>
      <c r="D201" s="2675"/>
      <c r="E201" s="2675"/>
      <c r="F201" s="2676"/>
      <c r="G201" s="2583" t="s">
        <v>638</v>
      </c>
      <c r="H201" s="2583">
        <v>0</v>
      </c>
      <c r="I201" s="2583">
        <v>0</v>
      </c>
      <c r="J201" s="2583">
        <v>0</v>
      </c>
      <c r="K201" s="2583">
        <v>0</v>
      </c>
      <c r="L201" s="2583">
        <v>0</v>
      </c>
      <c r="M201" s="2573">
        <f>+'[4]Silnice stavba'!$B$104</f>
        <v>0</v>
      </c>
      <c r="N201" s="2648">
        <f t="shared" si="9"/>
        <v>0</v>
      </c>
      <c r="O201" s="2573"/>
      <c r="P201" s="2573"/>
      <c r="Q201" s="2573"/>
      <c r="R201" s="2573"/>
      <c r="S201" s="2573"/>
      <c r="T201" s="2496"/>
      <c r="U201" s="2539"/>
    </row>
    <row r="202" spans="1:21" ht="12" customHeight="1" outlineLevel="1">
      <c r="A202" s="2574"/>
      <c r="B202" s="2569" t="s">
        <v>153</v>
      </c>
      <c r="C202" s="2674" t="s">
        <v>1620</v>
      </c>
      <c r="D202" s="2675"/>
      <c r="E202" s="2675"/>
      <c r="F202" s="2676"/>
      <c r="G202" s="2583" t="s">
        <v>638</v>
      </c>
      <c r="H202" s="2583">
        <v>100000</v>
      </c>
      <c r="I202" s="2583">
        <v>100000</v>
      </c>
      <c r="J202" s="2583">
        <v>100000</v>
      </c>
      <c r="K202" s="2583">
        <v>100000</v>
      </c>
      <c r="L202" s="2583">
        <v>100000</v>
      </c>
      <c r="M202" s="2573">
        <f>+'[4]Silnice stavba'!$B$105</f>
        <v>100000</v>
      </c>
      <c r="N202" s="2648">
        <f t="shared" si="9"/>
        <v>0</v>
      </c>
      <c r="O202" s="2573"/>
      <c r="P202" s="2573"/>
      <c r="Q202" s="2573"/>
      <c r="R202" s="2573"/>
      <c r="S202" s="2573"/>
      <c r="T202" s="2496"/>
      <c r="U202" s="2539"/>
    </row>
    <row r="203" spans="1:21" s="2581" customFormat="1" ht="12" customHeight="1" outlineLevel="1">
      <c r="A203" s="2574"/>
      <c r="B203" s="2628" t="s">
        <v>153</v>
      </c>
      <c r="C203" s="2658" t="s">
        <v>1621</v>
      </c>
      <c r="D203" s="2659"/>
      <c r="E203" s="2659"/>
      <c r="F203" s="2660"/>
      <c r="G203" s="2659" t="s">
        <v>1929</v>
      </c>
      <c r="H203" s="2659">
        <v>0</v>
      </c>
      <c r="I203" s="2659">
        <v>0</v>
      </c>
      <c r="J203" s="2659">
        <v>0</v>
      </c>
      <c r="K203" s="2659">
        <v>0</v>
      </c>
      <c r="L203" s="2659">
        <v>0</v>
      </c>
      <c r="M203" s="2661">
        <f>+'[4]Silnice stavba'!$C$117</f>
        <v>0</v>
      </c>
      <c r="N203" s="2662">
        <f t="shared" si="9"/>
        <v>0</v>
      </c>
      <c r="O203" s="2663"/>
      <c r="P203" s="2664"/>
      <c r="Q203" s="2665"/>
      <c r="R203" s="2665"/>
      <c r="S203" s="2661"/>
      <c r="T203" s="2496"/>
      <c r="U203" s="2539"/>
    </row>
    <row r="204" spans="1:21" ht="12" customHeight="1" outlineLevel="1">
      <c r="A204" s="2574"/>
      <c r="B204" s="2569" t="s">
        <v>153</v>
      </c>
      <c r="C204" s="2674" t="s">
        <v>1621</v>
      </c>
      <c r="D204" s="2675"/>
      <c r="E204" s="2675"/>
      <c r="F204" s="2676"/>
      <c r="G204" s="2583" t="s">
        <v>638</v>
      </c>
      <c r="H204" s="2583">
        <v>0</v>
      </c>
      <c r="I204" s="2583">
        <v>3700000</v>
      </c>
      <c r="J204" s="2583">
        <v>3700000</v>
      </c>
      <c r="K204" s="2583">
        <v>3700000</v>
      </c>
      <c r="L204" s="2583">
        <v>3700000</v>
      </c>
      <c r="M204" s="2680">
        <f>+'[4]Silnice stavba'!$D$117</f>
        <v>3700000</v>
      </c>
      <c r="N204" s="2648">
        <f t="shared" si="9"/>
        <v>0</v>
      </c>
      <c r="O204" s="2573"/>
      <c r="P204" s="2573"/>
      <c r="Q204" s="2573"/>
      <c r="R204" s="2573"/>
      <c r="S204" s="2573"/>
      <c r="T204" s="2496"/>
      <c r="U204" s="2539"/>
    </row>
    <row r="205" spans="1:21" ht="12" customHeight="1" outlineLevel="1">
      <c r="A205" s="2574"/>
      <c r="B205" s="2569" t="s">
        <v>153</v>
      </c>
      <c r="C205" s="2674" t="s">
        <v>1622</v>
      </c>
      <c r="D205" s="2675"/>
      <c r="E205" s="2675"/>
      <c r="F205" s="2676"/>
      <c r="G205" s="2583" t="s">
        <v>638</v>
      </c>
      <c r="H205" s="2583">
        <v>100000</v>
      </c>
      <c r="I205" s="2583">
        <v>100000</v>
      </c>
      <c r="J205" s="2583">
        <v>100000</v>
      </c>
      <c r="K205" s="2583">
        <v>100000</v>
      </c>
      <c r="L205" s="2583">
        <v>100000</v>
      </c>
      <c r="M205" s="2573">
        <f>+'[4]Silnice stavba'!$B$118</f>
        <v>100000</v>
      </c>
      <c r="N205" s="2648">
        <f t="shared" si="9"/>
        <v>0</v>
      </c>
      <c r="O205" s="2573"/>
      <c r="P205" s="2573"/>
      <c r="Q205" s="2573"/>
      <c r="R205" s="2573"/>
      <c r="S205" s="2573"/>
      <c r="T205" s="2496"/>
      <c r="U205" s="2539"/>
    </row>
    <row r="206" spans="1:21" ht="12" customHeight="1" outlineLevel="1">
      <c r="A206" s="2574"/>
      <c r="B206" s="2569" t="s">
        <v>153</v>
      </c>
      <c r="C206" s="2674" t="s">
        <v>1623</v>
      </c>
      <c r="D206" s="2675"/>
      <c r="E206" s="2675"/>
      <c r="F206" s="2676"/>
      <c r="G206" s="2583" t="s">
        <v>638</v>
      </c>
      <c r="H206" s="2583">
        <v>0</v>
      </c>
      <c r="I206" s="2583">
        <v>0</v>
      </c>
      <c r="J206" s="2583">
        <v>0</v>
      </c>
      <c r="K206" s="2583">
        <v>0</v>
      </c>
      <c r="L206" s="2583">
        <v>0</v>
      </c>
      <c r="M206" s="2573">
        <f>+'[4]Silnice stavba'!$B$130</f>
        <v>0</v>
      </c>
      <c r="N206" s="2648">
        <f t="shared" si="9"/>
        <v>0</v>
      </c>
      <c r="O206" s="2573"/>
      <c r="P206" s="2573"/>
      <c r="Q206" s="2573"/>
      <c r="R206" s="2573"/>
      <c r="S206" s="2573"/>
      <c r="T206" s="2496"/>
      <c r="U206" s="2539"/>
    </row>
    <row r="207" spans="1:21" ht="12" customHeight="1" outlineLevel="1">
      <c r="A207" s="2574"/>
      <c r="B207" s="2569" t="s">
        <v>153</v>
      </c>
      <c r="C207" s="2674" t="s">
        <v>1624</v>
      </c>
      <c r="D207" s="2675"/>
      <c r="E207" s="2675"/>
      <c r="F207" s="2676"/>
      <c r="G207" s="2583" t="s">
        <v>638</v>
      </c>
      <c r="H207" s="2583">
        <v>50000</v>
      </c>
      <c r="I207" s="2583">
        <v>50000</v>
      </c>
      <c r="J207" s="2583">
        <v>50000</v>
      </c>
      <c r="K207" s="2583">
        <v>50000</v>
      </c>
      <c r="L207" s="2583">
        <v>50000</v>
      </c>
      <c r="M207" s="2573">
        <f>+'[4]Silnice stavba'!$B$131</f>
        <v>50000</v>
      </c>
      <c r="N207" s="2648">
        <f t="shared" si="9"/>
        <v>0</v>
      </c>
      <c r="O207" s="2573"/>
      <c r="P207" s="2573"/>
      <c r="Q207" s="2573"/>
      <c r="R207" s="2573"/>
      <c r="S207" s="2573"/>
      <c r="T207" s="2496"/>
      <c r="U207" s="2539"/>
    </row>
    <row r="208" spans="1:21" s="2581" customFormat="1" ht="12" customHeight="1" outlineLevel="1">
      <c r="A208" s="2574"/>
      <c r="B208" s="2628" t="s">
        <v>153</v>
      </c>
      <c r="C208" s="2658" t="s">
        <v>1625</v>
      </c>
      <c r="D208" s="2659"/>
      <c r="E208" s="2659"/>
      <c r="F208" s="2660"/>
      <c r="G208" s="2659" t="s">
        <v>1929</v>
      </c>
      <c r="H208" s="2659">
        <v>0</v>
      </c>
      <c r="I208" s="2659">
        <v>0</v>
      </c>
      <c r="J208" s="2659">
        <v>0</v>
      </c>
      <c r="K208" s="2659">
        <v>0</v>
      </c>
      <c r="L208" s="2659">
        <v>0</v>
      </c>
      <c r="M208" s="2661">
        <f>+'[4]Silnice stavba'!$C$143</f>
        <v>0</v>
      </c>
      <c r="N208" s="2662">
        <f t="shared" si="9"/>
        <v>0</v>
      </c>
      <c r="O208" s="2663"/>
      <c r="P208" s="2664"/>
      <c r="Q208" s="2665"/>
      <c r="R208" s="2665"/>
      <c r="S208" s="2661"/>
      <c r="T208" s="2496"/>
      <c r="U208" s="2539"/>
    </row>
    <row r="209" spans="1:21" ht="12" customHeight="1" outlineLevel="1">
      <c r="A209" s="2574"/>
      <c r="B209" s="2569" t="s">
        <v>153</v>
      </c>
      <c r="C209" s="2674" t="s">
        <v>1625</v>
      </c>
      <c r="D209" s="2675"/>
      <c r="E209" s="2675"/>
      <c r="F209" s="2676"/>
      <c r="G209" s="2583" t="s">
        <v>638</v>
      </c>
      <c r="H209" s="2583">
        <v>1300000</v>
      </c>
      <c r="I209" s="2583">
        <v>1300000</v>
      </c>
      <c r="J209" s="2583">
        <v>1300000</v>
      </c>
      <c r="K209" s="2583">
        <v>1300000</v>
      </c>
      <c r="L209" s="2583">
        <v>1300000</v>
      </c>
      <c r="M209" s="2680">
        <f>+'[4]Silnice stavba'!$D$143</f>
        <v>1300000</v>
      </c>
      <c r="N209" s="2648">
        <f t="shared" si="9"/>
        <v>0</v>
      </c>
      <c r="O209" s="2573"/>
      <c r="P209" s="2573"/>
      <c r="Q209" s="2573"/>
      <c r="R209" s="2573"/>
      <c r="S209" s="2573"/>
      <c r="T209" s="2496"/>
      <c r="U209" s="2539"/>
    </row>
    <row r="210" spans="1:21" ht="12" customHeight="1" outlineLevel="1">
      <c r="A210" s="2574"/>
      <c r="B210" s="2569" t="s">
        <v>153</v>
      </c>
      <c r="C210" s="2674" t="s">
        <v>1626</v>
      </c>
      <c r="D210" s="2675"/>
      <c r="E210" s="2675"/>
      <c r="F210" s="2676"/>
      <c r="G210" s="2583" t="s">
        <v>638</v>
      </c>
      <c r="H210" s="2583">
        <v>150000</v>
      </c>
      <c r="I210" s="2583">
        <v>150000</v>
      </c>
      <c r="J210" s="2583">
        <v>150000</v>
      </c>
      <c r="K210" s="2583">
        <v>150000</v>
      </c>
      <c r="L210" s="2583">
        <v>150000</v>
      </c>
      <c r="M210" s="2573">
        <f>+'[4]Silnice stavba'!$B$144</f>
        <v>150000</v>
      </c>
      <c r="N210" s="2648">
        <f t="shared" si="9"/>
        <v>0</v>
      </c>
      <c r="O210" s="2573"/>
      <c r="P210" s="2573"/>
      <c r="Q210" s="2573"/>
      <c r="R210" s="2573"/>
      <c r="S210" s="2573"/>
      <c r="T210" s="2496"/>
      <c r="U210" s="2539"/>
    </row>
    <row r="211" spans="1:21" ht="12" customHeight="1" outlineLevel="1">
      <c r="A211" s="2574"/>
      <c r="B211" s="2569" t="s">
        <v>153</v>
      </c>
      <c r="C211" s="2674" t="s">
        <v>1627</v>
      </c>
      <c r="D211" s="2675"/>
      <c r="E211" s="2675"/>
      <c r="F211" s="2676"/>
      <c r="G211" s="2583" t="s">
        <v>638</v>
      </c>
      <c r="H211" s="2583">
        <v>20000</v>
      </c>
      <c r="I211" s="2583">
        <v>20000</v>
      </c>
      <c r="J211" s="2583">
        <v>20000</v>
      </c>
      <c r="K211" s="2583">
        <v>20000</v>
      </c>
      <c r="L211" s="2583">
        <v>20000</v>
      </c>
      <c r="M211" s="2573">
        <f>+'[4]Silnice stavba'!$B$156</f>
        <v>20000</v>
      </c>
      <c r="N211" s="2648">
        <f t="shared" si="9"/>
        <v>0</v>
      </c>
      <c r="O211" s="2573"/>
      <c r="P211" s="2573"/>
      <c r="Q211" s="2573"/>
      <c r="R211" s="2573"/>
      <c r="S211" s="2573"/>
      <c r="T211" s="2496"/>
      <c r="U211" s="2539"/>
    </row>
    <row r="212" spans="1:21" ht="12" customHeight="1" outlineLevel="1">
      <c r="A212" s="2574"/>
      <c r="B212" s="2569" t="s">
        <v>153</v>
      </c>
      <c r="C212" s="2674" t="s">
        <v>1628</v>
      </c>
      <c r="D212" s="2675"/>
      <c r="E212" s="2675"/>
      <c r="F212" s="2676"/>
      <c r="G212" s="2583" t="s">
        <v>638</v>
      </c>
      <c r="H212" s="2583">
        <v>0</v>
      </c>
      <c r="I212" s="2583">
        <v>0</v>
      </c>
      <c r="J212" s="2583">
        <v>0</v>
      </c>
      <c r="K212" s="2583">
        <v>0</v>
      </c>
      <c r="L212" s="2583">
        <v>0</v>
      </c>
      <c r="M212" s="2573">
        <f>+'[4]Silnice stavba'!$B$157</f>
        <v>0</v>
      </c>
      <c r="N212" s="2648">
        <f t="shared" si="9"/>
        <v>0</v>
      </c>
      <c r="O212" s="2573"/>
      <c r="P212" s="2573"/>
      <c r="Q212" s="2573"/>
      <c r="R212" s="2573"/>
      <c r="S212" s="2573"/>
      <c r="T212" s="2496"/>
      <c r="U212" s="2539"/>
    </row>
    <row r="213" spans="1:21" ht="12" customHeight="1" outlineLevel="1">
      <c r="A213" s="2574"/>
      <c r="B213" s="2569" t="s">
        <v>153</v>
      </c>
      <c r="C213" s="2674" t="s">
        <v>2871</v>
      </c>
      <c r="D213" s="2675"/>
      <c r="E213" s="2675"/>
      <c r="F213" s="2676"/>
      <c r="G213" s="2583" t="s">
        <v>638</v>
      </c>
      <c r="H213" s="2583">
        <v>0</v>
      </c>
      <c r="I213" s="2583">
        <v>0</v>
      </c>
      <c r="J213" s="2583">
        <v>0</v>
      </c>
      <c r="K213" s="2583">
        <v>0</v>
      </c>
      <c r="L213" s="2583">
        <v>0</v>
      </c>
      <c r="M213" s="2573">
        <f>+'[4]Silnice stavba'!$B$171</f>
        <v>0</v>
      </c>
      <c r="N213" s="2648">
        <f t="shared" si="9"/>
        <v>0</v>
      </c>
      <c r="O213" s="2573"/>
      <c r="P213" s="2573"/>
      <c r="Q213" s="2573"/>
      <c r="R213" s="2573"/>
      <c r="S213" s="2573" t="s">
        <v>2101</v>
      </c>
      <c r="T213" s="2496" t="s">
        <v>2598</v>
      </c>
      <c r="U213" s="2539"/>
    </row>
    <row r="214" spans="1:21" ht="12" customHeight="1" outlineLevel="1">
      <c r="A214" s="2574"/>
      <c r="B214" s="2569" t="s">
        <v>153</v>
      </c>
      <c r="C214" s="2674" t="s">
        <v>1629</v>
      </c>
      <c r="D214" s="2675"/>
      <c r="E214" s="2675"/>
      <c r="F214" s="2676"/>
      <c r="G214" s="2583" t="s">
        <v>638</v>
      </c>
      <c r="H214" s="2583">
        <v>500000</v>
      </c>
      <c r="I214" s="2583">
        <v>500000</v>
      </c>
      <c r="J214" s="2583">
        <v>500000</v>
      </c>
      <c r="K214" s="2583">
        <v>500000</v>
      </c>
      <c r="L214" s="2583">
        <v>500000</v>
      </c>
      <c r="M214" s="2573">
        <f>+'[4]Silnice stavba'!$B$172</f>
        <v>500000</v>
      </c>
      <c r="N214" s="2648">
        <f t="shared" si="9"/>
        <v>0</v>
      </c>
      <c r="O214" s="2573"/>
      <c r="P214" s="2573"/>
      <c r="Q214" s="2573"/>
      <c r="R214" s="2573"/>
      <c r="S214" s="2573"/>
      <c r="T214" s="2496"/>
      <c r="U214" s="2539"/>
    </row>
    <row r="215" spans="1:21" ht="12" customHeight="1" outlineLevel="1">
      <c r="A215" s="2574"/>
      <c r="B215" s="2569" t="s">
        <v>153</v>
      </c>
      <c r="C215" s="2674" t="s">
        <v>1630</v>
      </c>
      <c r="D215" s="2675"/>
      <c r="E215" s="2675"/>
      <c r="F215" s="2676"/>
      <c r="G215" s="2583" t="s">
        <v>638</v>
      </c>
      <c r="H215" s="2583">
        <v>0</v>
      </c>
      <c r="I215" s="2583">
        <v>0</v>
      </c>
      <c r="J215" s="2583">
        <v>0</v>
      </c>
      <c r="K215" s="2583">
        <v>0</v>
      </c>
      <c r="L215" s="2583">
        <v>0</v>
      </c>
      <c r="M215" s="2573">
        <f>+'[4]Silnice stavba'!$B$185</f>
        <v>0</v>
      </c>
      <c r="N215" s="2648">
        <f t="shared" si="9"/>
        <v>0</v>
      </c>
      <c r="O215" s="2573"/>
      <c r="P215" s="2573"/>
      <c r="Q215" s="2573"/>
      <c r="R215" s="2573"/>
      <c r="S215" s="2573"/>
      <c r="T215" s="2496"/>
      <c r="U215" s="2539"/>
    </row>
    <row r="216" spans="1:21" ht="12" customHeight="1" outlineLevel="1">
      <c r="A216" s="2574"/>
      <c r="B216" s="2569" t="s">
        <v>153</v>
      </c>
      <c r="C216" s="2674" t="s">
        <v>1631</v>
      </c>
      <c r="D216" s="2675"/>
      <c r="E216" s="2675"/>
      <c r="F216" s="2676"/>
      <c r="G216" s="2583" t="s">
        <v>638</v>
      </c>
      <c r="H216" s="2583">
        <v>0</v>
      </c>
      <c r="I216" s="2583">
        <v>0</v>
      </c>
      <c r="J216" s="2583">
        <v>0</v>
      </c>
      <c r="K216" s="2583">
        <v>0</v>
      </c>
      <c r="L216" s="2583">
        <v>0</v>
      </c>
      <c r="M216" s="2573">
        <f>+'[4]Silnice stavba'!$B$186</f>
        <v>0</v>
      </c>
      <c r="N216" s="2648">
        <f t="shared" si="9"/>
        <v>0</v>
      </c>
      <c r="O216" s="2573"/>
      <c r="P216" s="2573"/>
      <c r="Q216" s="2573"/>
      <c r="R216" s="2573"/>
      <c r="S216" s="2573"/>
      <c r="T216" s="2496"/>
      <c r="U216" s="2539"/>
    </row>
    <row r="217" spans="1:21" ht="13.5" customHeight="1" outlineLevel="1">
      <c r="A217" s="2574"/>
      <c r="B217" s="2569" t="s">
        <v>153</v>
      </c>
      <c r="C217" s="2674" t="s">
        <v>1632</v>
      </c>
      <c r="D217" s="2675"/>
      <c r="E217" s="2675"/>
      <c r="F217" s="2676"/>
      <c r="G217" s="2583" t="s">
        <v>638</v>
      </c>
      <c r="H217" s="2583">
        <v>0</v>
      </c>
      <c r="I217" s="2583">
        <v>0</v>
      </c>
      <c r="J217" s="2583">
        <v>0</v>
      </c>
      <c r="K217" s="2583">
        <v>0</v>
      </c>
      <c r="L217" s="2583">
        <v>0</v>
      </c>
      <c r="M217" s="2573">
        <f>+'[4]Silnice stavba'!$B$195</f>
        <v>0</v>
      </c>
      <c r="N217" s="2648">
        <f t="shared" si="9"/>
        <v>0</v>
      </c>
      <c r="O217" s="2573"/>
      <c r="P217" s="2573"/>
      <c r="Q217" s="2573"/>
      <c r="R217" s="2573"/>
      <c r="S217" s="2573"/>
      <c r="T217" s="2496"/>
      <c r="U217" s="2539"/>
    </row>
    <row r="218" spans="1:21" ht="12" customHeight="1" outlineLevel="1">
      <c r="A218" s="2574"/>
      <c r="B218" s="2569" t="s">
        <v>153</v>
      </c>
      <c r="C218" s="2674" t="s">
        <v>1633</v>
      </c>
      <c r="D218" s="2675"/>
      <c r="E218" s="2675"/>
      <c r="F218" s="2676"/>
      <c r="G218" s="2583" t="s">
        <v>638</v>
      </c>
      <c r="H218" s="2583">
        <v>0</v>
      </c>
      <c r="I218" s="2583">
        <v>0</v>
      </c>
      <c r="J218" s="2583">
        <v>0</v>
      </c>
      <c r="K218" s="2583">
        <v>0</v>
      </c>
      <c r="L218" s="2583">
        <v>0</v>
      </c>
      <c r="M218" s="2573">
        <f>+'[4]Silnice stavba'!$B$196</f>
        <v>0</v>
      </c>
      <c r="N218" s="2648">
        <f t="shared" si="9"/>
        <v>0</v>
      </c>
      <c r="O218" s="2573"/>
      <c r="P218" s="2573"/>
      <c r="Q218" s="2573"/>
      <c r="R218" s="2573"/>
      <c r="S218" s="2573"/>
      <c r="T218" s="2496"/>
      <c r="U218" s="2539"/>
    </row>
    <row r="219" spans="1:21" ht="12" customHeight="1" outlineLevel="1">
      <c r="A219" s="2574"/>
      <c r="B219" s="2569" t="s">
        <v>153</v>
      </c>
      <c r="C219" s="2674" t="s">
        <v>1634</v>
      </c>
      <c r="D219" s="2675"/>
      <c r="E219" s="2675"/>
      <c r="F219" s="2676"/>
      <c r="G219" s="2583" t="s">
        <v>638</v>
      </c>
      <c r="H219" s="2583">
        <v>0</v>
      </c>
      <c r="I219" s="2583">
        <v>0</v>
      </c>
      <c r="J219" s="2583">
        <v>0</v>
      </c>
      <c r="K219" s="2583">
        <v>0</v>
      </c>
      <c r="L219" s="2583">
        <v>0</v>
      </c>
      <c r="M219" s="2573">
        <f>+'[4]Silnice stavba'!$B$205</f>
        <v>0</v>
      </c>
      <c r="N219" s="2648">
        <f t="shared" si="9"/>
        <v>0</v>
      </c>
      <c r="O219" s="2573"/>
      <c r="P219" s="2573"/>
      <c r="Q219" s="2573"/>
      <c r="R219" s="2573"/>
      <c r="S219" s="2573"/>
      <c r="T219" s="2496"/>
      <c r="U219" s="2539"/>
    </row>
    <row r="220" spans="1:21" ht="12" customHeight="1" outlineLevel="1">
      <c r="A220" s="2574"/>
      <c r="B220" s="2569" t="s">
        <v>153</v>
      </c>
      <c r="C220" s="2674" t="s">
        <v>1635</v>
      </c>
      <c r="D220" s="2675"/>
      <c r="E220" s="2675"/>
      <c r="F220" s="2676"/>
      <c r="G220" s="2583" t="s">
        <v>638</v>
      </c>
      <c r="H220" s="2583">
        <v>0</v>
      </c>
      <c r="I220" s="2583">
        <v>0</v>
      </c>
      <c r="J220" s="2583">
        <v>0</v>
      </c>
      <c r="K220" s="2583">
        <v>0</v>
      </c>
      <c r="L220" s="2583">
        <v>0</v>
      </c>
      <c r="M220" s="2573">
        <f>+'[4]Silnice stavba'!$B$206</f>
        <v>0</v>
      </c>
      <c r="N220" s="2648">
        <f t="shared" si="9"/>
        <v>0</v>
      </c>
      <c r="O220" s="2573"/>
      <c r="P220" s="2573"/>
      <c r="Q220" s="2573"/>
      <c r="R220" s="2573"/>
      <c r="S220" s="2573"/>
      <c r="T220" s="2496"/>
      <c r="U220" s="2539"/>
    </row>
    <row r="221" spans="1:21" ht="12" customHeight="1" outlineLevel="1">
      <c r="A221" s="2574"/>
      <c r="B221" s="2569" t="s">
        <v>153</v>
      </c>
      <c r="C221" s="2674" t="s">
        <v>1636</v>
      </c>
      <c r="D221" s="2675"/>
      <c r="E221" s="2675"/>
      <c r="F221" s="2676"/>
      <c r="G221" s="2583" t="s">
        <v>638</v>
      </c>
      <c r="H221" s="2583">
        <v>0</v>
      </c>
      <c r="I221" s="2583">
        <v>0</v>
      </c>
      <c r="J221" s="2583">
        <v>0</v>
      </c>
      <c r="K221" s="2583">
        <v>0</v>
      </c>
      <c r="L221" s="2583">
        <v>0</v>
      </c>
      <c r="M221" s="2573">
        <f>+'[4]Silnice stavba'!$B$215</f>
        <v>0</v>
      </c>
      <c r="N221" s="2648">
        <f t="shared" si="9"/>
        <v>0</v>
      </c>
      <c r="O221" s="2573"/>
      <c r="P221" s="2573"/>
      <c r="Q221" s="2573"/>
      <c r="R221" s="2573"/>
      <c r="S221" s="2573"/>
      <c r="T221" s="2496"/>
      <c r="U221" s="2539"/>
    </row>
    <row r="222" spans="1:21" ht="12" customHeight="1" outlineLevel="1">
      <c r="A222" s="2574"/>
      <c r="B222" s="2569" t="s">
        <v>153</v>
      </c>
      <c r="C222" s="2674" t="s">
        <v>1637</v>
      </c>
      <c r="D222" s="2675"/>
      <c r="E222" s="2675"/>
      <c r="F222" s="2676"/>
      <c r="G222" s="2583" t="s">
        <v>638</v>
      </c>
      <c r="H222" s="2583">
        <v>0</v>
      </c>
      <c r="I222" s="2583">
        <v>0</v>
      </c>
      <c r="J222" s="2583">
        <v>0</v>
      </c>
      <c r="K222" s="2583">
        <v>0</v>
      </c>
      <c r="L222" s="2583">
        <v>0</v>
      </c>
      <c r="M222" s="2573">
        <f>+'[4]Silnice stavba'!$B$216</f>
        <v>0</v>
      </c>
      <c r="N222" s="2648">
        <f t="shared" si="9"/>
        <v>0</v>
      </c>
      <c r="O222" s="2573"/>
      <c r="P222" s="2573"/>
      <c r="Q222" s="2573"/>
      <c r="R222" s="2573"/>
      <c r="S222" s="2573"/>
      <c r="T222" s="2496"/>
      <c r="U222" s="2539"/>
    </row>
    <row r="223" spans="1:21" ht="12" customHeight="1" outlineLevel="1">
      <c r="A223" s="2574"/>
      <c r="B223" s="2569" t="s">
        <v>153</v>
      </c>
      <c r="C223" s="2679" t="s">
        <v>1638</v>
      </c>
      <c r="D223" s="2675"/>
      <c r="E223" s="2675"/>
      <c r="F223" s="2676"/>
      <c r="G223" s="2583" t="s">
        <v>638</v>
      </c>
      <c r="H223" s="2583">
        <v>0</v>
      </c>
      <c r="I223" s="2583">
        <v>0</v>
      </c>
      <c r="J223" s="2583">
        <v>0</v>
      </c>
      <c r="K223" s="2583">
        <v>0</v>
      </c>
      <c r="L223" s="2583">
        <v>0</v>
      </c>
      <c r="M223" s="2573">
        <f>+'[4]Silnice stavba'!$B$229</f>
        <v>0</v>
      </c>
      <c r="N223" s="2648">
        <f t="shared" si="9"/>
        <v>0</v>
      </c>
      <c r="O223" s="2573"/>
      <c r="P223" s="2573"/>
      <c r="Q223" s="2573"/>
      <c r="R223" s="2573"/>
      <c r="S223" s="2573"/>
      <c r="T223" s="2496"/>
      <c r="U223" s="2539"/>
    </row>
    <row r="224" spans="1:21" outlineLevel="1">
      <c r="A224" s="2574"/>
      <c r="B224" s="2569" t="s">
        <v>153</v>
      </c>
      <c r="C224" s="2679" t="s">
        <v>1639</v>
      </c>
      <c r="D224" s="2675"/>
      <c r="E224" s="2675"/>
      <c r="F224" s="2676"/>
      <c r="G224" s="2583" t="s">
        <v>638</v>
      </c>
      <c r="H224" s="2583">
        <v>0</v>
      </c>
      <c r="I224" s="2583">
        <v>0</v>
      </c>
      <c r="J224" s="2583">
        <v>0</v>
      </c>
      <c r="K224" s="2583">
        <v>0</v>
      </c>
      <c r="L224" s="2583">
        <v>0</v>
      </c>
      <c r="M224" s="2573">
        <f>+'[4]Silnice stavba'!$B$230</f>
        <v>0</v>
      </c>
      <c r="N224" s="2648">
        <f t="shared" si="9"/>
        <v>0</v>
      </c>
      <c r="O224" s="2573"/>
      <c r="P224" s="2573"/>
      <c r="Q224" s="2573"/>
      <c r="R224" s="2573"/>
      <c r="S224" s="2573"/>
      <c r="T224" s="2496"/>
      <c r="U224" s="2539"/>
    </row>
    <row r="225" spans="1:21" outlineLevel="1">
      <c r="A225" s="2574"/>
      <c r="B225" s="2569" t="s">
        <v>153</v>
      </c>
      <c r="C225" s="2679" t="s">
        <v>2584</v>
      </c>
      <c r="D225" s="2675"/>
      <c r="E225" s="2675"/>
      <c r="F225" s="2676"/>
      <c r="G225" s="2583" t="s">
        <v>638</v>
      </c>
      <c r="H225" s="2583">
        <v>350000</v>
      </c>
      <c r="I225" s="2583">
        <v>350000</v>
      </c>
      <c r="J225" s="2583">
        <v>350000</v>
      </c>
      <c r="K225" s="2583">
        <v>350000</v>
      </c>
      <c r="L225" s="2583">
        <v>350000</v>
      </c>
      <c r="M225" s="2573">
        <f>+'[4]Silnice stavba'!$B$247</f>
        <v>350000</v>
      </c>
      <c r="N225" s="2648">
        <f t="shared" si="9"/>
        <v>0</v>
      </c>
      <c r="O225" s="2573"/>
      <c r="P225" s="2573"/>
      <c r="Q225" s="2573"/>
      <c r="R225" s="2573"/>
      <c r="S225" s="2573"/>
      <c r="T225" s="2496"/>
      <c r="U225" s="2539"/>
    </row>
    <row r="226" spans="1:21" outlineLevel="1">
      <c r="A226" s="2574"/>
      <c r="B226" s="2569" t="s">
        <v>153</v>
      </c>
      <c r="C226" s="2679" t="s">
        <v>2585</v>
      </c>
      <c r="D226" s="2675"/>
      <c r="E226" s="2675"/>
      <c r="F226" s="2676"/>
      <c r="G226" s="2583" t="s">
        <v>638</v>
      </c>
      <c r="H226" s="2583">
        <v>100000</v>
      </c>
      <c r="I226" s="2583">
        <v>100000</v>
      </c>
      <c r="J226" s="2583">
        <v>100000</v>
      </c>
      <c r="K226" s="2583">
        <v>100000</v>
      </c>
      <c r="L226" s="2583">
        <v>100000</v>
      </c>
      <c r="M226" s="2573">
        <f>+'[4]Silnice stavba'!$B$244</f>
        <v>100000</v>
      </c>
      <c r="N226" s="2648">
        <f t="shared" si="9"/>
        <v>0</v>
      </c>
      <c r="O226" s="2573"/>
      <c r="P226" s="2573"/>
      <c r="Q226" s="2573"/>
      <c r="R226" s="2573"/>
      <c r="S226" s="2573"/>
      <c r="T226" s="2496"/>
      <c r="U226" s="2539"/>
    </row>
    <row r="227" spans="1:21" ht="12" customHeight="1" outlineLevel="1">
      <c r="A227" s="2574"/>
      <c r="B227" s="2569" t="s">
        <v>153</v>
      </c>
      <c r="C227" s="2674"/>
      <c r="D227" s="2675"/>
      <c r="E227" s="2675"/>
      <c r="F227" s="2676"/>
      <c r="G227" s="2583" t="s">
        <v>638</v>
      </c>
      <c r="H227" s="2583"/>
      <c r="I227" s="2583"/>
      <c r="J227" s="2583"/>
      <c r="K227" s="2583"/>
      <c r="L227" s="2583"/>
      <c r="M227" s="2573"/>
      <c r="N227" s="2648">
        <f t="shared" si="9"/>
        <v>0</v>
      </c>
      <c r="O227" s="2573"/>
      <c r="P227" s="2573"/>
      <c r="Q227" s="2573"/>
      <c r="R227" s="2573"/>
      <c r="S227" s="2573"/>
      <c r="T227" s="2496"/>
      <c r="U227" s="2539"/>
    </row>
    <row r="228" spans="1:21" ht="12" customHeight="1" outlineLevel="1">
      <c r="A228" s="2574"/>
      <c r="B228" s="2569" t="s">
        <v>153</v>
      </c>
      <c r="C228" s="2674"/>
      <c r="D228" s="2675"/>
      <c r="E228" s="2675"/>
      <c r="F228" s="2676"/>
      <c r="G228" s="2583" t="s">
        <v>638</v>
      </c>
      <c r="H228" s="2583"/>
      <c r="I228" s="2583"/>
      <c r="J228" s="2583"/>
      <c r="K228" s="2583"/>
      <c r="L228" s="2583"/>
      <c r="M228" s="2573"/>
      <c r="N228" s="2648">
        <f t="shared" si="9"/>
        <v>0</v>
      </c>
      <c r="O228" s="2573"/>
      <c r="P228" s="2573"/>
      <c r="Q228" s="2573"/>
      <c r="R228" s="2573"/>
      <c r="S228" s="2573"/>
      <c r="T228" s="2496"/>
      <c r="U228" s="2539"/>
    </row>
    <row r="229" spans="1:21" ht="12" customHeight="1" outlineLevel="1">
      <c r="A229" s="2574"/>
      <c r="B229" s="2569" t="s">
        <v>153</v>
      </c>
      <c r="C229" s="2674" t="s">
        <v>1640</v>
      </c>
      <c r="D229" s="2675"/>
      <c r="E229" s="2675"/>
      <c r="F229" s="2676"/>
      <c r="G229" s="2583" t="s">
        <v>638</v>
      </c>
      <c r="H229" s="2583">
        <v>0</v>
      </c>
      <c r="I229" s="2583">
        <v>0</v>
      </c>
      <c r="J229" s="2583">
        <v>0</v>
      </c>
      <c r="K229" s="2583">
        <v>0</v>
      </c>
      <c r="L229" s="2583">
        <v>0</v>
      </c>
      <c r="M229" s="2573">
        <f>+'[4]Silnice stavba'!$B$250</f>
        <v>0</v>
      </c>
      <c r="N229" s="2648">
        <f t="shared" si="9"/>
        <v>0</v>
      </c>
      <c r="O229" s="2573"/>
      <c r="P229" s="2573"/>
      <c r="Q229" s="2573"/>
      <c r="R229" s="2573"/>
      <c r="S229" s="2573"/>
      <c r="T229" s="2496"/>
      <c r="U229" s="2539"/>
    </row>
    <row r="230" spans="1:21" ht="12" customHeight="1" outlineLevel="1">
      <c r="A230" s="2574"/>
      <c r="B230" s="2569" t="s">
        <v>153</v>
      </c>
      <c r="C230" s="2674" t="s">
        <v>1640</v>
      </c>
      <c r="D230" s="2675"/>
      <c r="E230" s="2675"/>
      <c r="F230" s="2676"/>
      <c r="G230" s="2583" t="s">
        <v>638</v>
      </c>
      <c r="H230" s="2583">
        <v>0</v>
      </c>
      <c r="I230" s="2583">
        <v>0</v>
      </c>
      <c r="J230" s="2583">
        <v>0</v>
      </c>
      <c r="K230" s="2583">
        <v>0</v>
      </c>
      <c r="L230" s="2583">
        <v>0</v>
      </c>
      <c r="M230" s="2573">
        <f>+'[4]Silnice stavba'!$B$251</f>
        <v>0</v>
      </c>
      <c r="N230" s="2648">
        <f t="shared" si="9"/>
        <v>0</v>
      </c>
      <c r="O230" s="2573"/>
      <c r="P230" s="2573"/>
      <c r="Q230" s="2573"/>
      <c r="R230" s="2573"/>
      <c r="S230" s="2573"/>
      <c r="T230" s="2496"/>
      <c r="U230" s="2539"/>
    </row>
    <row r="231" spans="1:21" ht="12" customHeight="1" outlineLevel="1">
      <c r="A231" s="2574"/>
      <c r="B231" s="2569" t="s">
        <v>153</v>
      </c>
      <c r="C231" s="2674" t="s">
        <v>1641</v>
      </c>
      <c r="D231" s="2675"/>
      <c r="E231" s="2675"/>
      <c r="F231" s="2676"/>
      <c r="G231" s="2583" t="s">
        <v>638</v>
      </c>
      <c r="H231" s="2583">
        <v>0</v>
      </c>
      <c r="I231" s="2583">
        <v>0</v>
      </c>
      <c r="J231" s="2583">
        <v>0</v>
      </c>
      <c r="K231" s="2583">
        <v>0</v>
      </c>
      <c r="L231" s="2583">
        <v>0</v>
      </c>
      <c r="M231" s="2573">
        <f>+'[4]Silnice stavba'!$B$260</f>
        <v>0</v>
      </c>
      <c r="N231" s="2648">
        <f t="shared" si="9"/>
        <v>0</v>
      </c>
      <c r="O231" s="2573"/>
      <c r="P231" s="2573"/>
      <c r="Q231" s="2573"/>
      <c r="R231" s="2573"/>
      <c r="S231" s="2573"/>
      <c r="T231" s="2496"/>
      <c r="U231" s="2539"/>
    </row>
    <row r="232" spans="1:21" ht="12" customHeight="1" outlineLevel="1">
      <c r="A232" s="2574"/>
      <c r="B232" s="2569" t="s">
        <v>153</v>
      </c>
      <c r="C232" s="2674" t="s">
        <v>1641</v>
      </c>
      <c r="D232" s="2675"/>
      <c r="E232" s="2675"/>
      <c r="F232" s="2676"/>
      <c r="G232" s="2583" t="s">
        <v>638</v>
      </c>
      <c r="H232" s="2583">
        <v>0</v>
      </c>
      <c r="I232" s="2583">
        <v>0</v>
      </c>
      <c r="J232" s="2583">
        <v>0</v>
      </c>
      <c r="K232" s="2583">
        <v>0</v>
      </c>
      <c r="L232" s="2583">
        <v>0</v>
      </c>
      <c r="M232" s="2573">
        <f>+'[4]Silnice stavba'!$B$261</f>
        <v>0</v>
      </c>
      <c r="N232" s="2648">
        <f t="shared" si="9"/>
        <v>0</v>
      </c>
      <c r="O232" s="2573"/>
      <c r="P232" s="2573"/>
      <c r="Q232" s="2573"/>
      <c r="R232" s="2573"/>
      <c r="S232" s="2573"/>
      <c r="T232" s="2496"/>
      <c r="U232" s="2539"/>
    </row>
    <row r="233" spans="1:21" ht="12" customHeight="1" outlineLevel="1">
      <c r="A233" s="2574"/>
      <c r="B233" s="2569" t="s">
        <v>153</v>
      </c>
      <c r="C233" s="2679" t="s">
        <v>1642</v>
      </c>
      <c r="D233" s="2675"/>
      <c r="E233" s="2675"/>
      <c r="F233" s="2676"/>
      <c r="G233" s="2583" t="s">
        <v>638</v>
      </c>
      <c r="H233" s="2583">
        <v>0</v>
      </c>
      <c r="I233" s="2583">
        <v>0</v>
      </c>
      <c r="J233" s="2583">
        <v>0</v>
      </c>
      <c r="K233" s="2583">
        <v>0</v>
      </c>
      <c r="L233" s="2583">
        <v>0</v>
      </c>
      <c r="M233" s="2573">
        <f>+'[4]Silnice stavba'!$B$270</f>
        <v>0</v>
      </c>
      <c r="N233" s="2648">
        <f t="shared" si="9"/>
        <v>0</v>
      </c>
      <c r="O233" s="2573"/>
      <c r="P233" s="2573"/>
      <c r="Q233" s="2573"/>
      <c r="R233" s="2573"/>
      <c r="S233" s="2573"/>
      <c r="T233" s="2496"/>
      <c r="U233" s="2539"/>
    </row>
    <row r="234" spans="1:21" ht="12" customHeight="1" outlineLevel="1">
      <c r="A234" s="2574"/>
      <c r="B234" s="2569" t="s">
        <v>153</v>
      </c>
      <c r="C234" s="2679" t="s">
        <v>1643</v>
      </c>
      <c r="D234" s="2675"/>
      <c r="E234" s="2675"/>
      <c r="F234" s="2676"/>
      <c r="G234" s="2583" t="s">
        <v>638</v>
      </c>
      <c r="H234" s="2583">
        <v>0</v>
      </c>
      <c r="I234" s="2583">
        <v>0</v>
      </c>
      <c r="J234" s="2583">
        <v>0</v>
      </c>
      <c r="K234" s="2583">
        <v>0</v>
      </c>
      <c r="L234" s="2583">
        <v>0</v>
      </c>
      <c r="M234" s="2573">
        <f>+'[4]Silnice stavba'!$B$271</f>
        <v>0</v>
      </c>
      <c r="N234" s="2648">
        <f t="shared" si="9"/>
        <v>0</v>
      </c>
      <c r="O234" s="2573"/>
      <c r="P234" s="2573"/>
      <c r="Q234" s="2573"/>
      <c r="R234" s="2573"/>
      <c r="S234" s="2573"/>
      <c r="T234" s="2496"/>
      <c r="U234" s="2539"/>
    </row>
    <row r="235" spans="1:21" ht="12" customHeight="1" outlineLevel="1">
      <c r="A235" s="2574"/>
      <c r="B235" s="2569" t="s">
        <v>153</v>
      </c>
      <c r="C235" s="2674" t="s">
        <v>1644</v>
      </c>
      <c r="D235" s="2675"/>
      <c r="E235" s="2675"/>
      <c r="F235" s="2676"/>
      <c r="G235" s="2583" t="s">
        <v>638</v>
      </c>
      <c r="H235" s="2583">
        <v>0</v>
      </c>
      <c r="I235" s="2583">
        <v>0</v>
      </c>
      <c r="J235" s="2583">
        <v>0</v>
      </c>
      <c r="K235" s="2583">
        <v>0</v>
      </c>
      <c r="L235" s="2583">
        <v>0</v>
      </c>
      <c r="M235" s="2573">
        <f>+'[4]Silnice stavba'!$B$280</f>
        <v>0</v>
      </c>
      <c r="N235" s="2648">
        <f t="shared" si="9"/>
        <v>0</v>
      </c>
      <c r="O235" s="2573"/>
      <c r="P235" s="2573"/>
      <c r="Q235" s="2573"/>
      <c r="R235" s="2573"/>
      <c r="S235" s="2573"/>
      <c r="T235" s="2496"/>
      <c r="U235" s="2539"/>
    </row>
    <row r="236" spans="1:21" ht="12" customHeight="1" outlineLevel="1">
      <c r="A236" s="2574"/>
      <c r="B236" s="2569" t="s">
        <v>153</v>
      </c>
      <c r="C236" s="2674" t="s">
        <v>1645</v>
      </c>
      <c r="D236" s="2675"/>
      <c r="E236" s="2675"/>
      <c r="F236" s="2676"/>
      <c r="G236" s="2583" t="s">
        <v>638</v>
      </c>
      <c r="H236" s="2583">
        <v>0</v>
      </c>
      <c r="I236" s="2583">
        <v>0</v>
      </c>
      <c r="J236" s="2583">
        <v>0</v>
      </c>
      <c r="K236" s="2583">
        <v>0</v>
      </c>
      <c r="L236" s="2583">
        <v>0</v>
      </c>
      <c r="M236" s="2573">
        <f>+'[4]Silnice stavba'!$B$281</f>
        <v>0</v>
      </c>
      <c r="N236" s="2648">
        <f t="shared" si="9"/>
        <v>0</v>
      </c>
      <c r="O236" s="2573"/>
      <c r="P236" s="2573"/>
      <c r="Q236" s="2573"/>
      <c r="R236" s="2573"/>
      <c r="S236" s="2573"/>
      <c r="T236" s="2496"/>
      <c r="U236" s="2539"/>
    </row>
    <row r="237" spans="1:21" ht="12" customHeight="1" outlineLevel="1">
      <c r="A237" s="2574"/>
      <c r="B237" s="2569" t="s">
        <v>153</v>
      </c>
      <c r="C237" s="2674" t="s">
        <v>2189</v>
      </c>
      <c r="D237" s="2675"/>
      <c r="E237" s="2675"/>
      <c r="F237" s="2676"/>
      <c r="G237" s="2583" t="s">
        <v>638</v>
      </c>
      <c r="H237" s="2583">
        <v>2000000</v>
      </c>
      <c r="I237" s="2583">
        <v>6000000</v>
      </c>
      <c r="J237" s="2583">
        <v>6000000</v>
      </c>
      <c r="K237" s="2583">
        <v>6000000</v>
      </c>
      <c r="L237" s="2583">
        <v>6000000</v>
      </c>
      <c r="M237" s="2680">
        <f>+'[4]Silnice stavba'!$B$290</f>
        <v>6000000</v>
      </c>
      <c r="N237" s="2648">
        <f t="shared" si="9"/>
        <v>0</v>
      </c>
      <c r="O237" s="2573"/>
      <c r="P237" s="2573"/>
      <c r="Q237" s="2573"/>
      <c r="R237" s="2573"/>
      <c r="S237" s="2573"/>
      <c r="T237" s="2496"/>
      <c r="U237" s="2539"/>
    </row>
    <row r="238" spans="1:21" ht="12" customHeight="1" outlineLevel="1">
      <c r="A238" s="2574"/>
      <c r="B238" s="2569" t="s">
        <v>153</v>
      </c>
      <c r="C238" s="2674" t="s">
        <v>2190</v>
      </c>
      <c r="D238" s="2675"/>
      <c r="E238" s="2675"/>
      <c r="F238" s="2676"/>
      <c r="G238" s="2583" t="s">
        <v>638</v>
      </c>
      <c r="H238" s="2583">
        <v>0</v>
      </c>
      <c r="I238" s="2583">
        <v>0</v>
      </c>
      <c r="J238" s="2583">
        <v>0</v>
      </c>
      <c r="K238" s="2583">
        <v>0</v>
      </c>
      <c r="L238" s="2583">
        <v>0</v>
      </c>
      <c r="M238" s="2573">
        <f>+'[4]Silnice stavba'!$B$291</f>
        <v>0</v>
      </c>
      <c r="N238" s="2648">
        <f t="shared" si="9"/>
        <v>0</v>
      </c>
      <c r="O238" s="2573"/>
      <c r="P238" s="2573"/>
      <c r="Q238" s="2573"/>
      <c r="R238" s="2573"/>
      <c r="S238" s="2573"/>
      <c r="T238" s="2496"/>
      <c r="U238" s="2539"/>
    </row>
    <row r="239" spans="1:21" ht="12" customHeight="1" outlineLevel="1">
      <c r="A239" s="2574"/>
      <c r="B239" s="2569" t="s">
        <v>153</v>
      </c>
      <c r="C239" s="2674" t="s">
        <v>2191</v>
      </c>
      <c r="D239" s="2675"/>
      <c r="E239" s="2675"/>
      <c r="F239" s="2676"/>
      <c r="G239" s="2583" t="s">
        <v>638</v>
      </c>
      <c r="H239" s="2583">
        <v>0</v>
      </c>
      <c r="I239" s="2583">
        <v>0</v>
      </c>
      <c r="J239" s="2583">
        <v>0</v>
      </c>
      <c r="K239" s="2583">
        <v>0</v>
      </c>
      <c r="L239" s="2583">
        <v>0</v>
      </c>
      <c r="M239" s="2573">
        <f>+'[4]Silnice stavba'!$B$300</f>
        <v>0</v>
      </c>
      <c r="N239" s="2648">
        <f t="shared" si="9"/>
        <v>0</v>
      </c>
      <c r="O239" s="2573"/>
      <c r="P239" s="2573"/>
      <c r="Q239" s="2573"/>
      <c r="R239" s="2573"/>
      <c r="S239" s="2573" t="s">
        <v>337</v>
      </c>
      <c r="T239" s="2496"/>
      <c r="U239" s="2539"/>
    </row>
    <row r="240" spans="1:21" ht="12" customHeight="1" outlineLevel="1">
      <c r="A240" s="2574"/>
      <c r="B240" s="2569" t="s">
        <v>153</v>
      </c>
      <c r="C240" s="2674" t="s">
        <v>2379</v>
      </c>
      <c r="D240" s="2675"/>
      <c r="E240" s="2675"/>
      <c r="F240" s="2676"/>
      <c r="G240" s="2583" t="s">
        <v>638</v>
      </c>
      <c r="H240" s="2583">
        <v>212604</v>
      </c>
      <c r="I240" s="2583">
        <v>212604</v>
      </c>
      <c r="J240" s="2583">
        <v>212604</v>
      </c>
      <c r="K240" s="2583">
        <v>212604</v>
      </c>
      <c r="L240" s="2583">
        <v>212604</v>
      </c>
      <c r="M240" s="2573">
        <f>+'[4]Silnice stavba'!$B$301</f>
        <v>212604</v>
      </c>
      <c r="N240" s="2648">
        <f t="shared" si="9"/>
        <v>0</v>
      </c>
      <c r="O240" s="2573"/>
      <c r="P240" s="2573"/>
      <c r="Q240" s="2573"/>
      <c r="R240" s="2573"/>
      <c r="S240" s="2573"/>
      <c r="T240" s="2496"/>
      <c r="U240" s="2539"/>
    </row>
    <row r="241" spans="1:21" ht="12" customHeight="1" outlineLevel="1">
      <c r="A241" s="2574"/>
      <c r="B241" s="2569" t="s">
        <v>153</v>
      </c>
      <c r="C241" s="2674" t="s">
        <v>2586</v>
      </c>
      <c r="D241" s="2675"/>
      <c r="E241" s="2675"/>
      <c r="F241" s="2676"/>
      <c r="G241" s="2583" t="s">
        <v>638</v>
      </c>
      <c r="H241" s="2583">
        <v>0</v>
      </c>
      <c r="I241" s="2583">
        <v>0</v>
      </c>
      <c r="J241" s="2583">
        <v>0</v>
      </c>
      <c r="K241" s="2583">
        <v>0</v>
      </c>
      <c r="L241" s="2583">
        <v>0</v>
      </c>
      <c r="M241" s="2680">
        <f>+'[4]Silnice stavba'!$B$317</f>
        <v>0</v>
      </c>
      <c r="N241" s="2648">
        <f t="shared" si="9"/>
        <v>0</v>
      </c>
      <c r="O241" s="2573"/>
      <c r="P241" s="2573"/>
      <c r="Q241" s="2573"/>
      <c r="R241" s="2573"/>
      <c r="S241" s="2573"/>
      <c r="T241" s="2496"/>
      <c r="U241" s="2539"/>
    </row>
    <row r="242" spans="1:21" ht="12" customHeight="1" outlineLevel="1">
      <c r="A242" s="2574"/>
      <c r="B242" s="2569" t="s">
        <v>153</v>
      </c>
      <c r="C242" s="2674" t="s">
        <v>2587</v>
      </c>
      <c r="D242" s="2675"/>
      <c r="E242" s="2675"/>
      <c r="F242" s="2676"/>
      <c r="G242" s="2583" t="s">
        <v>638</v>
      </c>
      <c r="H242" s="2583">
        <v>300000</v>
      </c>
      <c r="I242" s="2583">
        <v>300000</v>
      </c>
      <c r="J242" s="2583">
        <v>300000</v>
      </c>
      <c r="K242" s="2583">
        <v>300000</v>
      </c>
      <c r="L242" s="2583">
        <v>300000</v>
      </c>
      <c r="M242" s="2573">
        <f>+'[4]Silnice stavba'!$B$314</f>
        <v>300000</v>
      </c>
      <c r="N242" s="2648">
        <f t="shared" si="9"/>
        <v>0</v>
      </c>
      <c r="O242" s="2573"/>
      <c r="P242" s="2573"/>
      <c r="Q242" s="2573"/>
      <c r="R242" s="2573"/>
      <c r="S242" s="2573"/>
      <c r="T242" s="2496"/>
      <c r="U242" s="2539"/>
    </row>
    <row r="243" spans="1:21" ht="12" customHeight="1" outlineLevel="1">
      <c r="A243" s="2574"/>
      <c r="B243" s="2569" t="s">
        <v>153</v>
      </c>
      <c r="C243" s="2674" t="s">
        <v>1669</v>
      </c>
      <c r="D243" s="2675"/>
      <c r="E243" s="2675"/>
      <c r="F243" s="2676"/>
      <c r="G243" s="2583" t="s">
        <v>638</v>
      </c>
      <c r="H243" s="2583">
        <v>0</v>
      </c>
      <c r="I243" s="2583">
        <v>0</v>
      </c>
      <c r="J243" s="2583">
        <v>0</v>
      </c>
      <c r="K243" s="2583">
        <v>0</v>
      </c>
      <c r="L243" s="2583">
        <v>0</v>
      </c>
      <c r="M243" s="2573">
        <f>+'[4]Silnice - pozemky'!$B$4</f>
        <v>0</v>
      </c>
      <c r="N243" s="2648">
        <f t="shared" si="9"/>
        <v>0</v>
      </c>
      <c r="O243" s="2573"/>
      <c r="P243" s="2573"/>
      <c r="Q243" s="2573"/>
      <c r="R243" s="2573"/>
      <c r="S243" s="2573"/>
      <c r="T243" s="2496"/>
      <c r="U243" s="2539"/>
    </row>
    <row r="244" spans="1:21" ht="12" customHeight="1" outlineLevel="1">
      <c r="A244" s="2574"/>
      <c r="B244" s="2569" t="s">
        <v>153</v>
      </c>
      <c r="C244" s="2681" t="s">
        <v>2230</v>
      </c>
      <c r="D244" s="2682"/>
      <c r="E244" s="2682"/>
      <c r="F244" s="2683"/>
      <c r="G244" s="2583" t="s">
        <v>638</v>
      </c>
      <c r="H244" s="2692">
        <v>0</v>
      </c>
      <c r="I244" s="2692">
        <v>0</v>
      </c>
      <c r="J244" s="2692">
        <v>0</v>
      </c>
      <c r="K244" s="2692">
        <v>0</v>
      </c>
      <c r="L244" s="2692"/>
      <c r="M244" s="2589"/>
      <c r="N244" s="2648">
        <f t="shared" si="9"/>
        <v>0</v>
      </c>
      <c r="O244" s="2589"/>
      <c r="P244" s="2589"/>
      <c r="Q244" s="2589"/>
      <c r="R244" s="2589"/>
      <c r="S244" s="2589"/>
      <c r="T244" s="2496"/>
      <c r="U244" s="2539"/>
    </row>
    <row r="245" spans="1:21" ht="12" customHeight="1" outlineLevel="1">
      <c r="A245" s="2574"/>
      <c r="B245" s="2569" t="s">
        <v>153</v>
      </c>
      <c r="C245" s="2681" t="s">
        <v>2231</v>
      </c>
      <c r="D245" s="2682"/>
      <c r="E245" s="2682"/>
      <c r="F245" s="2683"/>
      <c r="G245" s="2583" t="s">
        <v>638</v>
      </c>
      <c r="H245" s="2692"/>
      <c r="I245" s="2692"/>
      <c r="J245" s="2692"/>
      <c r="K245" s="2692"/>
      <c r="L245" s="2692"/>
      <c r="M245" s="2589"/>
      <c r="N245" s="2648">
        <f t="shared" si="9"/>
        <v>0</v>
      </c>
      <c r="O245" s="2589"/>
      <c r="P245" s="2589"/>
      <c r="Q245" s="2589"/>
      <c r="R245" s="2589"/>
      <c r="S245" s="2589"/>
      <c r="T245" s="2496"/>
      <c r="U245" s="2539"/>
    </row>
    <row r="246" spans="1:21" ht="12" customHeight="1" outlineLevel="1">
      <c r="A246" s="2574"/>
      <c r="B246" s="2569" t="s">
        <v>153</v>
      </c>
      <c r="C246" s="2681" t="s">
        <v>2228</v>
      </c>
      <c r="D246" s="2682"/>
      <c r="E246" s="2682"/>
      <c r="F246" s="2683"/>
      <c r="G246" s="2583" t="s">
        <v>638</v>
      </c>
      <c r="H246" s="2692"/>
      <c r="I246" s="2692"/>
      <c r="J246" s="2692"/>
      <c r="K246" s="2692"/>
      <c r="L246" s="2692"/>
      <c r="M246" s="2589"/>
      <c r="N246" s="2684">
        <f t="shared" si="9"/>
        <v>0</v>
      </c>
      <c r="O246" s="2589"/>
      <c r="P246" s="2589"/>
      <c r="Q246" s="2589"/>
      <c r="R246" s="2589"/>
      <c r="S246" s="2589"/>
      <c r="T246" s="2496"/>
      <c r="U246" s="2539"/>
    </row>
    <row r="247" spans="1:21" ht="12" customHeight="1" outlineLevel="1">
      <c r="A247" s="2574"/>
      <c r="B247" s="2569" t="s">
        <v>153</v>
      </c>
      <c r="C247" s="2681" t="s">
        <v>2230</v>
      </c>
      <c r="D247" s="2682"/>
      <c r="E247" s="2682"/>
      <c r="F247" s="2683"/>
      <c r="G247" s="2583" t="s">
        <v>638</v>
      </c>
      <c r="H247" s="2692"/>
      <c r="I247" s="2692"/>
      <c r="J247" s="2692"/>
      <c r="K247" s="2692"/>
      <c r="L247" s="2692"/>
      <c r="M247" s="2589"/>
      <c r="N247" s="2684">
        <f t="shared" si="9"/>
        <v>0</v>
      </c>
      <c r="O247" s="2589"/>
      <c r="P247" s="2589"/>
      <c r="Q247" s="2589"/>
      <c r="R247" s="2589"/>
      <c r="S247" s="2589"/>
      <c r="T247" s="2496"/>
      <c r="U247" s="2539"/>
    </row>
    <row r="248" spans="1:21" ht="12" customHeight="1" outlineLevel="1">
      <c r="A248" s="2574"/>
      <c r="B248" s="2569" t="s">
        <v>153</v>
      </c>
      <c r="C248" s="2681" t="s">
        <v>2307</v>
      </c>
      <c r="D248" s="2682"/>
      <c r="E248" s="2682"/>
      <c r="F248" s="2683"/>
      <c r="G248" s="2583" t="s">
        <v>638</v>
      </c>
      <c r="H248" s="2692"/>
      <c r="I248" s="2692"/>
      <c r="J248" s="2692"/>
      <c r="K248" s="2692"/>
      <c r="L248" s="2692"/>
      <c r="M248" s="2589"/>
      <c r="N248" s="2684">
        <f t="shared" si="9"/>
        <v>0</v>
      </c>
      <c r="O248" s="2589"/>
      <c r="P248" s="2589"/>
      <c r="Q248" s="2589"/>
      <c r="R248" s="2589"/>
      <c r="S248" s="2589"/>
      <c r="T248" s="2496"/>
      <c r="U248" s="2539"/>
    </row>
    <row r="249" spans="1:21" ht="12" customHeight="1" outlineLevel="1">
      <c r="A249" s="2574"/>
      <c r="B249" s="2569" t="s">
        <v>153</v>
      </c>
      <c r="C249" s="2681" t="s">
        <v>2232</v>
      </c>
      <c r="D249" s="2682"/>
      <c r="E249" s="2682"/>
      <c r="F249" s="2683"/>
      <c r="G249" s="2583" t="s">
        <v>638</v>
      </c>
      <c r="H249" s="2692"/>
      <c r="I249" s="2692"/>
      <c r="J249" s="2692"/>
      <c r="K249" s="2692"/>
      <c r="L249" s="2692"/>
      <c r="M249" s="2589"/>
      <c r="N249" s="2684">
        <f t="shared" si="9"/>
        <v>0</v>
      </c>
      <c r="O249" s="2589"/>
      <c r="P249" s="2589"/>
      <c r="Q249" s="2589"/>
      <c r="R249" s="2589"/>
      <c r="S249" s="2589"/>
      <c r="T249" s="2496"/>
      <c r="U249" s="2539"/>
    </row>
    <row r="250" spans="1:21" ht="12" customHeight="1" outlineLevel="1">
      <c r="A250" s="2574"/>
      <c r="B250" s="2569" t="s">
        <v>153</v>
      </c>
      <c r="C250" s="2681" t="s">
        <v>2307</v>
      </c>
      <c r="D250" s="2682"/>
      <c r="E250" s="2682"/>
      <c r="F250" s="2683"/>
      <c r="G250" s="2692"/>
      <c r="H250" s="2692">
        <v>240000</v>
      </c>
      <c r="I250" s="2692">
        <v>240000</v>
      </c>
      <c r="J250" s="2692">
        <v>240000</v>
      </c>
      <c r="K250" s="2692">
        <v>240000</v>
      </c>
      <c r="L250" s="2692">
        <v>240000</v>
      </c>
      <c r="M250" s="2589">
        <f>+[3]Silnice!$B$80</f>
        <v>240000</v>
      </c>
      <c r="N250" s="2684">
        <f t="shared" si="9"/>
        <v>0</v>
      </c>
      <c r="O250" s="2589"/>
      <c r="P250" s="2589"/>
      <c r="Q250" s="2589"/>
      <c r="R250" s="2589"/>
      <c r="S250" s="2589"/>
      <c r="T250" s="2496"/>
      <c r="U250" s="2539"/>
    </row>
    <row r="251" spans="1:21" ht="12" customHeight="1" outlineLevel="1">
      <c r="A251" s="2574"/>
      <c r="B251" s="2569" t="s">
        <v>153</v>
      </c>
      <c r="C251" s="2681" t="s">
        <v>2232</v>
      </c>
      <c r="D251" s="2682"/>
      <c r="E251" s="2682"/>
      <c r="F251" s="2683"/>
      <c r="G251" s="2692"/>
      <c r="H251" s="2692">
        <v>300000</v>
      </c>
      <c r="I251" s="2692">
        <v>300000</v>
      </c>
      <c r="J251" s="2692">
        <v>300000</v>
      </c>
      <c r="K251" s="2692">
        <v>300000</v>
      </c>
      <c r="L251" s="2692">
        <v>300000</v>
      </c>
      <c r="M251" s="2589">
        <f>+[3]Silnice!$D$81</f>
        <v>300000</v>
      </c>
      <c r="N251" s="2684">
        <f t="shared" si="9"/>
        <v>0</v>
      </c>
      <c r="O251" s="2589"/>
      <c r="P251" s="2589"/>
      <c r="Q251" s="2589"/>
      <c r="R251" s="2589"/>
      <c r="S251" s="2589"/>
      <c r="T251" s="2496"/>
      <c r="U251" s="2539"/>
    </row>
    <row r="252" spans="1:21" ht="12" customHeight="1" outlineLevel="1">
      <c r="A252" s="2574"/>
      <c r="B252" s="2569" t="s">
        <v>153</v>
      </c>
      <c r="C252" s="2681"/>
      <c r="D252" s="2682"/>
      <c r="E252" s="2682"/>
      <c r="F252" s="2683"/>
      <c r="G252" s="2692"/>
      <c r="H252" s="2692"/>
      <c r="I252" s="2692"/>
      <c r="J252" s="2692"/>
      <c r="K252" s="2692"/>
      <c r="L252" s="2692"/>
      <c r="M252" s="2589"/>
      <c r="N252" s="2684">
        <f t="shared" si="9"/>
        <v>0</v>
      </c>
      <c r="O252" s="2589"/>
      <c r="P252" s="2589"/>
      <c r="Q252" s="2589"/>
      <c r="R252" s="2589"/>
      <c r="S252" s="2589"/>
      <c r="T252" s="2496"/>
      <c r="U252" s="2539"/>
    </row>
    <row r="253" spans="1:21" ht="12" customHeight="1" outlineLevel="1" thickBot="1">
      <c r="A253" s="2634">
        <v>2212</v>
      </c>
      <c r="B253" s="2647" t="s">
        <v>153</v>
      </c>
      <c r="C253" s="2685"/>
      <c r="D253" s="2686"/>
      <c r="E253" s="2686"/>
      <c r="F253" s="2687"/>
      <c r="G253" s="2686" t="s">
        <v>638</v>
      </c>
      <c r="H253" s="2686"/>
      <c r="I253" s="2686"/>
      <c r="J253" s="2686"/>
      <c r="K253" s="2686"/>
      <c r="L253" s="2686"/>
      <c r="M253" s="2546"/>
      <c r="N253" s="2547">
        <f t="shared" si="9"/>
        <v>0</v>
      </c>
      <c r="O253" s="2546"/>
      <c r="P253" s="2546"/>
      <c r="Q253" s="2546"/>
      <c r="R253" s="2546"/>
      <c r="S253" s="2546"/>
      <c r="T253" s="2496"/>
      <c r="U253" s="2539"/>
    </row>
    <row r="254" spans="1:21" ht="13.9" thickBot="1">
      <c r="A254" s="3205" t="s">
        <v>631</v>
      </c>
      <c r="B254" s="3206"/>
      <c r="C254" s="2532"/>
      <c r="D254" s="2533"/>
      <c r="E254" s="2533"/>
      <c r="F254" s="2534"/>
      <c r="G254" s="2533"/>
      <c r="H254" s="2533">
        <v>8852604</v>
      </c>
      <c r="I254" s="2533">
        <v>17052604</v>
      </c>
      <c r="J254" s="2533">
        <v>17052604</v>
      </c>
      <c r="K254" s="2533">
        <v>17052604</v>
      </c>
      <c r="L254" s="2533">
        <v>17052604</v>
      </c>
      <c r="M254" s="2535">
        <f>SUM(M186:M253)</f>
        <v>17052604</v>
      </c>
      <c r="N254" s="2536">
        <f t="shared" si="9"/>
        <v>0</v>
      </c>
      <c r="O254" s="2537"/>
      <c r="P254" s="2537">
        <f>SUM(P186:P253)</f>
        <v>0</v>
      </c>
      <c r="Q254" s="2537"/>
      <c r="R254" s="2537"/>
      <c r="S254" s="2537"/>
      <c r="T254" s="2538">
        <f>'Výdaje kapitol celkem'!CG69</f>
        <v>17052604</v>
      </c>
      <c r="U254" s="2539">
        <f>+T254-M254</f>
        <v>0</v>
      </c>
    </row>
    <row r="255" spans="1:21" s="2581" customFormat="1" ht="12" customHeight="1" outlineLevel="1">
      <c r="A255" s="2574"/>
      <c r="B255" s="2515" t="s">
        <v>156</v>
      </c>
      <c r="C255" s="2653" t="s">
        <v>1647</v>
      </c>
      <c r="D255" s="2615"/>
      <c r="E255" s="2615"/>
      <c r="F255" s="2688"/>
      <c r="G255" s="2583" t="s">
        <v>638</v>
      </c>
      <c r="H255" s="2576">
        <v>250000</v>
      </c>
      <c r="I255" s="2576">
        <v>250000</v>
      </c>
      <c r="J255" s="2576">
        <v>250000</v>
      </c>
      <c r="K255" s="2576">
        <v>250000</v>
      </c>
      <c r="L255" s="2576">
        <v>250000</v>
      </c>
      <c r="M255" s="2519">
        <f>+'[4]Inženýrské sítě'!$B$4</f>
        <v>250000</v>
      </c>
      <c r="N255" s="2520">
        <f t="shared" si="9"/>
        <v>0</v>
      </c>
      <c r="O255" s="2519"/>
      <c r="P255" s="2519"/>
      <c r="Q255" s="2519"/>
      <c r="R255" s="2519"/>
      <c r="S255" s="2519"/>
      <c r="T255" s="2496"/>
      <c r="U255" s="2539"/>
    </row>
    <row r="256" spans="1:21" s="2581" customFormat="1" ht="12" customHeight="1" outlineLevel="1" thickBot="1">
      <c r="A256" s="2634">
        <v>3633</v>
      </c>
      <c r="B256" s="2569" t="s">
        <v>156</v>
      </c>
      <c r="C256" s="2582" t="s">
        <v>1646</v>
      </c>
      <c r="D256" s="2583"/>
      <c r="E256" s="2583"/>
      <c r="F256" s="2584"/>
      <c r="G256" s="2583" t="s">
        <v>638</v>
      </c>
      <c r="H256" s="2583">
        <v>0</v>
      </c>
      <c r="I256" s="2583">
        <v>0</v>
      </c>
      <c r="J256" s="2583">
        <v>0</v>
      </c>
      <c r="K256" s="2583">
        <v>0</v>
      </c>
      <c r="L256" s="2583">
        <v>0</v>
      </c>
      <c r="M256" s="2573">
        <f>+'[4]Inženýrské sítě'!$B$5</f>
        <v>0</v>
      </c>
      <c r="N256" s="2648">
        <f t="shared" si="9"/>
        <v>0</v>
      </c>
      <c r="O256" s="2573"/>
      <c r="P256" s="2573"/>
      <c r="Q256" s="2573"/>
      <c r="R256" s="2573"/>
      <c r="S256" s="2573"/>
      <c r="T256" s="2496"/>
      <c r="U256" s="2539"/>
    </row>
    <row r="257" spans="1:21" s="2581" customFormat="1" ht="12.75" customHeight="1" thickBot="1">
      <c r="A257" s="3205" t="s">
        <v>1190</v>
      </c>
      <c r="B257" s="3206"/>
      <c r="C257" s="2532"/>
      <c r="D257" s="2533"/>
      <c r="E257" s="2533"/>
      <c r="F257" s="2534"/>
      <c r="G257" s="2532"/>
      <c r="H257" s="2532">
        <v>250000</v>
      </c>
      <c r="I257" s="2532">
        <v>250000</v>
      </c>
      <c r="J257" s="2532">
        <v>250000</v>
      </c>
      <c r="K257" s="2532">
        <v>250000</v>
      </c>
      <c r="L257" s="2532">
        <v>250000</v>
      </c>
      <c r="M257" s="2535">
        <f>SUM(M255:M256)</f>
        <v>250000</v>
      </c>
      <c r="N257" s="2536">
        <f t="shared" si="9"/>
        <v>0</v>
      </c>
      <c r="O257" s="2537"/>
      <c r="P257" s="2537"/>
      <c r="Q257" s="2537"/>
      <c r="R257" s="2537"/>
      <c r="S257" s="2537"/>
      <c r="T257" s="2538">
        <f>'Výdaje kapitol celkem'!CW69</f>
        <v>250000</v>
      </c>
      <c r="U257" s="2539">
        <f>+T257-M257</f>
        <v>0</v>
      </c>
    </row>
    <row r="258" spans="1:21" s="2581" customFormat="1" ht="26.65" outlineLevel="1">
      <c r="A258" s="2574"/>
      <c r="B258" s="2515" t="s">
        <v>155</v>
      </c>
      <c r="C258" s="2653" t="s">
        <v>1670</v>
      </c>
      <c r="D258" s="2615"/>
      <c r="E258" s="2615"/>
      <c r="F258" s="2688"/>
      <c r="G258" s="2583" t="s">
        <v>638</v>
      </c>
      <c r="H258" s="2576">
        <v>50000</v>
      </c>
      <c r="I258" s="2576">
        <v>50000</v>
      </c>
      <c r="J258" s="2576">
        <v>50000</v>
      </c>
      <c r="K258" s="2576">
        <v>50000</v>
      </c>
      <c r="L258" s="2576">
        <v>50000</v>
      </c>
      <c r="M258" s="2519">
        <f>+[4]Kanalizace!$B$8</f>
        <v>50000</v>
      </c>
      <c r="N258" s="2520">
        <f t="shared" si="9"/>
        <v>0</v>
      </c>
      <c r="O258" s="2521"/>
      <c r="P258" s="2522"/>
      <c r="Q258" s="2523"/>
      <c r="R258" s="2523"/>
      <c r="S258" s="2519"/>
      <c r="T258" s="2496"/>
      <c r="U258" s="2539"/>
    </row>
    <row r="259" spans="1:21" s="2581" customFormat="1" ht="26.65" outlineLevel="1">
      <c r="A259" s="2574"/>
      <c r="B259" s="2569" t="s">
        <v>155</v>
      </c>
      <c r="C259" s="2582" t="s">
        <v>1671</v>
      </c>
      <c r="D259" s="2583"/>
      <c r="E259" s="2583"/>
      <c r="F259" s="2584"/>
      <c r="G259" s="2583" t="s">
        <v>638</v>
      </c>
      <c r="H259" s="2583">
        <v>0</v>
      </c>
      <c r="I259" s="2583">
        <v>0</v>
      </c>
      <c r="J259" s="2583">
        <v>0</v>
      </c>
      <c r="K259" s="2583">
        <v>0</v>
      </c>
      <c r="L259" s="2583">
        <v>0</v>
      </c>
      <c r="M259" s="2573">
        <f>+[4]Kanalizace!$B$9</f>
        <v>0</v>
      </c>
      <c r="N259" s="2648">
        <f t="shared" si="9"/>
        <v>0</v>
      </c>
      <c r="O259" s="2689"/>
      <c r="P259" s="2642"/>
      <c r="Q259" s="2690"/>
      <c r="R259" s="2690"/>
      <c r="S259" s="2573"/>
      <c r="T259" s="2496"/>
      <c r="U259" s="2539"/>
    </row>
    <row r="260" spans="1:21" s="2581" customFormat="1" ht="12" customHeight="1" outlineLevel="1">
      <c r="A260" s="2574"/>
      <c r="B260" s="2569" t="s">
        <v>155</v>
      </c>
      <c r="C260" s="2582" t="s">
        <v>1672</v>
      </c>
      <c r="D260" s="2583"/>
      <c r="E260" s="2583"/>
      <c r="F260" s="2584"/>
      <c r="G260" s="2583" t="s">
        <v>638</v>
      </c>
      <c r="H260" s="2583">
        <v>0</v>
      </c>
      <c r="I260" s="2583">
        <v>0</v>
      </c>
      <c r="J260" s="2583">
        <v>0</v>
      </c>
      <c r="K260" s="2583">
        <v>0</v>
      </c>
      <c r="L260" s="2583">
        <v>0</v>
      </c>
      <c r="M260" s="2573">
        <f>+[4]Kanalizace!$B$23</f>
        <v>0</v>
      </c>
      <c r="N260" s="2648">
        <f t="shared" si="9"/>
        <v>0</v>
      </c>
      <c r="O260" s="2689"/>
      <c r="P260" s="2642"/>
      <c r="Q260" s="2690"/>
      <c r="R260" s="2690"/>
      <c r="S260" s="2573"/>
      <c r="T260" s="2496"/>
      <c r="U260" s="2539"/>
    </row>
    <row r="261" spans="1:21" s="2581" customFormat="1" ht="12" customHeight="1" outlineLevel="1">
      <c r="A261" s="2574"/>
      <c r="B261" s="2569" t="s">
        <v>155</v>
      </c>
      <c r="C261" s="2582" t="s">
        <v>1673</v>
      </c>
      <c r="D261" s="2583"/>
      <c r="E261" s="2583"/>
      <c r="F261" s="2584"/>
      <c r="G261" s="2583" t="s">
        <v>638</v>
      </c>
      <c r="H261" s="2583">
        <v>0</v>
      </c>
      <c r="I261" s="2583">
        <v>0</v>
      </c>
      <c r="J261" s="2583">
        <v>0</v>
      </c>
      <c r="K261" s="2583">
        <v>0</v>
      </c>
      <c r="L261" s="2583">
        <v>0</v>
      </c>
      <c r="M261" s="2573">
        <f>+[4]Kanalizace!$B$24</f>
        <v>0</v>
      </c>
      <c r="N261" s="2648">
        <f t="shared" si="9"/>
        <v>0</v>
      </c>
      <c r="O261" s="2689"/>
      <c r="P261" s="2642"/>
      <c r="Q261" s="2690"/>
      <c r="R261" s="2690"/>
      <c r="S261" s="2573"/>
      <c r="T261" s="2496"/>
      <c r="U261" s="2539"/>
    </row>
    <row r="262" spans="1:21" s="2581" customFormat="1" ht="12" customHeight="1" outlineLevel="1">
      <c r="A262" s="2574"/>
      <c r="B262" s="2569" t="s">
        <v>155</v>
      </c>
      <c r="C262" s="2582" t="s">
        <v>1674</v>
      </c>
      <c r="D262" s="2583"/>
      <c r="E262" s="2583"/>
      <c r="F262" s="2584"/>
      <c r="G262" s="2583" t="s">
        <v>638</v>
      </c>
      <c r="H262" s="2583">
        <v>0</v>
      </c>
      <c r="I262" s="2583">
        <v>0</v>
      </c>
      <c r="J262" s="2583">
        <v>0</v>
      </c>
      <c r="K262" s="2583">
        <v>0</v>
      </c>
      <c r="L262" s="2583">
        <v>0</v>
      </c>
      <c r="M262" s="2573">
        <f>+[4]Kanalizace!$B$25</f>
        <v>0</v>
      </c>
      <c r="N262" s="2648">
        <f t="shared" si="9"/>
        <v>0</v>
      </c>
      <c r="O262" s="2689"/>
      <c r="P262" s="2642"/>
      <c r="Q262" s="2690"/>
      <c r="R262" s="2690"/>
      <c r="S262" s="2573"/>
      <c r="T262" s="2496"/>
      <c r="U262" s="2539"/>
    </row>
    <row r="263" spans="1:21" s="2581" customFormat="1" ht="12" customHeight="1" outlineLevel="1">
      <c r="A263" s="2574"/>
      <c r="B263" s="2569" t="s">
        <v>155</v>
      </c>
      <c r="C263" s="2582" t="s">
        <v>1675</v>
      </c>
      <c r="D263" s="2583"/>
      <c r="E263" s="2583"/>
      <c r="F263" s="2584"/>
      <c r="G263" s="2583" t="s">
        <v>638</v>
      </c>
      <c r="H263" s="2583">
        <v>0</v>
      </c>
      <c r="I263" s="2583">
        <v>0</v>
      </c>
      <c r="J263" s="2583">
        <v>0</v>
      </c>
      <c r="K263" s="2583">
        <v>0</v>
      </c>
      <c r="L263" s="2583">
        <v>0</v>
      </c>
      <c r="M263" s="2573">
        <f>+[4]Kanalizace!$B$29</f>
        <v>0</v>
      </c>
      <c r="N263" s="2648">
        <f t="shared" ref="N263:N323" si="10">+M263-L263</f>
        <v>0</v>
      </c>
      <c r="O263" s="2689"/>
      <c r="P263" s="2642"/>
      <c r="Q263" s="2690"/>
      <c r="R263" s="2690"/>
      <c r="S263" s="2573"/>
      <c r="T263" s="2496"/>
      <c r="U263" s="2539"/>
    </row>
    <row r="264" spans="1:21" s="2581" customFormat="1" ht="12" customHeight="1" outlineLevel="1">
      <c r="A264" s="2574"/>
      <c r="B264" s="2569" t="s">
        <v>155</v>
      </c>
      <c r="C264" s="2691" t="s">
        <v>1676</v>
      </c>
      <c r="D264" s="2692"/>
      <c r="E264" s="2692"/>
      <c r="F264" s="2693"/>
      <c r="G264" s="2692" t="s">
        <v>638</v>
      </c>
      <c r="H264" s="2692">
        <v>0</v>
      </c>
      <c r="I264" s="2692">
        <v>0</v>
      </c>
      <c r="J264" s="2692">
        <v>0</v>
      </c>
      <c r="K264" s="2692">
        <v>0</v>
      </c>
      <c r="L264" s="2692">
        <v>0</v>
      </c>
      <c r="M264" s="2589">
        <f>+[4]Kanalizace!$B$30</f>
        <v>0</v>
      </c>
      <c r="N264" s="2684">
        <f t="shared" si="10"/>
        <v>0</v>
      </c>
      <c r="O264" s="2694"/>
      <c r="P264" s="2695"/>
      <c r="Q264" s="2696"/>
      <c r="R264" s="2696"/>
      <c r="S264" s="2589"/>
      <c r="T264" s="2496"/>
      <c r="U264" s="2539"/>
    </row>
    <row r="265" spans="1:21" s="2581" customFormat="1" ht="12" customHeight="1" outlineLevel="1">
      <c r="A265" s="2574"/>
      <c r="B265" s="2569" t="s">
        <v>155</v>
      </c>
      <c r="C265" s="2691" t="s">
        <v>2876</v>
      </c>
      <c r="D265" s="2692"/>
      <c r="E265" s="2692"/>
      <c r="F265" s="2693"/>
      <c r="G265" s="2692" t="s">
        <v>638</v>
      </c>
      <c r="H265" s="2692">
        <v>0</v>
      </c>
      <c r="I265" s="2692">
        <v>0</v>
      </c>
      <c r="J265" s="2692">
        <v>0</v>
      </c>
      <c r="K265" s="2692">
        <v>0</v>
      </c>
      <c r="L265" s="2692">
        <v>0</v>
      </c>
      <c r="M265" s="2589">
        <f>+[4]Kanalizace!$B$41</f>
        <v>0</v>
      </c>
      <c r="N265" s="2684">
        <f t="shared" si="10"/>
        <v>0</v>
      </c>
      <c r="O265" s="2694"/>
      <c r="P265" s="2695"/>
      <c r="Q265" s="2696"/>
      <c r="R265" s="2696"/>
      <c r="S265" s="2589"/>
      <c r="T265" s="2496"/>
      <c r="U265" s="2539"/>
    </row>
    <row r="266" spans="1:21" s="2581" customFormat="1" ht="12" customHeight="1" outlineLevel="1">
      <c r="A266" s="2574"/>
      <c r="B266" s="2569" t="s">
        <v>155</v>
      </c>
      <c r="C266" s="2691" t="s">
        <v>1677</v>
      </c>
      <c r="D266" s="2692"/>
      <c r="E266" s="2692"/>
      <c r="F266" s="2693"/>
      <c r="G266" s="2692" t="s">
        <v>638</v>
      </c>
      <c r="H266" s="2692">
        <v>0</v>
      </c>
      <c r="I266" s="2692">
        <v>0</v>
      </c>
      <c r="J266" s="2692">
        <v>0</v>
      </c>
      <c r="K266" s="2692">
        <v>0</v>
      </c>
      <c r="L266" s="2692">
        <v>0</v>
      </c>
      <c r="M266" s="2589">
        <f>+[4]Kanalizace!$B$42</f>
        <v>0</v>
      </c>
      <c r="N266" s="2684">
        <f t="shared" si="10"/>
        <v>0</v>
      </c>
      <c r="O266" s="2694"/>
      <c r="P266" s="2695"/>
      <c r="Q266" s="2696"/>
      <c r="R266" s="2696"/>
      <c r="S266" s="2589"/>
      <c r="T266" s="2496"/>
      <c r="U266" s="2539"/>
    </row>
    <row r="267" spans="1:21" s="2581" customFormat="1" ht="12" customHeight="1" outlineLevel="1">
      <c r="A267" s="2574"/>
      <c r="B267" s="2628" t="s">
        <v>155</v>
      </c>
      <c r="C267" s="2658" t="s">
        <v>1678</v>
      </c>
      <c r="D267" s="2659"/>
      <c r="E267" s="2659"/>
      <c r="F267" s="2660"/>
      <c r="G267" s="2659" t="s">
        <v>4</v>
      </c>
      <c r="H267" s="2659">
        <v>24999000</v>
      </c>
      <c r="I267" s="2659">
        <v>24999000</v>
      </c>
      <c r="J267" s="2659">
        <v>24999000</v>
      </c>
      <c r="K267" s="2659">
        <v>24999000</v>
      </c>
      <c r="L267" s="2659">
        <v>14000000</v>
      </c>
      <c r="M267" s="2661">
        <f>+[4]Kanalizace!$C$53</f>
        <v>14000000</v>
      </c>
      <c r="N267" s="2662">
        <f t="shared" si="10"/>
        <v>0</v>
      </c>
      <c r="O267" s="2663"/>
      <c r="P267" s="2664">
        <f>+[4]Kanalizace!$C$60</f>
        <v>14000000</v>
      </c>
      <c r="Q267" s="2665"/>
      <c r="R267" s="2665"/>
      <c r="S267" s="2661"/>
      <c r="T267" s="2496"/>
      <c r="U267" s="2539"/>
    </row>
    <row r="268" spans="1:21" s="2581" customFormat="1" ht="12" customHeight="1" outlineLevel="1">
      <c r="A268" s="2574"/>
      <c r="B268" s="2569" t="s">
        <v>155</v>
      </c>
      <c r="C268" s="2691" t="s">
        <v>1678</v>
      </c>
      <c r="D268" s="2692"/>
      <c r="E268" s="2692"/>
      <c r="F268" s="2693"/>
      <c r="G268" s="2692" t="s">
        <v>638</v>
      </c>
      <c r="H268" s="2692">
        <v>38315200</v>
      </c>
      <c r="I268" s="2692">
        <v>48315200</v>
      </c>
      <c r="J268" s="2692">
        <v>48315200</v>
      </c>
      <c r="K268" s="2692">
        <v>48315200</v>
      </c>
      <c r="L268" s="2692">
        <v>20145200</v>
      </c>
      <c r="M268" s="2589">
        <f>+[4]Kanalizace!$D$53</f>
        <v>20145200</v>
      </c>
      <c r="N268" s="2684">
        <f t="shared" si="10"/>
        <v>0</v>
      </c>
      <c r="O268" s="2694">
        <f>+M268</f>
        <v>20145200</v>
      </c>
      <c r="P268" s="2695"/>
      <c r="Q268" s="2696"/>
      <c r="R268" s="2696"/>
      <c r="S268" s="2589"/>
      <c r="T268" s="2496"/>
      <c r="U268" s="2539"/>
    </row>
    <row r="269" spans="1:21" s="2581" customFormat="1" ht="12" customHeight="1" outlineLevel="1">
      <c r="A269" s="2574"/>
      <c r="B269" s="2569" t="s">
        <v>155</v>
      </c>
      <c r="C269" s="2691" t="s">
        <v>1679</v>
      </c>
      <c r="D269" s="2692"/>
      <c r="E269" s="2692"/>
      <c r="F269" s="2693"/>
      <c r="G269" s="2692" t="s">
        <v>638</v>
      </c>
      <c r="H269" s="2692">
        <v>0</v>
      </c>
      <c r="I269" s="2692">
        <v>0</v>
      </c>
      <c r="J269" s="2692">
        <v>0</v>
      </c>
      <c r="K269" s="2692">
        <v>0</v>
      </c>
      <c r="L269" s="2692">
        <v>0</v>
      </c>
      <c r="M269" s="2589">
        <f>+[4]Kanalizace!$B$54</f>
        <v>0</v>
      </c>
      <c r="N269" s="2684">
        <f t="shared" si="10"/>
        <v>0</v>
      </c>
      <c r="O269" s="2694"/>
      <c r="P269" s="2695"/>
      <c r="Q269" s="2696"/>
      <c r="R269" s="2696"/>
      <c r="S269" s="2589"/>
      <c r="T269" s="2496"/>
      <c r="U269" s="2539"/>
    </row>
    <row r="270" spans="1:21" s="2581" customFormat="1" ht="12" customHeight="1" outlineLevel="1">
      <c r="A270" s="2574"/>
      <c r="B270" s="2569" t="s">
        <v>155</v>
      </c>
      <c r="C270" s="2691" t="s">
        <v>1680</v>
      </c>
      <c r="D270" s="2692"/>
      <c r="E270" s="2692"/>
      <c r="F270" s="2693"/>
      <c r="G270" s="2692" t="s">
        <v>638</v>
      </c>
      <c r="H270" s="2692">
        <v>0</v>
      </c>
      <c r="I270" s="2692">
        <v>0</v>
      </c>
      <c r="J270" s="2692">
        <v>0</v>
      </c>
      <c r="K270" s="2692">
        <v>0</v>
      </c>
      <c r="L270" s="2692">
        <v>0</v>
      </c>
      <c r="M270" s="2589">
        <f>+[4]Kanalizace!$B$67</f>
        <v>0</v>
      </c>
      <c r="N270" s="2684">
        <f t="shared" si="10"/>
        <v>0</v>
      </c>
      <c r="O270" s="2694"/>
      <c r="P270" s="2695"/>
      <c r="Q270" s="2696"/>
      <c r="R270" s="2696"/>
      <c r="S270" s="2589"/>
      <c r="T270" s="2496"/>
      <c r="U270" s="2539"/>
    </row>
    <row r="271" spans="1:21" s="2581" customFormat="1" ht="12" customHeight="1" outlineLevel="1">
      <c r="A271" s="2574"/>
      <c r="B271" s="2569" t="s">
        <v>155</v>
      </c>
      <c r="C271" s="2691" t="s">
        <v>1681</v>
      </c>
      <c r="D271" s="2692"/>
      <c r="E271" s="2692"/>
      <c r="F271" s="2693"/>
      <c r="G271" s="2692" t="s">
        <v>638</v>
      </c>
      <c r="H271" s="2692">
        <v>0</v>
      </c>
      <c r="I271" s="2692">
        <v>0</v>
      </c>
      <c r="J271" s="2692">
        <v>0</v>
      </c>
      <c r="K271" s="2692">
        <v>0</v>
      </c>
      <c r="L271" s="2692">
        <v>0</v>
      </c>
      <c r="M271" s="2589">
        <f>+[4]Kanalizace!$B$68</f>
        <v>0</v>
      </c>
      <c r="N271" s="2684">
        <f t="shared" si="10"/>
        <v>0</v>
      </c>
      <c r="O271" s="2694"/>
      <c r="P271" s="2695"/>
      <c r="Q271" s="2696"/>
      <c r="R271" s="2696"/>
      <c r="S271" s="2589"/>
      <c r="T271" s="2496"/>
      <c r="U271" s="2539"/>
    </row>
    <row r="272" spans="1:21" s="2581" customFormat="1" ht="12" customHeight="1" outlineLevel="1">
      <c r="A272" s="2574"/>
      <c r="B272" s="2569" t="s">
        <v>155</v>
      </c>
      <c r="C272" s="2691" t="s">
        <v>2199</v>
      </c>
      <c r="D272" s="2692"/>
      <c r="E272" s="2692"/>
      <c r="F272" s="2693"/>
      <c r="G272" s="2692" t="s">
        <v>638</v>
      </c>
      <c r="H272" s="2692">
        <v>0</v>
      </c>
      <c r="I272" s="2692">
        <v>0</v>
      </c>
      <c r="J272" s="2692">
        <v>0</v>
      </c>
      <c r="K272" s="2692">
        <v>0</v>
      </c>
      <c r="L272" s="2692">
        <v>0</v>
      </c>
      <c r="M272" s="2589">
        <f>+[4]Kanalizace!$B$79</f>
        <v>0</v>
      </c>
      <c r="N272" s="2684">
        <f t="shared" si="10"/>
        <v>0</v>
      </c>
      <c r="O272" s="2694"/>
      <c r="P272" s="2695"/>
      <c r="Q272" s="2696"/>
      <c r="R272" s="2696"/>
      <c r="S272" s="2589"/>
      <c r="T272" s="2496"/>
      <c r="U272" s="2539"/>
    </row>
    <row r="273" spans="1:21" s="2581" customFormat="1" ht="12" customHeight="1" outlineLevel="1">
      <c r="A273" s="2574"/>
      <c r="B273" s="2569" t="s">
        <v>155</v>
      </c>
      <c r="C273" s="2691" t="s">
        <v>2200</v>
      </c>
      <c r="D273" s="2692"/>
      <c r="E273" s="2692"/>
      <c r="F273" s="2693"/>
      <c r="G273" s="2692" t="s">
        <v>638</v>
      </c>
      <c r="H273" s="2692">
        <v>1500000</v>
      </c>
      <c r="I273" s="2692">
        <v>1500000</v>
      </c>
      <c r="J273" s="2692">
        <v>1500000</v>
      </c>
      <c r="K273" s="2692">
        <v>1500000</v>
      </c>
      <c r="L273" s="2692">
        <v>1500000</v>
      </c>
      <c r="M273" s="2589">
        <f>+[4]Kanalizace!$B$80</f>
        <v>1500000</v>
      </c>
      <c r="N273" s="2684">
        <f t="shared" si="10"/>
        <v>0</v>
      </c>
      <c r="O273" s="2694"/>
      <c r="P273" s="2695"/>
      <c r="Q273" s="2696"/>
      <c r="R273" s="2696"/>
      <c r="S273" s="2589"/>
      <c r="T273" s="2496"/>
      <c r="U273" s="2539"/>
    </row>
    <row r="274" spans="1:21" s="2581" customFormat="1" ht="12" customHeight="1" outlineLevel="1" thickBot="1">
      <c r="A274" s="2634" t="s">
        <v>179</v>
      </c>
      <c r="B274" s="2595" t="s">
        <v>155</v>
      </c>
      <c r="C274" s="2604"/>
      <c r="D274" s="2596"/>
      <c r="E274" s="2596"/>
      <c r="F274" s="2605"/>
      <c r="G274" s="2596" t="s">
        <v>638</v>
      </c>
      <c r="H274" s="2596"/>
      <c r="I274" s="2596"/>
      <c r="J274" s="2596"/>
      <c r="K274" s="2596"/>
      <c r="L274" s="2596"/>
      <c r="M274" s="2546"/>
      <c r="N274" s="2547">
        <f t="shared" si="10"/>
        <v>0</v>
      </c>
      <c r="O274" s="2697"/>
      <c r="P274" s="2698"/>
      <c r="Q274" s="2699"/>
      <c r="R274" s="2699"/>
      <c r="S274" s="2546"/>
      <c r="T274" s="2496"/>
      <c r="U274" s="2539"/>
    </row>
    <row r="275" spans="1:21" s="2581" customFormat="1" ht="13.9" thickBot="1">
      <c r="A275" s="3205" t="s">
        <v>632</v>
      </c>
      <c r="B275" s="3206"/>
      <c r="C275" s="2532"/>
      <c r="D275" s="2533"/>
      <c r="E275" s="2533"/>
      <c r="F275" s="2534"/>
      <c r="G275" s="2533"/>
      <c r="H275" s="2533">
        <v>64864200</v>
      </c>
      <c r="I275" s="2533">
        <v>74864200</v>
      </c>
      <c r="J275" s="2533">
        <v>74864200</v>
      </c>
      <c r="K275" s="2533">
        <v>74864200</v>
      </c>
      <c r="L275" s="2533">
        <v>35695200</v>
      </c>
      <c r="M275" s="2535">
        <f>SUM(M258:M274)</f>
        <v>35695200</v>
      </c>
      <c r="N275" s="2536">
        <f t="shared" si="10"/>
        <v>0</v>
      </c>
      <c r="O275" s="2537"/>
      <c r="P275" s="2537">
        <f>SUM(P258:P263)</f>
        <v>0</v>
      </c>
      <c r="Q275" s="2537"/>
      <c r="R275" s="2537"/>
      <c r="S275" s="2537"/>
      <c r="T275" s="2538">
        <f>'Výdaje kapitol celkem'!CQ69</f>
        <v>35695200</v>
      </c>
      <c r="U275" s="2539">
        <f>+T275-M275</f>
        <v>0</v>
      </c>
    </row>
    <row r="276" spans="1:21" s="2581" customFormat="1" ht="12" hidden="1" customHeight="1" outlineLevel="1">
      <c r="A276" s="2541"/>
      <c r="B276" s="2653" t="s">
        <v>154</v>
      </c>
      <c r="C276" s="2653"/>
      <c r="D276" s="2615"/>
      <c r="E276" s="2615"/>
      <c r="F276" s="2688"/>
      <c r="G276" s="2615" t="s">
        <v>638</v>
      </c>
      <c r="H276" s="2615">
        <v>0</v>
      </c>
      <c r="I276" s="2615">
        <v>0</v>
      </c>
      <c r="J276" s="2615">
        <v>0</v>
      </c>
      <c r="K276" s="2615">
        <v>0</v>
      </c>
      <c r="L276" s="2615">
        <v>0</v>
      </c>
      <c r="M276" s="2519">
        <f>+[4]Vodovod!$B$4</f>
        <v>0</v>
      </c>
      <c r="N276" s="2520">
        <f t="shared" si="10"/>
        <v>0</v>
      </c>
      <c r="O276" s="2521"/>
      <c r="P276" s="2522"/>
      <c r="Q276" s="2523"/>
      <c r="R276" s="2523"/>
      <c r="S276" s="2519"/>
      <c r="T276" s="2496"/>
      <c r="U276" s="2539"/>
    </row>
    <row r="277" spans="1:21" s="2581" customFormat="1" ht="12" hidden="1" customHeight="1" outlineLevel="1">
      <c r="A277" s="2541"/>
      <c r="B277" s="2582" t="s">
        <v>154</v>
      </c>
      <c r="C277" s="2582"/>
      <c r="D277" s="2583"/>
      <c r="E277" s="2583"/>
      <c r="F277" s="2584"/>
      <c r="G277" s="2583" t="s">
        <v>638</v>
      </c>
      <c r="H277" s="2583">
        <v>0</v>
      </c>
      <c r="I277" s="2583">
        <v>0</v>
      </c>
      <c r="J277" s="2583">
        <v>0</v>
      </c>
      <c r="K277" s="2583">
        <v>0</v>
      </c>
      <c r="L277" s="2583">
        <v>0</v>
      </c>
      <c r="M277" s="2573">
        <f>+[4]Vodovod!$B$5</f>
        <v>0</v>
      </c>
      <c r="N277" s="2648">
        <f t="shared" si="10"/>
        <v>0</v>
      </c>
      <c r="O277" s="2689"/>
      <c r="P277" s="2642"/>
      <c r="Q277" s="2690"/>
      <c r="R277" s="2690"/>
      <c r="S277" s="2573"/>
      <c r="T277" s="2496"/>
      <c r="U277" s="2539"/>
    </row>
    <row r="278" spans="1:21" s="2581" customFormat="1" ht="16.5" hidden="1" customHeight="1" outlineLevel="1" thickBot="1">
      <c r="A278" s="2542">
        <v>2310</v>
      </c>
      <c r="B278" s="2595" t="s">
        <v>154</v>
      </c>
      <c r="C278" s="2595"/>
      <c r="D278" s="2591"/>
      <c r="E278" s="2591"/>
      <c r="F278" s="2592"/>
      <c r="G278" s="2591" t="s">
        <v>638</v>
      </c>
      <c r="H278" s="2591"/>
      <c r="I278" s="2591"/>
      <c r="J278" s="2591"/>
      <c r="K278" s="2591"/>
      <c r="L278" s="2591"/>
      <c r="M278" s="2646"/>
      <c r="N278" s="2568">
        <f t="shared" si="10"/>
        <v>0</v>
      </c>
      <c r="O278" s="2700"/>
      <c r="P278" s="2646"/>
      <c r="Q278" s="2701"/>
      <c r="R278" s="2701"/>
      <c r="S278" s="2567"/>
      <c r="T278" s="2496"/>
      <c r="U278" s="2539"/>
    </row>
    <row r="279" spans="1:21" s="2581" customFormat="1" ht="13.9" collapsed="1" thickBot="1">
      <c r="A279" s="3205" t="s">
        <v>644</v>
      </c>
      <c r="B279" s="3206"/>
      <c r="C279" s="2532"/>
      <c r="D279" s="2533"/>
      <c r="E279" s="2533"/>
      <c r="F279" s="2534"/>
      <c r="G279" s="2533"/>
      <c r="H279" s="2533">
        <v>0</v>
      </c>
      <c r="I279" s="2533">
        <v>0</v>
      </c>
      <c r="J279" s="2533">
        <v>0</v>
      </c>
      <c r="K279" s="2533">
        <v>0</v>
      </c>
      <c r="L279" s="2533">
        <v>0</v>
      </c>
      <c r="M279" s="2535">
        <f>SUM(M276:M278)</f>
        <v>0</v>
      </c>
      <c r="N279" s="2536">
        <f t="shared" si="10"/>
        <v>0</v>
      </c>
      <c r="O279" s="2537"/>
      <c r="P279" s="2537">
        <f>+P276+P278</f>
        <v>0</v>
      </c>
      <c r="Q279" s="2537"/>
      <c r="R279" s="2537"/>
      <c r="S279" s="2537"/>
      <c r="T279" s="2538">
        <f>'Výdaje kapitol celkem'!CK69</f>
        <v>0</v>
      </c>
      <c r="U279" s="2539">
        <f>+T279-M279</f>
        <v>0</v>
      </c>
    </row>
    <row r="280" spans="1:21" s="2581" customFormat="1" ht="12" customHeight="1" outlineLevel="1">
      <c r="A280" s="2574"/>
      <c r="B280" s="2515" t="s">
        <v>151</v>
      </c>
      <c r="C280" s="2653" t="s">
        <v>2424</v>
      </c>
      <c r="D280" s="2615"/>
      <c r="E280" s="2615"/>
      <c r="F280" s="2688"/>
      <c r="G280" s="2583" t="s">
        <v>638</v>
      </c>
      <c r="H280" s="2576">
        <v>250000</v>
      </c>
      <c r="I280" s="2576">
        <v>250000</v>
      </c>
      <c r="J280" s="2576">
        <v>250000</v>
      </c>
      <c r="K280" s="2576">
        <v>250000</v>
      </c>
      <c r="L280" s="2576">
        <v>250000</v>
      </c>
      <c r="M280" s="2519">
        <f>+'[7]Územní plán 3635'!$B$31</f>
        <v>250000</v>
      </c>
      <c r="N280" s="2520">
        <f t="shared" si="10"/>
        <v>0</v>
      </c>
      <c r="O280" s="2521"/>
      <c r="P280" s="2522"/>
      <c r="Q280" s="2523"/>
      <c r="R280" s="2523"/>
      <c r="S280" s="2519"/>
      <c r="T280" s="2496"/>
      <c r="U280" s="2539"/>
    </row>
    <row r="281" spans="1:21" s="2581" customFormat="1" ht="12" customHeight="1" outlineLevel="1" thickBot="1">
      <c r="A281" s="2542">
        <v>3635</v>
      </c>
      <c r="B281" s="2569" t="s">
        <v>151</v>
      </c>
      <c r="C281" s="2582" t="s">
        <v>2425</v>
      </c>
      <c r="D281" s="2583"/>
      <c r="E281" s="2583"/>
      <c r="F281" s="2584"/>
      <c r="G281" s="2583" t="s">
        <v>638</v>
      </c>
      <c r="H281" s="2583">
        <v>250000</v>
      </c>
      <c r="I281" s="2583">
        <v>250000</v>
      </c>
      <c r="J281" s="2583">
        <v>339056</v>
      </c>
      <c r="K281" s="2583">
        <v>339056</v>
      </c>
      <c r="L281" s="2583">
        <v>339056</v>
      </c>
      <c r="M281" s="2573">
        <f>+'[7]Územní plán 3635'!$B$32</f>
        <v>339056</v>
      </c>
      <c r="N281" s="2648">
        <f t="shared" si="10"/>
        <v>0</v>
      </c>
      <c r="O281" s="2689"/>
      <c r="P281" s="2642"/>
      <c r="Q281" s="2690"/>
      <c r="R281" s="2690"/>
      <c r="S281" s="2573"/>
      <c r="T281" s="2496"/>
      <c r="U281" s="2539"/>
    </row>
    <row r="282" spans="1:21" s="2581" customFormat="1" ht="13.9" thickBot="1">
      <c r="A282" s="3205" t="s">
        <v>1191</v>
      </c>
      <c r="B282" s="3206"/>
      <c r="C282" s="2532" t="s">
        <v>106</v>
      </c>
      <c r="D282" s="2533"/>
      <c r="E282" s="2533"/>
      <c r="F282" s="2534"/>
      <c r="G282" s="2533" t="s">
        <v>638</v>
      </c>
      <c r="H282" s="2533">
        <v>500000</v>
      </c>
      <c r="I282" s="2533">
        <v>500000</v>
      </c>
      <c r="J282" s="2533">
        <v>589056</v>
      </c>
      <c r="K282" s="2533">
        <v>589056</v>
      </c>
      <c r="L282" s="2533">
        <v>589056</v>
      </c>
      <c r="M282" s="2535">
        <f>SUM(M280:M281)</f>
        <v>589056</v>
      </c>
      <c r="N282" s="3075">
        <f t="shared" si="10"/>
        <v>0</v>
      </c>
      <c r="O282" s="2532"/>
      <c r="P282" s="2532">
        <v>0</v>
      </c>
      <c r="Q282" s="2532"/>
      <c r="R282" s="2532"/>
      <c r="S282" s="2532"/>
      <c r="T282" s="2538">
        <f>'Výdaje kapitol celkem'!CC69</f>
        <v>589056</v>
      </c>
      <c r="U282" s="2539">
        <f>+T282-M282</f>
        <v>0</v>
      </c>
    </row>
    <row r="283" spans="1:21" s="2581" customFormat="1" ht="12" hidden="1" customHeight="1" outlineLevel="1">
      <c r="A283" s="2574"/>
      <c r="B283" s="2653" t="s">
        <v>161</v>
      </c>
      <c r="C283" s="2653"/>
      <c r="D283" s="2615"/>
      <c r="E283" s="2615"/>
      <c r="F283" s="2688"/>
      <c r="G283" s="2615" t="s">
        <v>638</v>
      </c>
      <c r="H283" s="2615"/>
      <c r="I283" s="2615"/>
      <c r="J283" s="2615"/>
      <c r="K283" s="2615"/>
      <c r="L283" s="2615"/>
      <c r="M283" s="2519"/>
      <c r="N283" s="2520">
        <f t="shared" si="10"/>
        <v>0</v>
      </c>
      <c r="O283" s="2521"/>
      <c r="P283" s="2522"/>
      <c r="Q283" s="2523"/>
      <c r="R283" s="2523"/>
      <c r="S283" s="2519"/>
      <c r="T283" s="2496"/>
      <c r="U283" s="2539"/>
    </row>
    <row r="284" spans="1:21" s="2581" customFormat="1" ht="13.9" hidden="1" outlineLevel="1" thickBot="1">
      <c r="A284" s="2542">
        <v>3330</v>
      </c>
      <c r="B284" s="2595" t="s">
        <v>161</v>
      </c>
      <c r="C284" s="2595"/>
      <c r="D284" s="2591"/>
      <c r="E284" s="2591"/>
      <c r="F284" s="2592"/>
      <c r="G284" s="2591" t="s">
        <v>638</v>
      </c>
      <c r="H284" s="2591"/>
      <c r="I284" s="2591"/>
      <c r="J284" s="2591"/>
      <c r="K284" s="2591"/>
      <c r="L284" s="2591"/>
      <c r="M284" s="2567"/>
      <c r="N284" s="2568">
        <f t="shared" si="10"/>
        <v>0</v>
      </c>
      <c r="O284" s="2700"/>
      <c r="P284" s="2646"/>
      <c r="Q284" s="2701"/>
      <c r="R284" s="2701"/>
      <c r="S284" s="2702"/>
      <c r="T284" s="2496"/>
      <c r="U284" s="2539"/>
    </row>
    <row r="285" spans="1:21" s="2581" customFormat="1" ht="13.9" collapsed="1" thickBot="1">
      <c r="A285" s="3205" t="s">
        <v>633</v>
      </c>
      <c r="B285" s="3206"/>
      <c r="C285" s="2532"/>
      <c r="D285" s="2533"/>
      <c r="E285" s="2533"/>
      <c r="F285" s="2534"/>
      <c r="G285" s="2533"/>
      <c r="H285" s="2533">
        <v>0</v>
      </c>
      <c r="I285" s="2533">
        <v>0</v>
      </c>
      <c r="J285" s="2533">
        <v>0</v>
      </c>
      <c r="K285" s="2533">
        <v>0</v>
      </c>
      <c r="L285" s="2533">
        <v>0</v>
      </c>
      <c r="M285" s="2535">
        <f t="shared" ref="M285" si="11">SUM(M283:M284)</f>
        <v>0</v>
      </c>
      <c r="N285" s="3075">
        <f t="shared" si="10"/>
        <v>0</v>
      </c>
      <c r="O285" s="2532"/>
      <c r="P285" s="2532">
        <f t="shared" ref="P285" si="12">SUM(P283:P284)</f>
        <v>0</v>
      </c>
      <c r="Q285" s="2532"/>
      <c r="R285" s="2532"/>
      <c r="S285" s="2532"/>
      <c r="T285" s="2538">
        <f>'Výdaje kapitol celkem'!DY69</f>
        <v>0</v>
      </c>
      <c r="U285" s="2539">
        <f>+T285-M285</f>
        <v>0</v>
      </c>
    </row>
    <row r="286" spans="1:21" ht="15" hidden="1" customHeight="1" outlineLevel="1">
      <c r="A286" s="2574"/>
      <c r="B286" s="2569" t="s">
        <v>492</v>
      </c>
      <c r="C286" s="2674"/>
      <c r="D286" s="2675"/>
      <c r="E286" s="2675"/>
      <c r="F286" s="2676"/>
      <c r="G286" s="2615" t="s">
        <v>638</v>
      </c>
      <c r="H286" s="2576"/>
      <c r="I286" s="2576"/>
      <c r="J286" s="2576"/>
      <c r="K286" s="2576"/>
      <c r="L286" s="2576"/>
      <c r="M286" s="2573"/>
      <c r="N286" s="2648">
        <f t="shared" si="10"/>
        <v>0</v>
      </c>
      <c r="O286" s="2689"/>
      <c r="P286" s="2642"/>
      <c r="Q286" s="2690"/>
      <c r="R286" s="2690"/>
      <c r="S286" s="2573"/>
      <c r="T286" s="2496"/>
      <c r="U286" s="2539"/>
    </row>
    <row r="287" spans="1:21" s="2500" customFormat="1" ht="12" hidden="1" customHeight="1" outlineLevel="1" thickBot="1">
      <c r="A287" s="2542" t="s">
        <v>263</v>
      </c>
      <c r="B287" s="2595" t="s">
        <v>492</v>
      </c>
      <c r="C287" s="2595"/>
      <c r="D287" s="2591"/>
      <c r="E287" s="2591"/>
      <c r="F287" s="2592"/>
      <c r="G287" s="2591" t="s">
        <v>638</v>
      </c>
      <c r="H287" s="2591"/>
      <c r="I287" s="2591"/>
      <c r="J287" s="2591"/>
      <c r="K287" s="2591"/>
      <c r="L287" s="2591"/>
      <c r="M287" s="2567"/>
      <c r="N287" s="2568">
        <f t="shared" si="10"/>
        <v>0</v>
      </c>
      <c r="O287" s="2700"/>
      <c r="P287" s="2646"/>
      <c r="Q287" s="2701"/>
      <c r="R287" s="2701"/>
      <c r="S287" s="2567"/>
      <c r="T287" s="2496"/>
      <c r="U287" s="2539"/>
    </row>
    <row r="288" spans="1:21" s="2581" customFormat="1" ht="13.9" collapsed="1" thickBot="1">
      <c r="A288" s="3205" t="s">
        <v>1195</v>
      </c>
      <c r="B288" s="3206"/>
      <c r="C288" s="2532"/>
      <c r="D288" s="2533"/>
      <c r="E288" s="2533"/>
      <c r="F288" s="2534"/>
      <c r="G288" s="2533"/>
      <c r="H288" s="2533">
        <v>0</v>
      </c>
      <c r="I288" s="2533">
        <v>0</v>
      </c>
      <c r="J288" s="2533">
        <v>0</v>
      </c>
      <c r="K288" s="2533">
        <v>0</v>
      </c>
      <c r="L288" s="2533">
        <v>0</v>
      </c>
      <c r="M288" s="2535">
        <f>SUM(M286:M287)</f>
        <v>0</v>
      </c>
      <c r="N288" s="3075">
        <f t="shared" si="10"/>
        <v>0</v>
      </c>
      <c r="O288" s="2532"/>
      <c r="P288" s="2532">
        <f t="shared" ref="P288" si="13">SUM(P286:P287)</f>
        <v>0</v>
      </c>
      <c r="Q288" s="2532"/>
      <c r="R288" s="2532"/>
      <c r="S288" s="2532"/>
      <c r="T288" s="2538">
        <f>'Výdaje kapitol celkem'!DS69</f>
        <v>0</v>
      </c>
      <c r="U288" s="2539">
        <f>+T288-M288</f>
        <v>0</v>
      </c>
    </row>
    <row r="289" spans="1:21" s="2581" customFormat="1" ht="13.5" hidden="1" outlineLevel="1">
      <c r="A289" s="2541"/>
      <c r="B289" s="2653" t="s">
        <v>158</v>
      </c>
      <c r="C289" s="2653"/>
      <c r="D289" s="2615"/>
      <c r="E289" s="2615"/>
      <c r="F289" s="2688"/>
      <c r="G289" s="2615" t="s">
        <v>638</v>
      </c>
      <c r="H289" s="2615">
        <v>0</v>
      </c>
      <c r="I289" s="2615">
        <v>0</v>
      </c>
      <c r="J289" s="2615">
        <v>0</v>
      </c>
      <c r="K289" s="2615">
        <v>0</v>
      </c>
      <c r="L289" s="2615">
        <v>0</v>
      </c>
      <c r="M289" s="2519">
        <f>+'[7]Povodeň 3744'!$B$31</f>
        <v>0</v>
      </c>
      <c r="N289" s="2520">
        <f t="shared" si="10"/>
        <v>0</v>
      </c>
      <c r="O289" s="2521"/>
      <c r="P289" s="2522"/>
      <c r="Q289" s="2523"/>
      <c r="R289" s="2523"/>
      <c r="S289" s="2519"/>
      <c r="T289" s="2496"/>
      <c r="U289" s="2539"/>
    </row>
    <row r="290" spans="1:21" s="2581" customFormat="1" ht="13.9" hidden="1" outlineLevel="1" thickBot="1">
      <c r="A290" s="2542">
        <v>3744</v>
      </c>
      <c r="B290" s="2595" t="s">
        <v>158</v>
      </c>
      <c r="C290" s="2595"/>
      <c r="D290" s="2591"/>
      <c r="E290" s="2591"/>
      <c r="F290" s="2592"/>
      <c r="G290" s="2591" t="s">
        <v>638</v>
      </c>
      <c r="H290" s="2591">
        <v>0</v>
      </c>
      <c r="I290" s="2591">
        <v>0</v>
      </c>
      <c r="J290" s="2591">
        <v>0</v>
      </c>
      <c r="K290" s="2591">
        <v>0</v>
      </c>
      <c r="L290" s="2591">
        <v>0</v>
      </c>
      <c r="M290" s="2567">
        <f>+'[7]Povodeň 3744'!$B$32</f>
        <v>0</v>
      </c>
      <c r="N290" s="2568">
        <f t="shared" si="10"/>
        <v>0</v>
      </c>
      <c r="O290" s="2700"/>
      <c r="P290" s="2646"/>
      <c r="Q290" s="2701"/>
      <c r="R290" s="2701"/>
      <c r="S290" s="2567"/>
      <c r="T290" s="2496"/>
      <c r="U290" s="2539"/>
    </row>
    <row r="291" spans="1:21" s="2581" customFormat="1" ht="13.9" collapsed="1" thickBot="1">
      <c r="A291" s="3205" t="s">
        <v>1196</v>
      </c>
      <c r="B291" s="3206"/>
      <c r="C291" s="2532"/>
      <c r="D291" s="2533"/>
      <c r="E291" s="2533"/>
      <c r="F291" s="2534"/>
      <c r="G291" s="2533"/>
      <c r="H291" s="2533">
        <v>0</v>
      </c>
      <c r="I291" s="2533">
        <v>0</v>
      </c>
      <c r="J291" s="2533">
        <v>0</v>
      </c>
      <c r="K291" s="2533">
        <v>0</v>
      </c>
      <c r="L291" s="2533">
        <v>0</v>
      </c>
      <c r="M291" s="2535">
        <f>SUM(M289:M290)</f>
        <v>0</v>
      </c>
      <c r="N291" s="3075">
        <f t="shared" si="10"/>
        <v>0</v>
      </c>
      <c r="O291" s="2532"/>
      <c r="P291" s="2532">
        <f t="shared" ref="P291" si="14">SUM(P289:P290)</f>
        <v>0</v>
      </c>
      <c r="Q291" s="2532"/>
      <c r="R291" s="2532"/>
      <c r="S291" s="2532"/>
      <c r="T291" s="2538">
        <f>'Výdaje kapitol celkem'!DJ69</f>
        <v>0</v>
      </c>
      <c r="U291" s="2539">
        <f>+T291-M291</f>
        <v>0</v>
      </c>
    </row>
    <row r="292" spans="1:21" ht="15" customHeight="1" outlineLevel="1">
      <c r="A292" s="2574"/>
      <c r="B292" s="2569" t="s">
        <v>297</v>
      </c>
      <c r="C292" s="2674" t="s">
        <v>2608</v>
      </c>
      <c r="D292" s="2675"/>
      <c r="E292" s="2675"/>
      <c r="F292" s="2676"/>
      <c r="G292" s="2615" t="s">
        <v>638</v>
      </c>
      <c r="H292" s="2576">
        <v>200000</v>
      </c>
      <c r="I292" s="2576">
        <v>200000</v>
      </c>
      <c r="J292" s="2576">
        <v>200000</v>
      </c>
      <c r="K292" s="2576">
        <v>200000</v>
      </c>
      <c r="L292" s="2576">
        <v>200000</v>
      </c>
      <c r="M292" s="2573">
        <f>+'[7]Rybníky 3749-2'!$B$23</f>
        <v>200000</v>
      </c>
      <c r="N292" s="2648">
        <f t="shared" si="10"/>
        <v>0</v>
      </c>
      <c r="O292" s="2689"/>
      <c r="P292" s="2642"/>
      <c r="Q292" s="2690"/>
      <c r="R292" s="2690"/>
      <c r="S292" s="2573"/>
      <c r="T292" s="2496"/>
      <c r="U292" s="2539"/>
    </row>
    <row r="293" spans="1:21" ht="15" customHeight="1" outlineLevel="1">
      <c r="A293" s="2574"/>
      <c r="B293" s="2569" t="s">
        <v>297</v>
      </c>
      <c r="C293" s="2674"/>
      <c r="D293" s="2675"/>
      <c r="E293" s="2675"/>
      <c r="F293" s="2676"/>
      <c r="G293" s="2576" t="s">
        <v>638</v>
      </c>
      <c r="H293" s="2576">
        <v>0</v>
      </c>
      <c r="I293" s="2576">
        <v>0</v>
      </c>
      <c r="J293" s="2576">
        <v>0</v>
      </c>
      <c r="K293" s="2576">
        <v>0</v>
      </c>
      <c r="L293" s="2576">
        <v>0</v>
      </c>
      <c r="M293" s="2573">
        <f>+'[7]Rybníky 3749-2'!$B$24</f>
        <v>0</v>
      </c>
      <c r="N293" s="2648">
        <f t="shared" si="10"/>
        <v>0</v>
      </c>
      <c r="O293" s="2689"/>
      <c r="P293" s="2642"/>
      <c r="Q293" s="2690"/>
      <c r="R293" s="2690"/>
      <c r="S293" s="2573"/>
      <c r="T293" s="2496"/>
      <c r="U293" s="2539"/>
    </row>
    <row r="294" spans="1:21" ht="15" hidden="1" customHeight="1" outlineLevel="1">
      <c r="A294" s="2574"/>
      <c r="B294" s="2569" t="s">
        <v>297</v>
      </c>
      <c r="C294" s="2674"/>
      <c r="D294" s="2675"/>
      <c r="E294" s="2675"/>
      <c r="F294" s="2676"/>
      <c r="G294" s="2576" t="s">
        <v>638</v>
      </c>
      <c r="H294" s="2576"/>
      <c r="I294" s="2576"/>
      <c r="J294" s="2576"/>
      <c r="K294" s="2576"/>
      <c r="L294" s="2576"/>
      <c r="M294" s="2573"/>
      <c r="N294" s="2648">
        <f t="shared" si="10"/>
        <v>0</v>
      </c>
      <c r="O294" s="2689"/>
      <c r="P294" s="2642"/>
      <c r="Q294" s="2690"/>
      <c r="R294" s="2690"/>
      <c r="S294" s="2573"/>
      <c r="T294" s="2496"/>
      <c r="U294" s="2539"/>
    </row>
    <row r="295" spans="1:21" s="2581" customFormat="1" ht="13.9" outlineLevel="1" thickBot="1">
      <c r="A295" s="2542" t="s">
        <v>296</v>
      </c>
      <c r="B295" s="2595" t="s">
        <v>297</v>
      </c>
      <c r="C295" s="2595"/>
      <c r="D295" s="2591"/>
      <c r="E295" s="2591"/>
      <c r="F295" s="2592"/>
      <c r="G295" s="2596" t="s">
        <v>638</v>
      </c>
      <c r="H295" s="2596"/>
      <c r="I295" s="2596"/>
      <c r="J295" s="2591"/>
      <c r="K295" s="2591"/>
      <c r="L295" s="2591"/>
      <c r="M295" s="2567"/>
      <c r="N295" s="2568">
        <f t="shared" si="10"/>
        <v>0</v>
      </c>
      <c r="O295" s="2700"/>
      <c r="P295" s="2646"/>
      <c r="Q295" s="2701"/>
      <c r="R295" s="2701"/>
      <c r="S295" s="2573"/>
      <c r="T295" s="2496"/>
      <c r="U295" s="2539"/>
    </row>
    <row r="296" spans="1:21" s="2581" customFormat="1" ht="13.9" thickBot="1">
      <c r="A296" s="3205" t="s">
        <v>1197</v>
      </c>
      <c r="B296" s="3206"/>
      <c r="C296" s="2532"/>
      <c r="D296" s="2533"/>
      <c r="E296" s="2533"/>
      <c r="F296" s="2534"/>
      <c r="G296" s="2533"/>
      <c r="H296" s="2533">
        <v>200000</v>
      </c>
      <c r="I296" s="2533">
        <v>200000</v>
      </c>
      <c r="J296" s="2533">
        <v>200000</v>
      </c>
      <c r="K296" s="2533">
        <v>200000</v>
      </c>
      <c r="L296" s="2533">
        <v>200000</v>
      </c>
      <c r="M296" s="2535">
        <f t="shared" ref="M296" si="15">SUM(M292:M295)</f>
        <v>200000</v>
      </c>
      <c r="N296" s="3075">
        <f t="shared" si="10"/>
        <v>0</v>
      </c>
      <c r="O296" s="2532"/>
      <c r="P296" s="2532">
        <f t="shared" ref="P296" si="16">SUM(P292:P295)</f>
        <v>0</v>
      </c>
      <c r="Q296" s="2532"/>
      <c r="R296" s="2532"/>
      <c r="S296" s="2532"/>
      <c r="T296" s="2538">
        <f>'Výdaje kapitol celkem'!DO69</f>
        <v>200000</v>
      </c>
      <c r="U296" s="2539">
        <f>+T296-M296</f>
        <v>0</v>
      </c>
    </row>
    <row r="297" spans="1:21" ht="15" hidden="1" customHeight="1" outlineLevel="1">
      <c r="A297" s="2574"/>
      <c r="B297" s="2569" t="s">
        <v>1203</v>
      </c>
      <c r="C297" s="2674"/>
      <c r="D297" s="2675"/>
      <c r="E297" s="2675"/>
      <c r="F297" s="2676"/>
      <c r="G297" s="2615" t="s">
        <v>638</v>
      </c>
      <c r="H297" s="2576"/>
      <c r="I297" s="2576"/>
      <c r="J297" s="2576"/>
      <c r="K297" s="2576"/>
      <c r="L297" s="2576"/>
      <c r="M297" s="2573"/>
      <c r="N297" s="2648">
        <f t="shared" si="10"/>
        <v>0</v>
      </c>
      <c r="O297" s="2689"/>
      <c r="P297" s="2642"/>
      <c r="Q297" s="2690"/>
      <c r="R297" s="2690"/>
      <c r="S297" s="2573"/>
      <c r="T297" s="2496"/>
      <c r="U297" s="2539"/>
    </row>
    <row r="298" spans="1:21" ht="15" hidden="1" customHeight="1" outlineLevel="1">
      <c r="A298" s="2574"/>
      <c r="B298" s="2569" t="s">
        <v>1203</v>
      </c>
      <c r="C298" s="2674"/>
      <c r="D298" s="2675"/>
      <c r="E298" s="2675"/>
      <c r="F298" s="2676"/>
      <c r="G298" s="2576" t="s">
        <v>638</v>
      </c>
      <c r="H298" s="2576"/>
      <c r="I298" s="2576"/>
      <c r="J298" s="2576"/>
      <c r="K298" s="2576"/>
      <c r="L298" s="2576"/>
      <c r="M298" s="2573"/>
      <c r="N298" s="2648">
        <f t="shared" si="10"/>
        <v>0</v>
      </c>
      <c r="O298" s="2689"/>
      <c r="P298" s="2642"/>
      <c r="Q298" s="2690"/>
      <c r="R298" s="2690"/>
      <c r="S298" s="2573"/>
      <c r="T298" s="2496"/>
      <c r="U298" s="2539"/>
    </row>
    <row r="299" spans="1:21" s="2581" customFormat="1" ht="13.9" hidden="1" outlineLevel="1" thickBot="1">
      <c r="A299" s="2542" t="s">
        <v>716</v>
      </c>
      <c r="B299" s="2595" t="s">
        <v>1203</v>
      </c>
      <c r="C299" s="2595"/>
      <c r="D299" s="2591"/>
      <c r="E299" s="2591"/>
      <c r="F299" s="2592"/>
      <c r="G299" s="2591" t="s">
        <v>638</v>
      </c>
      <c r="H299" s="2591"/>
      <c r="I299" s="2591"/>
      <c r="J299" s="2591"/>
      <c r="K299" s="2591"/>
      <c r="L299" s="2591"/>
      <c r="M299" s="2567"/>
      <c r="N299" s="2568">
        <f t="shared" si="10"/>
        <v>0</v>
      </c>
      <c r="O299" s="2700"/>
      <c r="P299" s="2646"/>
      <c r="Q299" s="2701"/>
      <c r="R299" s="2701"/>
      <c r="S299" s="2573"/>
      <c r="T299" s="2496"/>
      <c r="U299" s="2539"/>
    </row>
    <row r="300" spans="1:21" s="2581" customFormat="1" ht="13.9" collapsed="1" thickBot="1">
      <c r="A300" s="3205" t="s">
        <v>1198</v>
      </c>
      <c r="B300" s="3206"/>
      <c r="C300" s="2532"/>
      <c r="D300" s="2533"/>
      <c r="E300" s="2533"/>
      <c r="F300" s="2534"/>
      <c r="G300" s="2533"/>
      <c r="H300" s="2533">
        <v>0</v>
      </c>
      <c r="I300" s="2533">
        <v>0</v>
      </c>
      <c r="J300" s="2533">
        <v>0</v>
      </c>
      <c r="K300" s="2533">
        <v>0</v>
      </c>
      <c r="L300" s="2533">
        <v>0</v>
      </c>
      <c r="M300" s="2535">
        <f>SUM(M297:M299)</f>
        <v>0</v>
      </c>
      <c r="N300" s="3075">
        <f t="shared" si="10"/>
        <v>0</v>
      </c>
      <c r="O300" s="2532"/>
      <c r="P300" s="2532">
        <f>SUM(P297:P299)</f>
        <v>0</v>
      </c>
      <c r="Q300" s="2532"/>
      <c r="R300" s="2532"/>
      <c r="S300" s="2532"/>
      <c r="T300" s="2538">
        <f>'Výdaje kapitol celkem'!DP69</f>
        <v>0</v>
      </c>
      <c r="U300" s="2539">
        <f>+T300-M300</f>
        <v>0</v>
      </c>
    </row>
    <row r="301" spans="1:21" ht="12" hidden="1" customHeight="1" outlineLevel="1">
      <c r="A301" s="2574"/>
      <c r="B301" s="2569" t="s">
        <v>719</v>
      </c>
      <c r="C301" s="2674"/>
      <c r="D301" s="2675"/>
      <c r="E301" s="2675"/>
      <c r="F301" s="2676"/>
      <c r="G301" s="2615" t="s">
        <v>638</v>
      </c>
      <c r="H301" s="2576"/>
      <c r="I301" s="2576"/>
      <c r="J301" s="2576"/>
      <c r="K301" s="2576"/>
      <c r="L301" s="2576"/>
      <c r="M301" s="2573"/>
      <c r="N301" s="2648">
        <f t="shared" si="10"/>
        <v>0</v>
      </c>
      <c r="O301" s="2689"/>
      <c r="P301" s="2642"/>
      <c r="Q301" s="2690"/>
      <c r="R301" s="2690"/>
      <c r="S301" s="2573"/>
      <c r="T301" s="2496"/>
      <c r="U301" s="2539"/>
    </row>
    <row r="302" spans="1:21" ht="15" hidden="1" customHeight="1" outlineLevel="1">
      <c r="A302" s="2541"/>
      <c r="B302" s="2569" t="s">
        <v>719</v>
      </c>
      <c r="C302" s="2674"/>
      <c r="D302" s="2675"/>
      <c r="E302" s="2675"/>
      <c r="F302" s="2676"/>
      <c r="G302" s="2576" t="s">
        <v>638</v>
      </c>
      <c r="H302" s="2576"/>
      <c r="I302" s="2576"/>
      <c r="J302" s="2576"/>
      <c r="K302" s="2576"/>
      <c r="L302" s="2576"/>
      <c r="M302" s="2573"/>
      <c r="N302" s="2648">
        <f t="shared" si="10"/>
        <v>0</v>
      </c>
      <c r="O302" s="2689"/>
      <c r="P302" s="2642"/>
      <c r="Q302" s="2690"/>
      <c r="R302" s="2690"/>
      <c r="S302" s="2573"/>
      <c r="T302" s="2496"/>
      <c r="U302" s="2539"/>
    </row>
    <row r="303" spans="1:21" s="2581" customFormat="1" ht="12" hidden="1" customHeight="1" outlineLevel="1" thickBot="1">
      <c r="A303" s="2542" t="s">
        <v>717</v>
      </c>
      <c r="B303" s="2595" t="s">
        <v>719</v>
      </c>
      <c r="C303" s="2595"/>
      <c r="D303" s="2591"/>
      <c r="E303" s="2591"/>
      <c r="F303" s="2592"/>
      <c r="G303" s="2591" t="s">
        <v>638</v>
      </c>
      <c r="H303" s="2591"/>
      <c r="I303" s="2591"/>
      <c r="J303" s="2591"/>
      <c r="K303" s="2591"/>
      <c r="L303" s="2591"/>
      <c r="M303" s="2567"/>
      <c r="N303" s="2568">
        <f t="shared" si="10"/>
        <v>0</v>
      </c>
      <c r="O303" s="2700"/>
      <c r="P303" s="2646"/>
      <c r="Q303" s="2701"/>
      <c r="R303" s="2701"/>
      <c r="S303" s="2573"/>
      <c r="T303" s="2496"/>
      <c r="U303" s="2539"/>
    </row>
    <row r="304" spans="1:21" s="2581" customFormat="1" ht="13.9" collapsed="1" thickBot="1">
      <c r="A304" s="3205" t="s">
        <v>1199</v>
      </c>
      <c r="B304" s="3206"/>
      <c r="C304" s="2532"/>
      <c r="D304" s="2533"/>
      <c r="E304" s="2533"/>
      <c r="F304" s="2534"/>
      <c r="G304" s="2533"/>
      <c r="H304" s="2533">
        <v>0</v>
      </c>
      <c r="I304" s="2533">
        <v>0</v>
      </c>
      <c r="J304" s="2533">
        <v>0</v>
      </c>
      <c r="K304" s="2533">
        <v>0</v>
      </c>
      <c r="L304" s="2533">
        <v>0</v>
      </c>
      <c r="M304" s="2535">
        <f>SUM(M301:M303)</f>
        <v>0</v>
      </c>
      <c r="N304" s="3075">
        <f t="shared" si="10"/>
        <v>0</v>
      </c>
      <c r="O304" s="2532"/>
      <c r="P304" s="2532">
        <f>SUM(P301:P303)</f>
        <v>0</v>
      </c>
      <c r="Q304" s="2532"/>
      <c r="R304" s="2532"/>
      <c r="S304" s="2532"/>
      <c r="T304" s="2538">
        <f>'Výdaje kapitol celkem'!DQ69</f>
        <v>0</v>
      </c>
      <c r="U304" s="2539">
        <f>+T304-M304</f>
        <v>0</v>
      </c>
    </row>
    <row r="305" spans="1:21" ht="12" hidden="1" customHeight="1" outlineLevel="1">
      <c r="A305" s="2574"/>
      <c r="B305" s="2569" t="s">
        <v>492</v>
      </c>
      <c r="C305" s="2674"/>
      <c r="D305" s="2675"/>
      <c r="E305" s="2675"/>
      <c r="F305" s="2676"/>
      <c r="G305" s="2615" t="s">
        <v>638</v>
      </c>
      <c r="H305" s="2576"/>
      <c r="I305" s="2576"/>
      <c r="J305" s="2576"/>
      <c r="K305" s="2576"/>
      <c r="L305" s="2576"/>
      <c r="M305" s="2573"/>
      <c r="N305" s="2648">
        <f t="shared" si="10"/>
        <v>0</v>
      </c>
      <c r="O305" s="2689"/>
      <c r="P305" s="2642"/>
      <c r="Q305" s="2690"/>
      <c r="R305" s="2690"/>
      <c r="S305" s="2573"/>
      <c r="T305" s="2496"/>
      <c r="U305" s="2539"/>
    </row>
    <row r="306" spans="1:21" ht="15" hidden="1" customHeight="1" outlineLevel="1">
      <c r="A306" s="2574"/>
      <c r="B306" s="2569" t="s">
        <v>492</v>
      </c>
      <c r="C306" s="2674"/>
      <c r="D306" s="2675"/>
      <c r="E306" s="2675"/>
      <c r="F306" s="2676"/>
      <c r="G306" s="2576" t="s">
        <v>638</v>
      </c>
      <c r="H306" s="2576"/>
      <c r="I306" s="2576"/>
      <c r="J306" s="2576"/>
      <c r="K306" s="2576"/>
      <c r="L306" s="2576"/>
      <c r="M306" s="2573"/>
      <c r="N306" s="2648">
        <f t="shared" si="10"/>
        <v>0</v>
      </c>
      <c r="O306" s="2689"/>
      <c r="P306" s="2642"/>
      <c r="Q306" s="2690"/>
      <c r="R306" s="2690"/>
      <c r="S306" s="2573"/>
      <c r="T306" s="2496"/>
      <c r="U306" s="2539"/>
    </row>
    <row r="307" spans="1:21" s="2581" customFormat="1" ht="12" hidden="1" customHeight="1" outlineLevel="1" thickBot="1">
      <c r="A307" s="2542" t="s">
        <v>1110</v>
      </c>
      <c r="B307" s="2595" t="s">
        <v>492</v>
      </c>
      <c r="C307" s="2595"/>
      <c r="D307" s="2591"/>
      <c r="E307" s="2591"/>
      <c r="F307" s="2592"/>
      <c r="G307" s="2591" t="s">
        <v>638</v>
      </c>
      <c r="H307" s="2591"/>
      <c r="I307" s="2591"/>
      <c r="J307" s="2591"/>
      <c r="K307" s="2591"/>
      <c r="L307" s="2591"/>
      <c r="M307" s="2567"/>
      <c r="N307" s="2568">
        <f t="shared" si="10"/>
        <v>0</v>
      </c>
      <c r="O307" s="2700"/>
      <c r="P307" s="2646"/>
      <c r="Q307" s="2701"/>
      <c r="R307" s="2701"/>
      <c r="S307" s="2573"/>
      <c r="T307" s="2496"/>
      <c r="U307" s="2539"/>
    </row>
    <row r="308" spans="1:21" s="2581" customFormat="1" ht="13.9" collapsed="1" thickBot="1">
      <c r="A308" s="3205" t="s">
        <v>1200</v>
      </c>
      <c r="B308" s="3206"/>
      <c r="C308" s="2532"/>
      <c r="D308" s="2533"/>
      <c r="E308" s="2533"/>
      <c r="F308" s="2534"/>
      <c r="G308" s="2533"/>
      <c r="H308" s="2533">
        <v>0</v>
      </c>
      <c r="I308" s="2533">
        <v>0</v>
      </c>
      <c r="J308" s="2533">
        <v>0</v>
      </c>
      <c r="K308" s="2533">
        <v>0</v>
      </c>
      <c r="L308" s="2533">
        <v>0</v>
      </c>
      <c r="M308" s="2535">
        <f>SUM(M305:M307)</f>
        <v>0</v>
      </c>
      <c r="N308" s="3075">
        <f t="shared" si="10"/>
        <v>0</v>
      </c>
      <c r="O308" s="2532"/>
      <c r="P308" s="2532">
        <f>SUM(P305:P307)</f>
        <v>0</v>
      </c>
      <c r="Q308" s="2532"/>
      <c r="R308" s="2532"/>
      <c r="S308" s="2532"/>
      <c r="T308" s="2538">
        <f>'Výdaje kapitol celkem'!DT58</f>
        <v>0</v>
      </c>
      <c r="U308" s="2539">
        <f>+T308-M308</f>
        <v>0</v>
      </c>
    </row>
    <row r="309" spans="1:21" ht="16.5" hidden="1" customHeight="1" outlineLevel="1">
      <c r="A309" s="2574"/>
      <c r="B309" s="2569" t="s">
        <v>858</v>
      </c>
      <c r="C309" s="2674"/>
      <c r="D309" s="2675"/>
      <c r="E309" s="2675"/>
      <c r="F309" s="2676"/>
      <c r="G309" s="2615" t="s">
        <v>638</v>
      </c>
      <c r="H309" s="2576"/>
      <c r="I309" s="2576"/>
      <c r="J309" s="2576"/>
      <c r="K309" s="2576"/>
      <c r="L309" s="2576"/>
      <c r="M309" s="2573"/>
      <c r="N309" s="2648">
        <f t="shared" si="10"/>
        <v>0</v>
      </c>
      <c r="O309" s="2689"/>
      <c r="P309" s="2642"/>
      <c r="Q309" s="2690"/>
      <c r="R309" s="2690"/>
      <c r="S309" s="2573"/>
      <c r="T309" s="2496"/>
      <c r="U309" s="2539"/>
    </row>
    <row r="310" spans="1:21" ht="15" hidden="1" customHeight="1" outlineLevel="1">
      <c r="A310" s="2574"/>
      <c r="B310" s="2569" t="s">
        <v>858</v>
      </c>
      <c r="C310" s="2674"/>
      <c r="D310" s="2675"/>
      <c r="E310" s="2675"/>
      <c r="F310" s="2676"/>
      <c r="G310" s="2576" t="s">
        <v>638</v>
      </c>
      <c r="H310" s="2576"/>
      <c r="I310" s="2576"/>
      <c r="J310" s="2576"/>
      <c r="K310" s="2576"/>
      <c r="L310" s="2576"/>
      <c r="M310" s="2573"/>
      <c r="N310" s="2648">
        <f t="shared" si="10"/>
        <v>0</v>
      </c>
      <c r="O310" s="2689"/>
      <c r="P310" s="2642"/>
      <c r="Q310" s="2690"/>
      <c r="R310" s="2690"/>
      <c r="S310" s="2573"/>
      <c r="T310" s="2496"/>
      <c r="U310" s="2539"/>
    </row>
    <row r="311" spans="1:21" s="2581" customFormat="1" ht="12" hidden="1" customHeight="1" outlineLevel="1" thickBot="1">
      <c r="A311" s="2542" t="s">
        <v>717</v>
      </c>
      <c r="B311" s="2595" t="s">
        <v>858</v>
      </c>
      <c r="C311" s="2595"/>
      <c r="D311" s="2591"/>
      <c r="E311" s="2591"/>
      <c r="F311" s="2592"/>
      <c r="G311" s="2591" t="s">
        <v>638</v>
      </c>
      <c r="H311" s="2591"/>
      <c r="I311" s="2591"/>
      <c r="J311" s="2591"/>
      <c r="K311" s="2591"/>
      <c r="L311" s="2591"/>
      <c r="M311" s="2567"/>
      <c r="N311" s="2568">
        <f t="shared" si="10"/>
        <v>0</v>
      </c>
      <c r="O311" s="2700"/>
      <c r="P311" s="2646"/>
      <c r="Q311" s="2701"/>
      <c r="R311" s="2701"/>
      <c r="S311" s="2573"/>
      <c r="T311" s="2496"/>
      <c r="U311" s="2539"/>
    </row>
    <row r="312" spans="1:21" s="2581" customFormat="1" ht="13.9" collapsed="1" thickBot="1">
      <c r="A312" s="3205" t="s">
        <v>1201</v>
      </c>
      <c r="B312" s="3206"/>
      <c r="C312" s="2532"/>
      <c r="D312" s="2533"/>
      <c r="E312" s="2533"/>
      <c r="F312" s="2534"/>
      <c r="G312" s="2533"/>
      <c r="H312" s="2533">
        <v>0</v>
      </c>
      <c r="I312" s="2533">
        <v>0</v>
      </c>
      <c r="J312" s="2533">
        <v>0</v>
      </c>
      <c r="K312" s="2533">
        <v>0</v>
      </c>
      <c r="L312" s="2533">
        <v>0</v>
      </c>
      <c r="M312" s="2535">
        <f>SUM(M309:M311)</f>
        <v>0</v>
      </c>
      <c r="N312" s="3075">
        <f t="shared" si="10"/>
        <v>0</v>
      </c>
      <c r="O312" s="2532"/>
      <c r="P312" s="2532">
        <f>SUM(P309:P311)</f>
        <v>0</v>
      </c>
      <c r="Q312" s="2532"/>
      <c r="R312" s="2532"/>
      <c r="S312" s="2532"/>
      <c r="T312" s="2538">
        <f>'Výdaje kapitol celkem'!DR69</f>
        <v>0</v>
      </c>
      <c r="U312" s="2539">
        <f>+T312-M312</f>
        <v>0</v>
      </c>
    </row>
    <row r="313" spans="1:21" ht="12" hidden="1" customHeight="1" outlineLevel="1">
      <c r="A313" s="2574"/>
      <c r="B313" s="2569" t="s">
        <v>485</v>
      </c>
      <c r="C313" s="2674"/>
      <c r="D313" s="2675"/>
      <c r="E313" s="2675"/>
      <c r="F313" s="2676"/>
      <c r="G313" s="2615" t="s">
        <v>638</v>
      </c>
      <c r="H313" s="2576"/>
      <c r="I313" s="2576"/>
      <c r="J313" s="2576"/>
      <c r="K313" s="2576"/>
      <c r="L313" s="2576"/>
      <c r="M313" s="2573"/>
      <c r="N313" s="2648">
        <f t="shared" si="10"/>
        <v>0</v>
      </c>
      <c r="O313" s="2689"/>
      <c r="P313" s="2573"/>
      <c r="Q313" s="2690"/>
      <c r="R313" s="2690"/>
      <c r="S313" s="2573"/>
      <c r="T313" s="2496"/>
      <c r="U313" s="2539"/>
    </row>
    <row r="314" spans="1:21" ht="15" hidden="1" customHeight="1" outlineLevel="1">
      <c r="A314" s="2703"/>
      <c r="B314" s="2569" t="s">
        <v>485</v>
      </c>
      <c r="C314" s="2674"/>
      <c r="D314" s="2675"/>
      <c r="E314" s="2675"/>
      <c r="F314" s="2676"/>
      <c r="G314" s="2583" t="s">
        <v>638</v>
      </c>
      <c r="H314" s="2583"/>
      <c r="I314" s="2583"/>
      <c r="J314" s="2583"/>
      <c r="K314" s="2583"/>
      <c r="L314" s="2583"/>
      <c r="M314" s="2573"/>
      <c r="N314" s="2648">
        <f t="shared" si="10"/>
        <v>0</v>
      </c>
      <c r="O314" s="2689"/>
      <c r="P314" s="2573"/>
      <c r="Q314" s="2704"/>
      <c r="R314" s="2704"/>
      <c r="S314" s="2573"/>
      <c r="T314" s="2496"/>
      <c r="U314" s="2539"/>
    </row>
    <row r="315" spans="1:21" ht="15" hidden="1" customHeight="1" outlineLevel="1">
      <c r="A315" s="2703"/>
      <c r="B315" s="2569" t="s">
        <v>485</v>
      </c>
      <c r="C315" s="2674"/>
      <c r="D315" s="2675"/>
      <c r="E315" s="2675"/>
      <c r="F315" s="2676"/>
      <c r="G315" s="2583" t="s">
        <v>638</v>
      </c>
      <c r="H315" s="2583"/>
      <c r="I315" s="2583"/>
      <c r="J315" s="2583"/>
      <c r="K315" s="2583"/>
      <c r="L315" s="2583"/>
      <c r="M315" s="2573"/>
      <c r="N315" s="2648">
        <f t="shared" si="10"/>
        <v>0</v>
      </c>
      <c r="O315" s="2689"/>
      <c r="P315" s="2573"/>
      <c r="Q315" s="2704"/>
      <c r="R315" s="2704"/>
      <c r="S315" s="2573"/>
      <c r="T315" s="2496"/>
      <c r="U315" s="2539"/>
    </row>
    <row r="316" spans="1:21" ht="15" hidden="1" customHeight="1" outlineLevel="1" thickBot="1">
      <c r="A316" s="2542" t="s">
        <v>182</v>
      </c>
      <c r="B316" s="2569" t="s">
        <v>485</v>
      </c>
      <c r="C316" s="2674"/>
      <c r="D316" s="2675"/>
      <c r="E316" s="2675"/>
      <c r="F316" s="2676"/>
      <c r="G316" s="2583" t="s">
        <v>638</v>
      </c>
      <c r="H316" s="2583"/>
      <c r="I316" s="2583"/>
      <c r="J316" s="2583"/>
      <c r="K316" s="2583"/>
      <c r="L316" s="2583"/>
      <c r="M316" s="2573"/>
      <c r="N316" s="2648">
        <f t="shared" si="10"/>
        <v>0</v>
      </c>
      <c r="O316" s="2689"/>
      <c r="P316" s="2573"/>
      <c r="Q316" s="2704"/>
      <c r="R316" s="2704"/>
      <c r="S316" s="2573"/>
      <c r="T316" s="2496"/>
      <c r="U316" s="2539"/>
    </row>
    <row r="317" spans="1:21" s="2581" customFormat="1" ht="13.9" collapsed="1" thickBot="1">
      <c r="A317" s="3205" t="s">
        <v>1202</v>
      </c>
      <c r="B317" s="3206"/>
      <c r="C317" s="2532"/>
      <c r="D317" s="2533"/>
      <c r="E317" s="2533"/>
      <c r="F317" s="2534"/>
      <c r="G317" s="2533"/>
      <c r="H317" s="2533">
        <v>0</v>
      </c>
      <c r="I317" s="2533">
        <v>0</v>
      </c>
      <c r="J317" s="2533">
        <v>0</v>
      </c>
      <c r="K317" s="2533">
        <v>0</v>
      </c>
      <c r="L317" s="2533">
        <v>0</v>
      </c>
      <c r="M317" s="2535">
        <f>SUM(M313:M316)</f>
        <v>0</v>
      </c>
      <c r="N317" s="3075">
        <f t="shared" si="10"/>
        <v>0</v>
      </c>
      <c r="O317" s="2532"/>
      <c r="P317" s="2532">
        <f>SUM(P313:P316)</f>
        <v>0</v>
      </c>
      <c r="Q317" s="2532"/>
      <c r="R317" s="2532"/>
      <c r="S317" s="2532"/>
      <c r="T317" s="2538">
        <f>'Výdaje kapitol celkem'!DV69</f>
        <v>0</v>
      </c>
      <c r="U317" s="2539">
        <f>+T317-M317</f>
        <v>0</v>
      </c>
    </row>
    <row r="318" spans="1:21" ht="15" customHeight="1" outlineLevel="1">
      <c r="A318" s="2703"/>
      <c r="B318" s="2569" t="s">
        <v>162</v>
      </c>
      <c r="C318" s="2674" t="s">
        <v>2609</v>
      </c>
      <c r="D318" s="2675"/>
      <c r="E318" s="2675"/>
      <c r="F318" s="2676"/>
      <c r="G318" s="2615" t="s">
        <v>638</v>
      </c>
      <c r="H318" s="2576">
        <v>200000</v>
      </c>
      <c r="I318" s="2576">
        <v>200000</v>
      </c>
      <c r="J318" s="2576">
        <v>200000</v>
      </c>
      <c r="K318" s="2576">
        <v>200000</v>
      </c>
      <c r="L318" s="2576">
        <v>200000</v>
      </c>
      <c r="M318" s="2573">
        <f>+[4]Cyklostezky!$B$5</f>
        <v>200000</v>
      </c>
      <c r="N318" s="2648">
        <f t="shared" si="10"/>
        <v>0</v>
      </c>
      <c r="O318" s="2689"/>
      <c r="P318" s="2573"/>
      <c r="Q318" s="2704"/>
      <c r="R318" s="2704"/>
      <c r="S318" s="2573"/>
      <c r="T318" s="2496"/>
      <c r="U318" s="2539"/>
    </row>
    <row r="319" spans="1:21" ht="15" hidden="1" customHeight="1" outlineLevel="1">
      <c r="A319" s="2703"/>
      <c r="B319" s="2569" t="s">
        <v>162</v>
      </c>
      <c r="C319" s="2674"/>
      <c r="D319" s="2675"/>
      <c r="E319" s="2675"/>
      <c r="F319" s="2676"/>
      <c r="G319" s="2583" t="s">
        <v>638</v>
      </c>
      <c r="H319" s="2583"/>
      <c r="I319" s="2583"/>
      <c r="J319" s="2583"/>
      <c r="K319" s="2583"/>
      <c r="L319" s="2583"/>
      <c r="M319" s="2573"/>
      <c r="N319" s="2648">
        <f t="shared" si="10"/>
        <v>0</v>
      </c>
      <c r="O319" s="2689"/>
      <c r="P319" s="2573"/>
      <c r="Q319" s="2704"/>
      <c r="R319" s="2704"/>
      <c r="S319" s="2573"/>
      <c r="T319" s="2496"/>
      <c r="U319" s="2539"/>
    </row>
    <row r="320" spans="1:21" ht="15" hidden="1" customHeight="1" outlineLevel="1">
      <c r="A320" s="2703"/>
      <c r="B320" s="2569" t="s">
        <v>162</v>
      </c>
      <c r="C320" s="2674"/>
      <c r="D320" s="2675"/>
      <c r="E320" s="2675"/>
      <c r="F320" s="2676"/>
      <c r="G320" s="2583" t="s">
        <v>638</v>
      </c>
      <c r="H320" s="2583"/>
      <c r="I320" s="2583"/>
      <c r="J320" s="2583"/>
      <c r="K320" s="2583"/>
      <c r="L320" s="2583"/>
      <c r="M320" s="2573"/>
      <c r="N320" s="2648">
        <f t="shared" si="10"/>
        <v>0</v>
      </c>
      <c r="O320" s="2689"/>
      <c r="P320" s="2573"/>
      <c r="Q320" s="2704"/>
      <c r="R320" s="2704"/>
      <c r="S320" s="2573"/>
      <c r="T320" s="2496"/>
      <c r="U320" s="2539"/>
    </row>
    <row r="321" spans="1:21" ht="13.9" outlineLevel="1" thickBot="1">
      <c r="A321" s="2542" t="s">
        <v>1228</v>
      </c>
      <c r="B321" s="2595" t="s">
        <v>162</v>
      </c>
      <c r="C321" s="2595"/>
      <c r="D321" s="2591"/>
      <c r="E321" s="2591"/>
      <c r="F321" s="2592"/>
      <c r="G321" s="2596" t="s">
        <v>638</v>
      </c>
      <c r="H321" s="2596"/>
      <c r="I321" s="2596"/>
      <c r="J321" s="2596"/>
      <c r="K321" s="2596"/>
      <c r="L321" s="2596"/>
      <c r="M321" s="2546"/>
      <c r="N321" s="2568">
        <f t="shared" si="10"/>
        <v>0</v>
      </c>
      <c r="O321" s="2700"/>
      <c r="P321" s="2567"/>
      <c r="Q321" s="2705"/>
      <c r="R321" s="2705"/>
      <c r="S321" s="2573"/>
      <c r="T321" s="2496"/>
      <c r="U321" s="2539"/>
    </row>
    <row r="322" spans="1:21" s="2581" customFormat="1" ht="13.9" thickBot="1">
      <c r="A322" s="3205" t="s">
        <v>634</v>
      </c>
      <c r="B322" s="3206"/>
      <c r="C322" s="2532"/>
      <c r="D322" s="2533"/>
      <c r="E322" s="2533"/>
      <c r="F322" s="2534"/>
      <c r="G322" s="2533"/>
      <c r="H322" s="2533">
        <v>200000</v>
      </c>
      <c r="I322" s="2533">
        <v>200000</v>
      </c>
      <c r="J322" s="2533">
        <v>200000</v>
      </c>
      <c r="K322" s="2533">
        <v>200000</v>
      </c>
      <c r="L322" s="2533">
        <v>200000</v>
      </c>
      <c r="M322" s="2535">
        <f t="shared" ref="M322" si="17">SUM(M318:M321)</f>
        <v>200000</v>
      </c>
      <c r="N322" s="3075">
        <f t="shared" si="10"/>
        <v>0</v>
      </c>
      <c r="O322" s="2532"/>
      <c r="P322" s="2532">
        <f t="shared" ref="P322" si="18">SUM(P318:P321)</f>
        <v>0</v>
      </c>
      <c r="Q322" s="2532"/>
      <c r="R322" s="2532"/>
      <c r="S322" s="2532"/>
      <c r="T322" s="2538">
        <f>'Výdaje kapitol celkem'!DZ69</f>
        <v>200000</v>
      </c>
      <c r="U322" s="2539">
        <f>+T322-M322</f>
        <v>0</v>
      </c>
    </row>
    <row r="323" spans="1:21" s="2581" customFormat="1" ht="20.25" customHeight="1" thickBot="1">
      <c r="A323" s="2706" t="s">
        <v>1577</v>
      </c>
      <c r="B323" s="2707"/>
      <c r="C323" s="2708"/>
      <c r="D323" s="2709"/>
      <c r="E323" s="2709"/>
      <c r="F323" s="2710"/>
      <c r="G323" s="2709"/>
      <c r="H323" s="2982">
        <v>177715916</v>
      </c>
      <c r="I323" s="2982">
        <v>196415916</v>
      </c>
      <c r="J323" s="2982">
        <v>196580871</v>
      </c>
      <c r="K323" s="2982">
        <v>196580871</v>
      </c>
      <c r="L323" s="2982">
        <v>169262974</v>
      </c>
      <c r="M323" s="2711">
        <f>+M322+M317+M296+M291+M288+M285+M282+M279+M275+M257+M254+M185+M180+M165+M154+M142+M133+M104+M100+M96+M92+M80+M76+M71+M68+M64+M45+M39+M29+M20+M15+M300+M304+M312+M308+M158+M109+M35+M138+M114+M32</f>
        <v>173792474</v>
      </c>
      <c r="N323" s="2712">
        <f t="shared" si="10"/>
        <v>4529500</v>
      </c>
      <c r="O323" s="2713"/>
      <c r="P323" s="2711">
        <f>+P322+P317+P296+P291+P288+P285+P282+P279+P275+P257+P254+P185+P180+P165+P154+P142+P133+P104+P100+P96+P92+P80+P76+P71+P68+P64+P45+P39+P29+P20+P15+P300+P304</f>
        <v>30398512</v>
      </c>
      <c r="Q323" s="2714"/>
      <c r="R323" s="2714"/>
      <c r="S323" s="2715"/>
      <c r="T323" s="2496"/>
      <c r="U323" s="2716"/>
    </row>
    <row r="324" spans="1:21" ht="13.5">
      <c r="A324" s="2494"/>
      <c r="B324" s="2494"/>
      <c r="C324" s="2494"/>
      <c r="D324" s="2495"/>
      <c r="E324" s="2495"/>
      <c r="F324" s="2495"/>
      <c r="G324" s="2495"/>
      <c r="H324" s="2495">
        <v>177715916</v>
      </c>
      <c r="I324" s="2495">
        <v>196415916</v>
      </c>
      <c r="J324" s="2495">
        <v>196580871</v>
      </c>
      <c r="K324" s="2495">
        <v>196580871</v>
      </c>
      <c r="L324" s="2495">
        <v>169262974</v>
      </c>
      <c r="M324" s="2717">
        <f>+'Výdaje kapitol celkem'!I57+'Výdaje kapitol celkem'!I58+'Výdaje kapitol celkem'!I59+'Výdaje kapitol celkem'!I60+'Výdaje kapitol celkem'!I61+'Výdaje kapitol celkem'!I62+'Výdaje kapitol celkem'!I63+'Výdaje kapitol celkem'!I64+'Výdaje kapitol celkem'!I65+'Výdaje kapitol celkem'!I66</f>
        <v>169262974</v>
      </c>
      <c r="N324" s="2718"/>
      <c r="O324" s="2493"/>
      <c r="P324" s="2719"/>
      <c r="Q324" s="2720"/>
      <c r="R324" s="2720"/>
      <c r="S324" s="2719"/>
      <c r="T324" s="2496"/>
      <c r="U324" s="2539">
        <f>+U233+U217+U194+U124+U73+U54+U33</f>
        <v>0</v>
      </c>
    </row>
    <row r="325" spans="1:21" s="2722" customFormat="1" ht="13.5">
      <c r="A325" s="2492"/>
      <c r="B325" s="2492"/>
      <c r="C325" s="2492"/>
      <c r="D325" s="2497"/>
      <c r="E325" s="2497"/>
      <c r="F325" s="2497"/>
      <c r="G325" s="2497"/>
      <c r="H325" s="2497">
        <v>0</v>
      </c>
      <c r="I325" s="2497">
        <v>0</v>
      </c>
      <c r="J325" s="2497">
        <v>0</v>
      </c>
      <c r="K325" s="2497">
        <v>0</v>
      </c>
      <c r="L325" s="2497">
        <v>0</v>
      </c>
      <c r="M325" s="2539">
        <f>+M324-M323</f>
        <v>-4529500</v>
      </c>
      <c r="N325" s="2718"/>
      <c r="O325" s="2718"/>
      <c r="P325" s="2718"/>
      <c r="Q325" s="2721"/>
      <c r="R325" s="2721"/>
      <c r="S325" s="2718"/>
      <c r="T325" s="2497"/>
      <c r="U325" s="2497"/>
    </row>
    <row r="326" spans="1:21">
      <c r="A326" s="2723" t="s">
        <v>545</v>
      </c>
      <c r="B326" s="2494"/>
      <c r="C326" s="2494"/>
      <c r="D326" s="2495"/>
      <c r="E326" s="2495"/>
      <c r="F326" s="2495"/>
      <c r="G326" s="2495"/>
      <c r="H326" s="2495"/>
      <c r="I326" s="2495"/>
      <c r="J326" s="2495"/>
      <c r="K326" s="2495"/>
      <c r="L326" s="2495"/>
      <c r="M326" s="2501"/>
      <c r="N326" s="2724"/>
      <c r="O326" s="2493"/>
      <c r="P326" s="2494"/>
      <c r="Q326" s="2495"/>
      <c r="R326" s="2495"/>
      <c r="S326" s="2494"/>
      <c r="T326" s="2496"/>
      <c r="U326" s="2497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2:B322"/>
    <mergeCell ref="A180:B180"/>
    <mergeCell ref="A279:B279"/>
    <mergeCell ref="A285:B285"/>
    <mergeCell ref="A100:B100"/>
    <mergeCell ref="A104:B104"/>
    <mergeCell ref="A142:B142"/>
    <mergeCell ref="A154:B154"/>
    <mergeCell ref="A165:B165"/>
    <mergeCell ref="A254:B254"/>
    <mergeCell ref="A275:B275"/>
    <mergeCell ref="A158:B158"/>
    <mergeCell ref="A109:B109"/>
    <mergeCell ref="A114:B114"/>
    <mergeCell ref="A257:B257"/>
    <mergeCell ref="A282:B282"/>
    <mergeCell ref="A15:B15"/>
    <mergeCell ref="A133:B133"/>
    <mergeCell ref="A185:B185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38:B138"/>
    <mergeCell ref="A32:B32"/>
    <mergeCell ref="A304:B304"/>
    <mergeCell ref="A308:B308"/>
    <mergeCell ref="A312:B312"/>
    <mergeCell ref="A317:B317"/>
    <mergeCell ref="A288:B288"/>
    <mergeCell ref="A291:B291"/>
    <mergeCell ref="A296:B296"/>
    <mergeCell ref="A300:B300"/>
  </mergeCells>
  <phoneticPr fontId="7" type="noConversion"/>
  <pageMargins left="0.23622047244094491" right="0.23622047244094491" top="0.35433070866141736" bottom="0.35433070866141736" header="0.31496062992125984" footer="0.31496062992125984"/>
  <pageSetup paperSize="8" scale="68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78"/>
  <sheetViews>
    <sheetView zoomScale="85" zoomScaleNormal="85" workbookViewId="0">
      <selection activeCell="J6" sqref="J6:J75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57" style="316" customWidth="1"/>
    <col min="4" max="4" width="16.86328125" style="316" hidden="1" customWidth="1"/>
    <col min="5" max="6" width="12.86328125" style="316" hidden="1" customWidth="1"/>
    <col min="7" max="8" width="12.86328125" style="316" customWidth="1"/>
    <col min="9" max="9" width="12.86328125" style="318" bestFit="1" customWidth="1"/>
    <col min="10" max="10" width="14.59765625" style="319" bestFit="1" customWidth="1"/>
    <col min="11" max="11" width="10.73046875" style="2778" bestFit="1" customWidth="1"/>
    <col min="12" max="12" width="10.73046875" style="2779" bestFit="1" customWidth="1"/>
    <col min="13" max="16384" width="9" style="316"/>
  </cols>
  <sheetData>
    <row r="1" spans="1:13" s="2735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20.25" customHeight="1">
      <c r="A2" s="3211" t="s">
        <v>709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44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 t="s">
        <v>763</v>
      </c>
      <c r="L4" s="1916" t="s">
        <v>707</v>
      </c>
    </row>
    <row r="5" spans="1:13" ht="15.75" customHeight="1" outlineLevel="1">
      <c r="A5" s="2747">
        <v>6409</v>
      </c>
      <c r="B5" s="2748">
        <v>5137</v>
      </c>
      <c r="C5" s="2749"/>
      <c r="D5" s="2750"/>
      <c r="E5" s="2750"/>
      <c r="F5" s="2750"/>
      <c r="G5" s="2750"/>
      <c r="H5" s="2750"/>
      <c r="I5" s="2750"/>
      <c r="J5" s="2751">
        <f>+I5-H5</f>
        <v>0</v>
      </c>
      <c r="K5" s="2741"/>
      <c r="L5" s="1916"/>
    </row>
    <row r="6" spans="1:13" ht="15.75" customHeight="1" outlineLevel="1">
      <c r="A6" s="2752">
        <v>6409</v>
      </c>
      <c r="B6" s="2753">
        <v>5137</v>
      </c>
      <c r="C6" s="2754"/>
      <c r="D6" s="2755"/>
      <c r="E6" s="2755"/>
      <c r="F6" s="2755"/>
      <c r="G6" s="2755"/>
      <c r="H6" s="2755"/>
      <c r="I6" s="2755"/>
      <c r="J6" s="2756">
        <f t="shared" ref="J6:J69" si="0">+I6-H6</f>
        <v>0</v>
      </c>
      <c r="K6" s="2741"/>
      <c r="L6" s="1916"/>
    </row>
    <row r="7" spans="1:13" s="432" customFormat="1" ht="16.5" customHeight="1" thickBot="1">
      <c r="A7" s="3209" t="s">
        <v>1208</v>
      </c>
      <c r="B7" s="3210"/>
      <c r="C7" s="2757"/>
      <c r="D7" s="2758">
        <v>0</v>
      </c>
      <c r="E7" s="2758">
        <v>0</v>
      </c>
      <c r="F7" s="2758">
        <v>0</v>
      </c>
      <c r="G7" s="2758">
        <v>0</v>
      </c>
      <c r="H7" s="2758">
        <v>0</v>
      </c>
      <c r="I7" s="2758">
        <f t="shared" ref="I7" si="1">SUM(I5:I6)</f>
        <v>0</v>
      </c>
      <c r="J7" s="2759">
        <f t="shared" si="0"/>
        <v>0</v>
      </c>
      <c r="K7" s="285">
        <f>'Výdaje kapitol celkem'!N21</f>
        <v>0</v>
      </c>
      <c r="L7" s="2760">
        <f>+K7-I7</f>
        <v>0</v>
      </c>
      <c r="M7" s="329"/>
    </row>
    <row r="8" spans="1:13" ht="15.75" customHeight="1" outlineLevel="1">
      <c r="A8" s="2747">
        <v>6112</v>
      </c>
      <c r="B8" s="2748">
        <v>5137</v>
      </c>
      <c r="C8" s="2749"/>
      <c r="D8" s="2750">
        <v>50000</v>
      </c>
      <c r="E8" s="2750">
        <v>50000</v>
      </c>
      <c r="F8" s="2750">
        <v>50000</v>
      </c>
      <c r="G8" s="2750">
        <v>50000</v>
      </c>
      <c r="H8" s="2750">
        <v>50000</v>
      </c>
      <c r="I8" s="2750">
        <f>+[2]Zastupitelé!$B$11</f>
        <v>50000</v>
      </c>
      <c r="J8" s="2751">
        <f t="shared" si="0"/>
        <v>0</v>
      </c>
      <c r="K8" s="2741"/>
      <c r="L8" s="2760"/>
    </row>
    <row r="9" spans="1:13" ht="15.75" customHeight="1" outlineLevel="1">
      <c r="A9" s="2752">
        <v>6112</v>
      </c>
      <c r="B9" s="2753">
        <v>5137</v>
      </c>
      <c r="C9" s="2754"/>
      <c r="D9" s="2755">
        <v>0</v>
      </c>
      <c r="E9" s="2755">
        <v>0</v>
      </c>
      <c r="F9" s="2755">
        <v>0</v>
      </c>
      <c r="G9" s="2755">
        <v>0</v>
      </c>
      <c r="H9" s="2755">
        <v>0</v>
      </c>
      <c r="I9" s="2755">
        <f>+[2]Zastupitelé!$B$12</f>
        <v>0</v>
      </c>
      <c r="J9" s="2756">
        <f t="shared" si="0"/>
        <v>0</v>
      </c>
      <c r="K9" s="2741"/>
      <c r="L9" s="2760"/>
    </row>
    <row r="10" spans="1:13" s="432" customFormat="1" ht="16.5" customHeight="1" thickBot="1">
      <c r="A10" s="3209" t="s">
        <v>1207</v>
      </c>
      <c r="B10" s="3210"/>
      <c r="C10" s="2757"/>
      <c r="D10" s="2758">
        <v>50000</v>
      </c>
      <c r="E10" s="2758">
        <v>50000</v>
      </c>
      <c r="F10" s="2758">
        <v>50000</v>
      </c>
      <c r="G10" s="2758">
        <v>50000</v>
      </c>
      <c r="H10" s="2758">
        <v>50000</v>
      </c>
      <c r="I10" s="2758">
        <f t="shared" ref="I10" si="2">SUM(I8:I9)</f>
        <v>50000</v>
      </c>
      <c r="J10" s="2759">
        <f t="shared" si="0"/>
        <v>0</v>
      </c>
      <c r="K10" s="285">
        <f>'Výdaje kapitol celkem'!P21</f>
        <v>50000</v>
      </c>
      <c r="L10" s="2760">
        <f>+K10-I10</f>
        <v>0</v>
      </c>
      <c r="M10" s="329"/>
    </row>
    <row r="11" spans="1:13" ht="15.75" hidden="1" customHeight="1" outlineLevel="1">
      <c r="A11" s="2747">
        <v>6117</v>
      </c>
      <c r="B11" s="2748">
        <v>5137</v>
      </c>
      <c r="C11" s="2749"/>
      <c r="D11" s="2750"/>
      <c r="E11" s="2750"/>
      <c r="F11" s="2750"/>
      <c r="G11" s="2750"/>
      <c r="H11" s="2750"/>
      <c r="I11" s="2750"/>
      <c r="J11" s="2751">
        <f t="shared" si="0"/>
        <v>0</v>
      </c>
      <c r="K11" s="2741"/>
      <c r="L11" s="2760"/>
    </row>
    <row r="12" spans="1:13" ht="15.75" hidden="1" customHeight="1" outlineLevel="1">
      <c r="A12" s="2752">
        <v>6117</v>
      </c>
      <c r="B12" s="2753">
        <v>5137</v>
      </c>
      <c r="C12" s="2754"/>
      <c r="D12" s="2755"/>
      <c r="E12" s="2755"/>
      <c r="F12" s="2755"/>
      <c r="G12" s="2755"/>
      <c r="H12" s="2755"/>
      <c r="I12" s="2755"/>
      <c r="J12" s="2756">
        <f t="shared" si="0"/>
        <v>0</v>
      </c>
      <c r="K12" s="2741"/>
      <c r="L12" s="2760"/>
    </row>
    <row r="13" spans="1:13" s="432" customFormat="1" ht="16.5" customHeight="1" collapsed="1" thickBot="1">
      <c r="A13" s="3209" t="s">
        <v>1206</v>
      </c>
      <c r="B13" s="3210"/>
      <c r="C13" s="2757"/>
      <c r="D13" s="2758">
        <v>0</v>
      </c>
      <c r="E13" s="2758">
        <v>0</v>
      </c>
      <c r="F13" s="2758">
        <v>0</v>
      </c>
      <c r="G13" s="2758">
        <v>0</v>
      </c>
      <c r="H13" s="2758">
        <v>0</v>
      </c>
      <c r="I13" s="2758">
        <f t="shared" ref="I13" si="3">SUM(I11:I12)</f>
        <v>0</v>
      </c>
      <c r="J13" s="2759">
        <f t="shared" si="0"/>
        <v>0</v>
      </c>
      <c r="K13" s="285">
        <f>'Výdaje kapitol celkem'!Q21</f>
        <v>0</v>
      </c>
      <c r="L13" s="2760">
        <f>+K13-I13</f>
        <v>0</v>
      </c>
      <c r="M13" s="329"/>
    </row>
    <row r="14" spans="1:13" ht="13.5" outlineLevel="1">
      <c r="A14" s="2747">
        <v>6171</v>
      </c>
      <c r="B14" s="2748">
        <v>5137</v>
      </c>
      <c r="C14" s="2749" t="s">
        <v>2235</v>
      </c>
      <c r="D14" s="2750">
        <v>344000</v>
      </c>
      <c r="E14" s="2750">
        <v>344000</v>
      </c>
      <c r="F14" s="2750">
        <v>344000</v>
      </c>
      <c r="G14" s="2750">
        <v>344000</v>
      </c>
      <c r="H14" s="2750">
        <v>344000</v>
      </c>
      <c r="I14" s="2750">
        <f>+[2]Správa!$B$12</f>
        <v>344000</v>
      </c>
      <c r="J14" s="2751">
        <f t="shared" si="0"/>
        <v>0</v>
      </c>
      <c r="K14" s="2741"/>
      <c r="L14" s="2760"/>
    </row>
    <row r="15" spans="1:13" ht="15.75" customHeight="1" outlineLevel="1">
      <c r="A15" s="2752">
        <v>6171</v>
      </c>
      <c r="B15" s="2753">
        <v>5137</v>
      </c>
      <c r="C15" s="2754" t="s">
        <v>2236</v>
      </c>
      <c r="D15" s="2755">
        <v>350000</v>
      </c>
      <c r="E15" s="2755">
        <v>350000</v>
      </c>
      <c r="F15" s="2755">
        <v>350000</v>
      </c>
      <c r="G15" s="2755">
        <v>350000</v>
      </c>
      <c r="H15" s="2755">
        <v>350000</v>
      </c>
      <c r="I15" s="2755">
        <f>+[2]Správa!$B$13</f>
        <v>350000</v>
      </c>
      <c r="J15" s="2756">
        <f t="shared" si="0"/>
        <v>0</v>
      </c>
      <c r="K15" s="2741"/>
      <c r="L15" s="2760"/>
    </row>
    <row r="16" spans="1:13" ht="15.75" customHeight="1" outlineLevel="1">
      <c r="A16" s="2752">
        <v>6171</v>
      </c>
      <c r="B16" s="2753">
        <v>5137</v>
      </c>
      <c r="C16" s="2754"/>
      <c r="D16" s="2755"/>
      <c r="E16" s="2755"/>
      <c r="F16" s="2755"/>
      <c r="G16" s="2755"/>
      <c r="H16" s="2755"/>
      <c r="I16" s="2755"/>
      <c r="J16" s="2756">
        <f t="shared" si="0"/>
        <v>0</v>
      </c>
      <c r="K16" s="2741"/>
      <c r="L16" s="2760"/>
    </row>
    <row r="17" spans="1:13" s="432" customFormat="1" ht="16.5" customHeight="1" thickBot="1">
      <c r="A17" s="3209" t="s">
        <v>213</v>
      </c>
      <c r="B17" s="3210"/>
      <c r="C17" s="2757"/>
      <c r="D17" s="2758">
        <v>694000</v>
      </c>
      <c r="E17" s="2758">
        <v>694000</v>
      </c>
      <c r="F17" s="2758">
        <v>694000</v>
      </c>
      <c r="G17" s="2758">
        <v>694000</v>
      </c>
      <c r="H17" s="2758">
        <v>694000</v>
      </c>
      <c r="I17" s="2758">
        <f t="shared" ref="I17" si="4">SUM(I14:I16)</f>
        <v>694000</v>
      </c>
      <c r="J17" s="2759">
        <f t="shared" si="0"/>
        <v>0</v>
      </c>
      <c r="K17" s="285">
        <f>'Výdaje kapitol celkem'!R21</f>
        <v>694000</v>
      </c>
      <c r="L17" s="2760">
        <f>+K17-I17</f>
        <v>0</v>
      </c>
      <c r="M17" s="329"/>
    </row>
    <row r="18" spans="1:13" ht="15.75" customHeight="1" outlineLevel="1">
      <c r="A18" s="2747">
        <v>4351</v>
      </c>
      <c r="B18" s="2748">
        <v>5137</v>
      </c>
      <c r="C18" s="2749"/>
      <c r="D18" s="2750">
        <v>0</v>
      </c>
      <c r="E18" s="2750">
        <v>0</v>
      </c>
      <c r="F18" s="2750">
        <v>0</v>
      </c>
      <c r="G18" s="2750">
        <v>0</v>
      </c>
      <c r="H18" s="2750">
        <v>0</v>
      </c>
      <c r="I18" s="2750">
        <f>+'[2]Pečovatelská služba'!$B$12</f>
        <v>0</v>
      </c>
      <c r="J18" s="2751">
        <f t="shared" si="0"/>
        <v>0</v>
      </c>
      <c r="K18" s="2741"/>
      <c r="L18" s="2760"/>
      <c r="M18" s="329"/>
    </row>
    <row r="19" spans="1:13" ht="15.75" customHeight="1" outlineLevel="1">
      <c r="A19" s="2752">
        <v>4351</v>
      </c>
      <c r="B19" s="2753">
        <v>5137</v>
      </c>
      <c r="C19" s="2754"/>
      <c r="D19" s="2755">
        <v>50000</v>
      </c>
      <c r="E19" s="2755">
        <v>50000</v>
      </c>
      <c r="F19" s="2755">
        <v>50000</v>
      </c>
      <c r="G19" s="2755">
        <v>50000</v>
      </c>
      <c r="H19" s="2755">
        <v>50000</v>
      </c>
      <c r="I19" s="2755">
        <f>+'[2]Pečovatelská služba'!$B$13</f>
        <v>50000</v>
      </c>
      <c r="J19" s="2761">
        <f t="shared" si="0"/>
        <v>0</v>
      </c>
      <c r="K19" s="2741"/>
      <c r="L19" s="2760"/>
      <c r="M19" s="329"/>
    </row>
    <row r="20" spans="1:13" s="432" customFormat="1" ht="16.5" customHeight="1" thickBot="1">
      <c r="A20" s="3209" t="s">
        <v>214</v>
      </c>
      <c r="B20" s="3210"/>
      <c r="C20" s="2757"/>
      <c r="D20" s="2758">
        <v>50000</v>
      </c>
      <c r="E20" s="2758">
        <v>50000</v>
      </c>
      <c r="F20" s="2758">
        <v>50000</v>
      </c>
      <c r="G20" s="2758">
        <v>50000</v>
      </c>
      <c r="H20" s="2758">
        <v>50000</v>
      </c>
      <c r="I20" s="2758">
        <f t="shared" ref="I20" si="5">SUM(I18:I19)</f>
        <v>50000</v>
      </c>
      <c r="J20" s="2759">
        <f t="shared" si="0"/>
        <v>0</v>
      </c>
      <c r="K20" s="285">
        <f>'Výdaje kapitol celkem'!W21</f>
        <v>50000</v>
      </c>
      <c r="L20" s="2760">
        <f>+K20-I20</f>
        <v>0</v>
      </c>
      <c r="M20" s="329"/>
    </row>
    <row r="21" spans="1:13" ht="15.75" customHeight="1" outlineLevel="1">
      <c r="A21" s="2747">
        <v>2212</v>
      </c>
      <c r="B21" s="2748">
        <v>5137</v>
      </c>
      <c r="C21" s="2749" t="s">
        <v>2356</v>
      </c>
      <c r="D21" s="2750">
        <v>200000</v>
      </c>
      <c r="E21" s="2750">
        <v>200000</v>
      </c>
      <c r="F21" s="2750">
        <v>200000</v>
      </c>
      <c r="G21" s="2750">
        <v>200000</v>
      </c>
      <c r="H21" s="2750">
        <v>200000</v>
      </c>
      <c r="I21" s="2750">
        <f>+[3]Silnice!$B$5</f>
        <v>200000</v>
      </c>
      <c r="J21" s="2751">
        <f t="shared" si="0"/>
        <v>0</v>
      </c>
      <c r="K21" s="2741"/>
      <c r="L21" s="2760"/>
      <c r="M21" s="329"/>
    </row>
    <row r="22" spans="1:13" ht="15.75" customHeight="1" outlineLevel="1">
      <c r="A22" s="2752">
        <v>2212</v>
      </c>
      <c r="B22" s="2753">
        <v>5137</v>
      </c>
      <c r="C22" s="2754"/>
      <c r="D22" s="2755">
        <v>0</v>
      </c>
      <c r="E22" s="2755">
        <v>0</v>
      </c>
      <c r="F22" s="2755">
        <v>0</v>
      </c>
      <c r="G22" s="2755">
        <v>0</v>
      </c>
      <c r="H22" s="2755">
        <v>0</v>
      </c>
      <c r="I22" s="2755">
        <f>+[3]Silnice!$B$6</f>
        <v>0</v>
      </c>
      <c r="J22" s="2756">
        <f t="shared" si="0"/>
        <v>0</v>
      </c>
      <c r="K22" s="2741"/>
      <c r="L22" s="2760">
        <f>+K22-I22</f>
        <v>0</v>
      </c>
      <c r="M22" s="329"/>
    </row>
    <row r="23" spans="1:13" ht="15.75" customHeight="1" outlineLevel="1">
      <c r="A23" s="2752">
        <v>2212</v>
      </c>
      <c r="B23" s="2753">
        <v>5137</v>
      </c>
      <c r="C23" s="2754"/>
      <c r="D23" s="2755"/>
      <c r="E23" s="2755"/>
      <c r="F23" s="2755"/>
      <c r="G23" s="2755"/>
      <c r="H23" s="2755"/>
      <c r="I23" s="2755"/>
      <c r="J23" s="2761">
        <f t="shared" si="0"/>
        <v>0</v>
      </c>
      <c r="K23" s="2741"/>
      <c r="L23" s="2760"/>
      <c r="M23" s="329"/>
    </row>
    <row r="24" spans="1:13" s="432" customFormat="1" ht="16.5" customHeight="1" thickBot="1">
      <c r="A24" s="3209" t="s">
        <v>631</v>
      </c>
      <c r="B24" s="3210"/>
      <c r="C24" s="2757"/>
      <c r="D24" s="2758">
        <v>200000</v>
      </c>
      <c r="E24" s="2758">
        <v>200000</v>
      </c>
      <c r="F24" s="2758">
        <v>200000</v>
      </c>
      <c r="G24" s="2758">
        <v>200000</v>
      </c>
      <c r="H24" s="2758">
        <v>200000</v>
      </c>
      <c r="I24" s="2758">
        <f t="shared" ref="I24" si="6">SUM(I21:I23)</f>
        <v>200000</v>
      </c>
      <c r="J24" s="2759">
        <f t="shared" si="0"/>
        <v>0</v>
      </c>
      <c r="K24" s="285">
        <f>'Výdaje kapitol celkem'!CG21</f>
        <v>200000</v>
      </c>
      <c r="L24" s="2760">
        <f>+K24-I24</f>
        <v>0</v>
      </c>
      <c r="M24" s="329"/>
    </row>
    <row r="25" spans="1:13" ht="15.75" customHeight="1" outlineLevel="1">
      <c r="A25" s="2747" t="s">
        <v>197</v>
      </c>
      <c r="B25" s="2748">
        <v>5137</v>
      </c>
      <c r="C25" s="2749" t="s">
        <v>2407</v>
      </c>
      <c r="D25" s="2750">
        <v>80000</v>
      </c>
      <c r="E25" s="2750">
        <v>80000</v>
      </c>
      <c r="F25" s="2750">
        <v>80000</v>
      </c>
      <c r="G25" s="2750">
        <v>80000</v>
      </c>
      <c r="H25" s="2750">
        <v>80000</v>
      </c>
      <c r="I25" s="2750">
        <f>+'[2]Městská policie'!$B$19</f>
        <v>80000</v>
      </c>
      <c r="J25" s="2751">
        <f t="shared" si="0"/>
        <v>0</v>
      </c>
      <c r="K25" s="2741"/>
      <c r="L25" s="2760"/>
      <c r="M25" s="329"/>
    </row>
    <row r="26" spans="1:13" ht="15.75" customHeight="1" outlineLevel="1">
      <c r="A26" s="2752" t="s">
        <v>197</v>
      </c>
      <c r="B26" s="2753">
        <v>5137</v>
      </c>
      <c r="C26" s="2754" t="s">
        <v>2408</v>
      </c>
      <c r="D26" s="2755">
        <v>88000</v>
      </c>
      <c r="E26" s="2755">
        <v>88000</v>
      </c>
      <c r="F26" s="2755">
        <v>88000</v>
      </c>
      <c r="G26" s="2755">
        <v>88000</v>
      </c>
      <c r="H26" s="2755">
        <v>88000</v>
      </c>
      <c r="I26" s="2755">
        <f>+'[2]Městská policie'!$B$20</f>
        <v>88000</v>
      </c>
      <c r="J26" s="2756">
        <f t="shared" si="0"/>
        <v>0</v>
      </c>
      <c r="K26" s="2741"/>
      <c r="L26" s="2760"/>
      <c r="M26" s="329"/>
    </row>
    <row r="27" spans="1:13" ht="15.75" customHeight="1" outlineLevel="1">
      <c r="A27" s="2752" t="s">
        <v>197</v>
      </c>
      <c r="B27" s="2753">
        <v>5137</v>
      </c>
      <c r="C27" s="2754" t="s">
        <v>2409</v>
      </c>
      <c r="D27" s="2755">
        <v>10000</v>
      </c>
      <c r="E27" s="2755">
        <v>10000</v>
      </c>
      <c r="F27" s="2755">
        <v>10000</v>
      </c>
      <c r="G27" s="2755">
        <v>10000</v>
      </c>
      <c r="H27" s="2755">
        <v>10000</v>
      </c>
      <c r="I27" s="2755">
        <f>+'[2]Městská policie'!$B$21</f>
        <v>10000</v>
      </c>
      <c r="J27" s="2756">
        <f t="shared" si="0"/>
        <v>0</v>
      </c>
      <c r="K27" s="2741"/>
      <c r="L27" s="2760"/>
      <c r="M27" s="329"/>
    </row>
    <row r="28" spans="1:13" ht="15.75" customHeight="1" outlineLevel="1">
      <c r="A28" s="2752" t="s">
        <v>197</v>
      </c>
      <c r="B28" s="2753">
        <v>5137</v>
      </c>
      <c r="C28" s="2754" t="s">
        <v>2603</v>
      </c>
      <c r="D28" s="2755">
        <v>155000</v>
      </c>
      <c r="E28" s="2755">
        <v>155000</v>
      </c>
      <c r="F28" s="2755">
        <v>155000</v>
      </c>
      <c r="G28" s="2755">
        <v>155000</v>
      </c>
      <c r="H28" s="2755">
        <v>155000</v>
      </c>
      <c r="I28" s="2755">
        <f>+'[2]Městská policie'!$B$22</f>
        <v>155000</v>
      </c>
      <c r="J28" s="2756">
        <f t="shared" si="0"/>
        <v>0</v>
      </c>
      <c r="K28" s="2741"/>
      <c r="L28" s="2760"/>
      <c r="M28" s="329"/>
    </row>
    <row r="29" spans="1:13" ht="15.75" customHeight="1" outlineLevel="1">
      <c r="A29" s="2752" t="s">
        <v>197</v>
      </c>
      <c r="B29" s="2753">
        <v>5137</v>
      </c>
      <c r="C29" s="2754"/>
      <c r="D29" s="2755">
        <v>0</v>
      </c>
      <c r="E29" s="2755">
        <v>0</v>
      </c>
      <c r="F29" s="2755">
        <v>0</v>
      </c>
      <c r="G29" s="2755">
        <v>0</v>
      </c>
      <c r="H29" s="2755">
        <v>0</v>
      </c>
      <c r="I29" s="2755">
        <f>+'[2]Městská policie'!$B$23</f>
        <v>0</v>
      </c>
      <c r="J29" s="2761">
        <f t="shared" si="0"/>
        <v>0</v>
      </c>
      <c r="K29" s="2741"/>
      <c r="L29" s="2760"/>
      <c r="M29" s="329"/>
    </row>
    <row r="30" spans="1:13" s="432" customFormat="1" ht="13.9" thickBot="1">
      <c r="A30" s="3209" t="s">
        <v>1178</v>
      </c>
      <c r="B30" s="3210"/>
      <c r="C30" s="2757"/>
      <c r="D30" s="2758">
        <v>333000</v>
      </c>
      <c r="E30" s="2758">
        <v>333000</v>
      </c>
      <c r="F30" s="2758">
        <v>333000</v>
      </c>
      <c r="G30" s="2758">
        <v>333000</v>
      </c>
      <c r="H30" s="2758">
        <v>333000</v>
      </c>
      <c r="I30" s="2758">
        <f t="shared" ref="I30" si="7">SUM(I25:I29)</f>
        <v>333000</v>
      </c>
      <c r="J30" s="2759">
        <f t="shared" si="0"/>
        <v>0</v>
      </c>
      <c r="K30" s="285">
        <f>'Výdaje kapitol celkem'!Z21</f>
        <v>333000</v>
      </c>
      <c r="L30" s="2760">
        <f>+K30-I30</f>
        <v>0</v>
      </c>
      <c r="M30" s="329"/>
    </row>
    <row r="31" spans="1:13" ht="15.75" customHeight="1" outlineLevel="1">
      <c r="A31" s="2747">
        <v>3319</v>
      </c>
      <c r="B31" s="2748">
        <v>5137</v>
      </c>
      <c r="C31" s="2749"/>
      <c r="D31" s="2750"/>
      <c r="E31" s="2750"/>
      <c r="F31" s="2750"/>
      <c r="G31" s="2750"/>
      <c r="H31" s="2750"/>
      <c r="I31" s="2750"/>
      <c r="J31" s="2751">
        <f t="shared" si="0"/>
        <v>0</v>
      </c>
      <c r="K31" s="2741"/>
      <c r="L31" s="2760"/>
      <c r="M31" s="329"/>
    </row>
    <row r="32" spans="1:13" ht="15.75" customHeight="1" outlineLevel="1">
      <c r="A32" s="2752">
        <v>3319</v>
      </c>
      <c r="B32" s="2753">
        <v>5137</v>
      </c>
      <c r="C32" s="2754"/>
      <c r="D32" s="2762"/>
      <c r="E32" s="2762"/>
      <c r="F32" s="2762"/>
      <c r="G32" s="2762"/>
      <c r="H32" s="2762"/>
      <c r="I32" s="2762"/>
      <c r="J32" s="2761">
        <f t="shared" si="0"/>
        <v>0</v>
      </c>
      <c r="K32" s="2741"/>
      <c r="L32" s="2760"/>
      <c r="M32" s="329"/>
    </row>
    <row r="33" spans="1:13" s="432" customFormat="1" ht="16.5" customHeight="1" thickBot="1">
      <c r="A33" s="3209" t="s">
        <v>1177</v>
      </c>
      <c r="B33" s="3210"/>
      <c r="C33" s="2757"/>
      <c r="D33" s="2758">
        <v>0</v>
      </c>
      <c r="E33" s="2758">
        <v>0</v>
      </c>
      <c r="F33" s="2758">
        <v>0</v>
      </c>
      <c r="G33" s="2758">
        <v>0</v>
      </c>
      <c r="H33" s="2758">
        <v>0</v>
      </c>
      <c r="I33" s="2758">
        <f t="shared" ref="I33" si="8">SUM(I31:I32)</f>
        <v>0</v>
      </c>
      <c r="J33" s="2759">
        <f t="shared" si="0"/>
        <v>0</v>
      </c>
      <c r="K33" s="285">
        <f>'Výdaje kapitol celkem'!AA21</f>
        <v>0</v>
      </c>
      <c r="L33" s="2760">
        <f>+K33-I33</f>
        <v>0</v>
      </c>
      <c r="M33" s="329"/>
    </row>
    <row r="34" spans="1:13" ht="15.75" customHeight="1" outlineLevel="1">
      <c r="A34" s="2747">
        <v>3314</v>
      </c>
      <c r="B34" s="2748">
        <v>5137</v>
      </c>
      <c r="C34" s="2749" t="s">
        <v>2244</v>
      </c>
      <c r="D34" s="2750">
        <v>0</v>
      </c>
      <c r="E34" s="2750">
        <v>0</v>
      </c>
      <c r="F34" s="2750">
        <v>0</v>
      </c>
      <c r="G34" s="2750">
        <v>0</v>
      </c>
      <c r="H34" s="2750">
        <v>0</v>
      </c>
      <c r="I34" s="2750">
        <f>+[3]Knihovna!$B$5</f>
        <v>0</v>
      </c>
      <c r="J34" s="2751">
        <f t="shared" si="0"/>
        <v>0</v>
      </c>
      <c r="K34" s="2741"/>
      <c r="L34" s="2760"/>
      <c r="M34" s="329"/>
    </row>
    <row r="35" spans="1:13" ht="15.75" customHeight="1" outlineLevel="1">
      <c r="A35" s="2752">
        <v>3314</v>
      </c>
      <c r="B35" s="2753">
        <v>5137</v>
      </c>
      <c r="C35" s="2754"/>
      <c r="D35" s="2755">
        <v>0</v>
      </c>
      <c r="E35" s="2755">
        <v>0</v>
      </c>
      <c r="F35" s="2755">
        <v>0</v>
      </c>
      <c r="G35" s="2755">
        <v>0</v>
      </c>
      <c r="H35" s="2755">
        <v>0</v>
      </c>
      <c r="I35" s="2755">
        <f>+[3]Knihovna!$B$6</f>
        <v>0</v>
      </c>
      <c r="J35" s="2761">
        <f t="shared" si="0"/>
        <v>0</v>
      </c>
      <c r="K35" s="2741"/>
      <c r="L35" s="2760"/>
      <c r="M35" s="329"/>
    </row>
    <row r="36" spans="1:13" ht="15.75" customHeight="1" outlineLevel="1">
      <c r="A36" s="2752">
        <v>3314</v>
      </c>
      <c r="B36" s="2753">
        <v>5137</v>
      </c>
      <c r="C36" s="2754" t="s">
        <v>2413</v>
      </c>
      <c r="D36" s="2755">
        <v>80000</v>
      </c>
      <c r="E36" s="2755">
        <v>80000</v>
      </c>
      <c r="F36" s="2755">
        <v>80000</v>
      </c>
      <c r="G36" s="2755">
        <v>80000</v>
      </c>
      <c r="H36" s="2755">
        <v>80000</v>
      </c>
      <c r="I36" s="2755">
        <f>+[2]Knihovna!$B$12</f>
        <v>80000</v>
      </c>
      <c r="J36" s="2761">
        <f t="shared" si="0"/>
        <v>0</v>
      </c>
      <c r="K36" s="2741"/>
      <c r="L36" s="2760"/>
      <c r="M36" s="329"/>
    </row>
    <row r="37" spans="1:13" ht="15.75" customHeight="1" outlineLevel="1">
      <c r="A37" s="2752">
        <v>3314</v>
      </c>
      <c r="B37" s="2753">
        <v>5137</v>
      </c>
      <c r="C37" s="2754" t="s">
        <v>2414</v>
      </c>
      <c r="D37" s="2755">
        <v>50000</v>
      </c>
      <c r="E37" s="2755">
        <v>50000</v>
      </c>
      <c r="F37" s="2755">
        <v>50000</v>
      </c>
      <c r="G37" s="2755">
        <v>50000</v>
      </c>
      <c r="H37" s="2755">
        <v>50000</v>
      </c>
      <c r="I37" s="2755">
        <f>+[2]Knihovna!$B$13</f>
        <v>50000</v>
      </c>
      <c r="J37" s="2761">
        <f t="shared" si="0"/>
        <v>0</v>
      </c>
      <c r="K37" s="2741"/>
      <c r="L37" s="2760"/>
      <c r="M37" s="329"/>
    </row>
    <row r="38" spans="1:13" ht="15.75" customHeight="1" outlineLevel="1">
      <c r="A38" s="2752">
        <v>3314</v>
      </c>
      <c r="B38" s="2753">
        <v>5137</v>
      </c>
      <c r="C38" s="2754" t="s">
        <v>2415</v>
      </c>
      <c r="D38" s="2755">
        <v>15000</v>
      </c>
      <c r="E38" s="2755">
        <v>15000</v>
      </c>
      <c r="F38" s="2755">
        <v>15000</v>
      </c>
      <c r="G38" s="2755">
        <v>15000</v>
      </c>
      <c r="H38" s="2755">
        <v>15000</v>
      </c>
      <c r="I38" s="2755">
        <f>+[2]Knihovna!$B$14</f>
        <v>15000</v>
      </c>
      <c r="J38" s="2761">
        <f t="shared" si="0"/>
        <v>0</v>
      </c>
      <c r="K38" s="2741"/>
      <c r="L38" s="2760"/>
      <c r="M38" s="329"/>
    </row>
    <row r="39" spans="1:13" ht="15.75" customHeight="1" outlineLevel="1">
      <c r="A39" s="2763"/>
      <c r="B39" s="2764"/>
      <c r="C39" s="2765"/>
      <c r="D39" s="2766"/>
      <c r="E39" s="2766"/>
      <c r="F39" s="2766"/>
      <c r="G39" s="2766"/>
      <c r="H39" s="2766"/>
      <c r="I39" s="2766"/>
      <c r="J39" s="2767">
        <f t="shared" si="0"/>
        <v>0</v>
      </c>
      <c r="K39" s="2741"/>
      <c r="L39" s="2760"/>
      <c r="M39" s="329"/>
    </row>
    <row r="40" spans="1:13" s="432" customFormat="1" ht="16.5" customHeight="1" thickBot="1">
      <c r="A40" s="3209" t="s">
        <v>1179</v>
      </c>
      <c r="B40" s="3210"/>
      <c r="C40" s="2757"/>
      <c r="D40" s="2758">
        <v>145000</v>
      </c>
      <c r="E40" s="2758">
        <v>145000</v>
      </c>
      <c r="F40" s="2758">
        <v>145000</v>
      </c>
      <c r="G40" s="2758">
        <v>145000</v>
      </c>
      <c r="H40" s="2758">
        <v>145000</v>
      </c>
      <c r="I40" s="2758">
        <f>SUM(I34:I39)</f>
        <v>145000</v>
      </c>
      <c r="J40" s="2759">
        <f t="shared" si="0"/>
        <v>0</v>
      </c>
      <c r="K40" s="285">
        <f>'Výdaje kapitol celkem'!AC21</f>
        <v>145000</v>
      </c>
      <c r="L40" s="2760">
        <f>+K40-I40</f>
        <v>0</v>
      </c>
      <c r="M40" s="329"/>
    </row>
    <row r="41" spans="1:13" ht="15.75" hidden="1" customHeight="1" outlineLevel="1">
      <c r="A41" s="2747">
        <v>3349</v>
      </c>
      <c r="B41" s="2748">
        <v>5137</v>
      </c>
      <c r="C41" s="2749"/>
      <c r="D41" s="2750"/>
      <c r="E41" s="2750"/>
      <c r="F41" s="2750"/>
      <c r="G41" s="2750"/>
      <c r="H41" s="2750"/>
      <c r="I41" s="2750"/>
      <c r="J41" s="2751">
        <f t="shared" si="0"/>
        <v>0</v>
      </c>
      <c r="K41" s="2741"/>
      <c r="L41" s="2760"/>
      <c r="M41" s="329"/>
    </row>
    <row r="42" spans="1:13" s="432" customFormat="1" ht="16.5" customHeight="1" collapsed="1" thickBot="1">
      <c r="A42" s="3209" t="s">
        <v>1205</v>
      </c>
      <c r="B42" s="3210"/>
      <c r="C42" s="2757"/>
      <c r="D42" s="2758">
        <v>0</v>
      </c>
      <c r="E42" s="2758">
        <v>0</v>
      </c>
      <c r="F42" s="2758">
        <v>0</v>
      </c>
      <c r="G42" s="2758">
        <v>0</v>
      </c>
      <c r="H42" s="2758">
        <v>0</v>
      </c>
      <c r="I42" s="2758">
        <f t="shared" ref="I42" si="9">SUM(I41)</f>
        <v>0</v>
      </c>
      <c r="J42" s="2759">
        <f t="shared" si="0"/>
        <v>0</v>
      </c>
      <c r="K42" s="285">
        <f>'Výdaje kapitol celkem'!AD21</f>
        <v>0</v>
      </c>
      <c r="L42" s="2760">
        <f>+K42-I42</f>
        <v>0</v>
      </c>
      <c r="M42" s="329"/>
    </row>
    <row r="43" spans="1:13" ht="15.75" customHeight="1" outlineLevel="1">
      <c r="A43" s="2747">
        <v>3359</v>
      </c>
      <c r="B43" s="2748">
        <v>5137</v>
      </c>
      <c r="C43" s="2749" t="s">
        <v>2247</v>
      </c>
      <c r="D43" s="2750">
        <v>120000</v>
      </c>
      <c r="E43" s="2750">
        <v>120000</v>
      </c>
      <c r="F43" s="2750">
        <v>120000</v>
      </c>
      <c r="G43" s="2750">
        <v>120000</v>
      </c>
      <c r="H43" s="2750">
        <v>120000</v>
      </c>
      <c r="I43" s="2750">
        <f>+[2]Kultura!$B$5</f>
        <v>120000</v>
      </c>
      <c r="J43" s="2751">
        <f t="shared" si="0"/>
        <v>0</v>
      </c>
      <c r="K43" s="2741"/>
      <c r="L43" s="2760"/>
      <c r="M43" s="329"/>
    </row>
    <row r="44" spans="1:13" ht="15.75" customHeight="1" outlineLevel="1">
      <c r="A44" s="2752">
        <v>3359</v>
      </c>
      <c r="B44" s="2753">
        <v>5137</v>
      </c>
      <c r="C44" s="2754"/>
      <c r="D44" s="2755">
        <v>0</v>
      </c>
      <c r="E44" s="2755">
        <v>0</v>
      </c>
      <c r="F44" s="2755">
        <v>0</v>
      </c>
      <c r="G44" s="2755">
        <v>0</v>
      </c>
      <c r="H44" s="2755">
        <v>0</v>
      </c>
      <c r="I44" s="2755">
        <f>+[2]Kultura!$B$6</f>
        <v>0</v>
      </c>
      <c r="J44" s="2756">
        <f t="shared" si="0"/>
        <v>0</v>
      </c>
      <c r="K44" s="2741"/>
      <c r="L44" s="2760">
        <f>+K44-I44</f>
        <v>0</v>
      </c>
      <c r="M44" s="329"/>
    </row>
    <row r="45" spans="1:13" ht="16.5" customHeight="1" outlineLevel="1">
      <c r="A45" s="2768">
        <v>3359</v>
      </c>
      <c r="B45" s="2753">
        <v>5137</v>
      </c>
      <c r="C45" s="2769"/>
      <c r="D45" s="2770"/>
      <c r="E45" s="2770"/>
      <c r="F45" s="2770"/>
      <c r="G45" s="2770"/>
      <c r="H45" s="2770"/>
      <c r="I45" s="2770"/>
      <c r="J45" s="2771">
        <f t="shared" si="0"/>
        <v>0</v>
      </c>
      <c r="K45" s="2741"/>
      <c r="L45" s="2760"/>
      <c r="M45" s="329"/>
    </row>
    <row r="46" spans="1:13" s="432" customFormat="1" ht="16.5" customHeight="1" thickBot="1">
      <c r="A46" s="3209" t="s">
        <v>1204</v>
      </c>
      <c r="B46" s="3210"/>
      <c r="C46" s="2757"/>
      <c r="D46" s="2758">
        <v>120000</v>
      </c>
      <c r="E46" s="2758">
        <v>120000</v>
      </c>
      <c r="F46" s="2758">
        <v>120000</v>
      </c>
      <c r="G46" s="2758">
        <v>120000</v>
      </c>
      <c r="H46" s="2758">
        <v>120000</v>
      </c>
      <c r="I46" s="2758">
        <f>SUM(I43:I45)</f>
        <v>120000</v>
      </c>
      <c r="J46" s="2759">
        <f t="shared" si="0"/>
        <v>0</v>
      </c>
      <c r="K46" s="285">
        <f>'Výdaje kapitol celkem'!AE21</f>
        <v>120000</v>
      </c>
      <c r="L46" s="2760">
        <f>+K46-I46</f>
        <v>0</v>
      </c>
      <c r="M46" s="329"/>
    </row>
    <row r="47" spans="1:13" ht="15.75" customHeight="1" outlineLevel="1">
      <c r="A47" s="2747">
        <v>3612</v>
      </c>
      <c r="B47" s="2748">
        <v>5137</v>
      </c>
      <c r="C47" s="2749" t="s">
        <v>75</v>
      </c>
      <c r="D47" s="2750">
        <v>100000</v>
      </c>
      <c r="E47" s="2750">
        <v>100000</v>
      </c>
      <c r="F47" s="2750">
        <v>100000</v>
      </c>
      <c r="G47" s="2750">
        <v>100000</v>
      </c>
      <c r="H47" s="2750">
        <v>100000</v>
      </c>
      <c r="I47" s="2750">
        <f>+[3]Byty!$B$5</f>
        <v>100000</v>
      </c>
      <c r="J47" s="2751">
        <f t="shared" si="0"/>
        <v>0</v>
      </c>
      <c r="K47" s="2741"/>
      <c r="L47" s="2760"/>
      <c r="M47" s="329"/>
    </row>
    <row r="48" spans="1:13" ht="15.75" customHeight="1" outlineLevel="1">
      <c r="A48" s="2752">
        <v>3612</v>
      </c>
      <c r="B48" s="2753">
        <v>5137</v>
      </c>
      <c r="C48" s="2754" t="s">
        <v>2204</v>
      </c>
      <c r="D48" s="2755">
        <v>300000</v>
      </c>
      <c r="E48" s="2755">
        <v>300000</v>
      </c>
      <c r="F48" s="2755">
        <v>300000</v>
      </c>
      <c r="G48" s="2755">
        <v>300000</v>
      </c>
      <c r="H48" s="2755">
        <v>300000</v>
      </c>
      <c r="I48" s="2755">
        <f>+[3]Byty!$B$6</f>
        <v>300000</v>
      </c>
      <c r="J48" s="2756">
        <f t="shared" si="0"/>
        <v>0</v>
      </c>
      <c r="K48" s="2741"/>
      <c r="L48" s="2760"/>
      <c r="M48" s="329"/>
    </row>
    <row r="49" spans="1:13" s="432" customFormat="1" ht="16.5" customHeight="1" thickBot="1">
      <c r="A49" s="3209" t="s">
        <v>200</v>
      </c>
      <c r="B49" s="3210"/>
      <c r="C49" s="2757"/>
      <c r="D49" s="2758">
        <v>400000</v>
      </c>
      <c r="E49" s="2758">
        <v>400000</v>
      </c>
      <c r="F49" s="2758">
        <v>400000</v>
      </c>
      <c r="G49" s="2758">
        <v>400000</v>
      </c>
      <c r="H49" s="2758">
        <v>400000</v>
      </c>
      <c r="I49" s="2758">
        <f t="shared" ref="I49" si="10">SUM(I47:I48)</f>
        <v>400000</v>
      </c>
      <c r="J49" s="2759">
        <f t="shared" si="0"/>
        <v>0</v>
      </c>
      <c r="K49" s="285">
        <f>'Výdaje kapitol celkem'!AF21</f>
        <v>400000</v>
      </c>
      <c r="L49" s="2760">
        <f>+K49-I49</f>
        <v>0</v>
      </c>
      <c r="M49" s="329"/>
    </row>
    <row r="50" spans="1:13" ht="16.5" customHeight="1" outlineLevel="1">
      <c r="A50" s="2768" t="s">
        <v>199</v>
      </c>
      <c r="B50" s="2764">
        <v>5137</v>
      </c>
      <c r="C50" s="2769" t="s">
        <v>2208</v>
      </c>
      <c r="D50" s="2770">
        <v>30000</v>
      </c>
      <c r="E50" s="2770">
        <v>30000</v>
      </c>
      <c r="F50" s="2770">
        <v>30000</v>
      </c>
      <c r="G50" s="2770">
        <v>30000</v>
      </c>
      <c r="H50" s="2770">
        <v>30000</v>
      </c>
      <c r="I50" s="2770">
        <f>+[3]DPS!$B$5</f>
        <v>30000</v>
      </c>
      <c r="J50" s="2771">
        <f t="shared" si="0"/>
        <v>0</v>
      </c>
      <c r="K50" s="2741"/>
      <c r="L50" s="2760"/>
      <c r="M50" s="329"/>
    </row>
    <row r="51" spans="1:13" ht="16.5" customHeight="1" outlineLevel="1">
      <c r="A51" s="2768" t="s">
        <v>199</v>
      </c>
      <c r="B51" s="2764">
        <v>5137</v>
      </c>
      <c r="C51" s="2769"/>
      <c r="D51" s="2770">
        <v>0</v>
      </c>
      <c r="E51" s="2770">
        <v>0</v>
      </c>
      <c r="F51" s="2770">
        <v>0</v>
      </c>
      <c r="G51" s="2770">
        <v>0</v>
      </c>
      <c r="H51" s="2770">
        <v>0</v>
      </c>
      <c r="I51" s="2770">
        <f>+[3]DPS!$B$6</f>
        <v>0</v>
      </c>
      <c r="J51" s="2771">
        <f t="shared" si="0"/>
        <v>0</v>
      </c>
      <c r="K51" s="2741"/>
      <c r="L51" s="2760"/>
      <c r="M51" s="329"/>
    </row>
    <row r="52" spans="1:13" ht="16.5" customHeight="1" thickBot="1">
      <c r="A52" s="3209" t="s">
        <v>201</v>
      </c>
      <c r="B52" s="3210"/>
      <c r="C52" s="2757"/>
      <c r="D52" s="2758">
        <v>30000</v>
      </c>
      <c r="E52" s="2758">
        <v>30000</v>
      </c>
      <c r="F52" s="2758">
        <v>30000</v>
      </c>
      <c r="G52" s="2758">
        <v>30000</v>
      </c>
      <c r="H52" s="2758">
        <v>30000</v>
      </c>
      <c r="I52" s="2758">
        <f t="shared" ref="I52" si="11">SUM(I50:I51)</f>
        <v>30000</v>
      </c>
      <c r="J52" s="2759">
        <f t="shared" si="0"/>
        <v>0</v>
      </c>
      <c r="K52" s="285">
        <f>'Výdaje kapitol celkem'!AI21</f>
        <v>30000</v>
      </c>
      <c r="L52" s="2760">
        <f>+K52-I52</f>
        <v>0</v>
      </c>
      <c r="M52" s="329"/>
    </row>
    <row r="53" spans="1:13" ht="16.5" customHeight="1" outlineLevel="1">
      <c r="A53" s="2752" t="s">
        <v>1255</v>
      </c>
      <c r="B53" s="2753">
        <v>5137</v>
      </c>
      <c r="C53" s="2754"/>
      <c r="D53" s="2755">
        <v>0</v>
      </c>
      <c r="E53" s="2755">
        <v>0</v>
      </c>
      <c r="F53" s="2755">
        <v>0</v>
      </c>
      <c r="G53" s="2755">
        <v>0</v>
      </c>
      <c r="H53" s="2755">
        <v>0</v>
      </c>
      <c r="I53" s="2755">
        <f>+'[3]Hotel Budka'!$B$5</f>
        <v>0</v>
      </c>
      <c r="J53" s="2761">
        <f t="shared" si="0"/>
        <v>0</v>
      </c>
      <c r="K53" s="2741"/>
      <c r="L53" s="2760"/>
      <c r="M53" s="329"/>
    </row>
    <row r="54" spans="1:13" ht="16.5" customHeight="1" outlineLevel="1">
      <c r="A54" s="2768" t="s">
        <v>1255</v>
      </c>
      <c r="B54" s="2764">
        <v>5137</v>
      </c>
      <c r="C54" s="2769"/>
      <c r="D54" s="2770">
        <v>0</v>
      </c>
      <c r="E54" s="2770">
        <v>0</v>
      </c>
      <c r="F54" s="2770">
        <v>0</v>
      </c>
      <c r="G54" s="2770">
        <v>0</v>
      </c>
      <c r="H54" s="2770">
        <v>0</v>
      </c>
      <c r="I54" s="2770">
        <f>+'[3]Hotel Budka'!$B$6</f>
        <v>0</v>
      </c>
      <c r="J54" s="2772">
        <f t="shared" si="0"/>
        <v>0</v>
      </c>
      <c r="K54" s="2741"/>
      <c r="L54" s="2760"/>
      <c r="M54" s="329"/>
    </row>
    <row r="55" spans="1:13" ht="19.5" customHeight="1" thickBot="1">
      <c r="A55" s="3209" t="s">
        <v>1443</v>
      </c>
      <c r="B55" s="3210"/>
      <c r="C55" s="2757"/>
      <c r="D55" s="2758">
        <v>0</v>
      </c>
      <c r="E55" s="2758">
        <v>0</v>
      </c>
      <c r="F55" s="2758">
        <v>0</v>
      </c>
      <c r="G55" s="2758">
        <v>0</v>
      </c>
      <c r="H55" s="2758">
        <v>0</v>
      </c>
      <c r="I55" s="2758">
        <f t="shared" ref="I55" si="12">SUM(I53:I54)</f>
        <v>0</v>
      </c>
      <c r="J55" s="2759">
        <f t="shared" si="0"/>
        <v>0</v>
      </c>
      <c r="K55" s="285">
        <f>'Výdaje kapitol celkem'!AB21</f>
        <v>0</v>
      </c>
      <c r="L55" s="2760">
        <f>+K55-I55</f>
        <v>0</v>
      </c>
      <c r="M55" s="329"/>
    </row>
    <row r="56" spans="1:13" ht="16.5" customHeight="1" outlineLevel="1">
      <c r="A56" s="2752" t="s">
        <v>171</v>
      </c>
      <c r="B56" s="2753">
        <v>5137</v>
      </c>
      <c r="C56" s="2754" t="s">
        <v>2594</v>
      </c>
      <c r="D56" s="2755">
        <v>100000</v>
      </c>
      <c r="E56" s="2755">
        <v>100000</v>
      </c>
      <c r="F56" s="2755">
        <v>100000</v>
      </c>
      <c r="G56" s="2755">
        <v>100000</v>
      </c>
      <c r="H56" s="2755">
        <v>100000</v>
      </c>
      <c r="I56" s="2755">
        <f>+[3]koupaliště!$B$5</f>
        <v>100000</v>
      </c>
      <c r="J56" s="2761">
        <f t="shared" si="0"/>
        <v>0</v>
      </c>
      <c r="K56" s="2741"/>
      <c r="L56" s="2760"/>
      <c r="M56" s="329"/>
    </row>
    <row r="57" spans="1:13" ht="16.5" customHeight="1" outlineLevel="1">
      <c r="A57" s="2768" t="s">
        <v>171</v>
      </c>
      <c r="B57" s="2764">
        <v>5137</v>
      </c>
      <c r="C57" s="2769"/>
      <c r="D57" s="2770"/>
      <c r="E57" s="2770"/>
      <c r="F57" s="2770"/>
      <c r="G57" s="2770"/>
      <c r="H57" s="2770"/>
      <c r="I57" s="2770"/>
      <c r="J57" s="2772">
        <f t="shared" si="0"/>
        <v>0</v>
      </c>
      <c r="K57" s="2741"/>
      <c r="L57" s="2760"/>
      <c r="M57" s="329"/>
    </row>
    <row r="58" spans="1:13" ht="19.5" customHeight="1" thickBot="1">
      <c r="A58" s="3209" t="s">
        <v>2593</v>
      </c>
      <c r="B58" s="3210"/>
      <c r="C58" s="2757"/>
      <c r="D58" s="2758">
        <v>100000</v>
      </c>
      <c r="E58" s="2758">
        <v>100000</v>
      </c>
      <c r="F58" s="2758">
        <v>100000</v>
      </c>
      <c r="G58" s="2758">
        <v>100000</v>
      </c>
      <c r="H58" s="2758">
        <v>100000</v>
      </c>
      <c r="I58" s="2758">
        <f t="shared" ref="I58" si="13">SUM(I56:I57)</f>
        <v>100000</v>
      </c>
      <c r="J58" s="2759">
        <f t="shared" si="0"/>
        <v>0</v>
      </c>
      <c r="K58" s="285">
        <f>+'Výdaje kapitol celkem'!AU21</f>
        <v>100000</v>
      </c>
      <c r="L58" s="2760">
        <f>+K58-I58</f>
        <v>0</v>
      </c>
      <c r="M58" s="329"/>
    </row>
    <row r="59" spans="1:13" ht="16.5" hidden="1" customHeight="1" outlineLevel="1">
      <c r="A59" s="2752">
        <v>3613</v>
      </c>
      <c r="B59" s="2753">
        <v>5137</v>
      </c>
      <c r="C59" s="2754"/>
      <c r="D59" s="2755"/>
      <c r="E59" s="2755"/>
      <c r="F59" s="2755"/>
      <c r="G59" s="2755"/>
      <c r="H59" s="2755"/>
      <c r="I59" s="2755"/>
      <c r="J59" s="2761">
        <f t="shared" si="0"/>
        <v>0</v>
      </c>
      <c r="K59" s="2741"/>
      <c r="L59" s="2760"/>
      <c r="M59" s="329"/>
    </row>
    <row r="60" spans="1:13" ht="16.5" hidden="1" customHeight="1" outlineLevel="1">
      <c r="A60" s="2768">
        <v>3613</v>
      </c>
      <c r="B60" s="2764">
        <v>5137</v>
      </c>
      <c r="C60" s="2769"/>
      <c r="D60" s="2770"/>
      <c r="E60" s="2770"/>
      <c r="F60" s="2770"/>
      <c r="G60" s="2770"/>
      <c r="H60" s="2770"/>
      <c r="I60" s="2770"/>
      <c r="J60" s="2772">
        <f t="shared" si="0"/>
        <v>0</v>
      </c>
      <c r="K60" s="2741"/>
      <c r="L60" s="2760"/>
      <c r="M60" s="329"/>
    </row>
    <row r="61" spans="1:13" ht="19.5" customHeight="1" collapsed="1" thickBot="1">
      <c r="A61" s="3209" t="s">
        <v>202</v>
      </c>
      <c r="B61" s="3210"/>
      <c r="C61" s="2757"/>
      <c r="D61" s="2758">
        <v>0</v>
      </c>
      <c r="E61" s="2758">
        <v>0</v>
      </c>
      <c r="F61" s="2758">
        <v>0</v>
      </c>
      <c r="G61" s="2758">
        <v>0</v>
      </c>
      <c r="H61" s="2758">
        <v>0</v>
      </c>
      <c r="I61" s="2758">
        <f t="shared" ref="I61" si="14">SUM(I59:I60)</f>
        <v>0</v>
      </c>
      <c r="J61" s="2759">
        <f t="shared" si="0"/>
        <v>0</v>
      </c>
      <c r="K61" s="285">
        <f>'Výdaje kapitol celkem'!AL21</f>
        <v>0</v>
      </c>
      <c r="L61" s="2760">
        <f>+K61-I61</f>
        <v>0</v>
      </c>
      <c r="M61" s="329"/>
    </row>
    <row r="62" spans="1:13" ht="20.25" hidden="1" customHeight="1" outlineLevel="1">
      <c r="A62" s="2752">
        <v>3631</v>
      </c>
      <c r="B62" s="2753">
        <v>5137</v>
      </c>
      <c r="C62" s="2754"/>
      <c r="D62" s="2755"/>
      <c r="E62" s="2755"/>
      <c r="F62" s="2755"/>
      <c r="G62" s="2755"/>
      <c r="H62" s="2755"/>
      <c r="I62" s="2755"/>
      <c r="J62" s="2761">
        <f t="shared" si="0"/>
        <v>0</v>
      </c>
      <c r="K62" s="2741"/>
      <c r="L62" s="2760"/>
      <c r="M62" s="329"/>
    </row>
    <row r="63" spans="1:13" ht="20.25" hidden="1" customHeight="1" outlineLevel="1">
      <c r="A63" s="2752">
        <v>3631</v>
      </c>
      <c r="B63" s="2753">
        <v>5137</v>
      </c>
      <c r="C63" s="2754"/>
      <c r="D63" s="2755"/>
      <c r="E63" s="2755"/>
      <c r="F63" s="2755"/>
      <c r="G63" s="2755"/>
      <c r="H63" s="2755"/>
      <c r="I63" s="2755"/>
      <c r="J63" s="2761">
        <f t="shared" si="0"/>
        <v>0</v>
      </c>
      <c r="K63" s="2741"/>
      <c r="L63" s="2760"/>
      <c r="M63" s="329"/>
    </row>
    <row r="64" spans="1:13" ht="20.25" hidden="1" customHeight="1" outlineLevel="1">
      <c r="A64" s="2768">
        <v>3631</v>
      </c>
      <c r="B64" s="2764">
        <v>5137</v>
      </c>
      <c r="C64" s="2754"/>
      <c r="D64" s="2770"/>
      <c r="E64" s="2770"/>
      <c r="F64" s="2770"/>
      <c r="G64" s="2770"/>
      <c r="H64" s="2770"/>
      <c r="I64" s="2770"/>
      <c r="J64" s="2772">
        <f t="shared" si="0"/>
        <v>0</v>
      </c>
      <c r="K64" s="2741"/>
      <c r="L64" s="2760"/>
      <c r="M64" s="329"/>
    </row>
    <row r="65" spans="1:13" ht="20.25" customHeight="1" collapsed="1" thickBot="1">
      <c r="A65" s="3209" t="s">
        <v>630</v>
      </c>
      <c r="B65" s="3210"/>
      <c r="C65" s="2757"/>
      <c r="D65" s="2758">
        <v>0</v>
      </c>
      <c r="E65" s="2758">
        <v>0</v>
      </c>
      <c r="F65" s="2758">
        <v>0</v>
      </c>
      <c r="G65" s="2758">
        <v>0</v>
      </c>
      <c r="H65" s="2758">
        <v>0</v>
      </c>
      <c r="I65" s="2758">
        <f t="shared" ref="I65" si="15">SUM(I62:I64)</f>
        <v>0</v>
      </c>
      <c r="J65" s="2759">
        <f t="shared" si="0"/>
        <v>0</v>
      </c>
      <c r="K65" s="285">
        <f>'Výdaje kapitol celkem'!AO11</f>
        <v>0</v>
      </c>
      <c r="L65" s="2760">
        <f>+K65-I65</f>
        <v>0</v>
      </c>
      <c r="M65" s="329"/>
    </row>
    <row r="66" spans="1:13" ht="20.25" customHeight="1" outlineLevel="1">
      <c r="A66" s="2752">
        <v>5512</v>
      </c>
      <c r="B66" s="2753">
        <v>5137</v>
      </c>
      <c r="C66" s="2754" t="s">
        <v>2418</v>
      </c>
      <c r="D66" s="2755">
        <v>110000</v>
      </c>
      <c r="E66" s="2755">
        <v>110000</v>
      </c>
      <c r="F66" s="2755">
        <v>110000</v>
      </c>
      <c r="G66" s="2755">
        <v>110000</v>
      </c>
      <c r="H66" s="2755">
        <v>110000</v>
      </c>
      <c r="I66" s="2755">
        <f>+[2]Hasiči!$B$12</f>
        <v>110000</v>
      </c>
      <c r="J66" s="2761">
        <f t="shared" si="0"/>
        <v>0</v>
      </c>
      <c r="K66" s="2741"/>
      <c r="L66" s="2760"/>
      <c r="M66" s="329"/>
    </row>
    <row r="67" spans="1:13" ht="20.25" customHeight="1" outlineLevel="1">
      <c r="A67" s="2752">
        <v>5512</v>
      </c>
      <c r="B67" s="2753">
        <v>5137</v>
      </c>
      <c r="C67" s="2754" t="s">
        <v>2419</v>
      </c>
      <c r="D67" s="2755">
        <v>35000</v>
      </c>
      <c r="E67" s="2755">
        <v>35000</v>
      </c>
      <c r="F67" s="2755">
        <v>35000</v>
      </c>
      <c r="G67" s="2755">
        <v>35000</v>
      </c>
      <c r="H67" s="2755">
        <v>35000</v>
      </c>
      <c r="I67" s="2755">
        <f>+[2]Hasiči!$B$13</f>
        <v>35000</v>
      </c>
      <c r="J67" s="2761">
        <f t="shared" si="0"/>
        <v>0</v>
      </c>
      <c r="K67" s="2741"/>
      <c r="L67" s="2760"/>
      <c r="M67" s="329"/>
    </row>
    <row r="68" spans="1:13" ht="20.25" customHeight="1" outlineLevel="1">
      <c r="A68" s="2752">
        <v>5512</v>
      </c>
      <c r="B68" s="2753">
        <v>5137</v>
      </c>
      <c r="C68" s="2754" t="s">
        <v>2420</v>
      </c>
      <c r="D68" s="2755">
        <v>50000</v>
      </c>
      <c r="E68" s="2755">
        <v>50000</v>
      </c>
      <c r="F68" s="2755">
        <v>50000</v>
      </c>
      <c r="G68" s="2755">
        <v>50000</v>
      </c>
      <c r="H68" s="2755">
        <v>50000</v>
      </c>
      <c r="I68" s="2755">
        <f>+[2]Hasiči!$B$14</f>
        <v>50000</v>
      </c>
      <c r="J68" s="2761">
        <f t="shared" si="0"/>
        <v>0</v>
      </c>
      <c r="K68" s="2741"/>
      <c r="L68" s="2760"/>
      <c r="M68" s="329"/>
    </row>
    <row r="69" spans="1:13" ht="12" customHeight="1" outlineLevel="1">
      <c r="A69" s="2768">
        <v>5512</v>
      </c>
      <c r="B69" s="2764">
        <v>5137</v>
      </c>
      <c r="C69" s="2754"/>
      <c r="D69" s="2770"/>
      <c r="E69" s="2770"/>
      <c r="F69" s="2770"/>
      <c r="G69" s="2770"/>
      <c r="H69" s="2770"/>
      <c r="I69" s="2770"/>
      <c r="J69" s="2772">
        <f t="shared" si="0"/>
        <v>0</v>
      </c>
      <c r="K69" s="2741"/>
      <c r="L69" s="2760">
        <f>+K69-I69</f>
        <v>0</v>
      </c>
      <c r="M69" s="329"/>
    </row>
    <row r="70" spans="1:13" ht="20.25" customHeight="1" thickBot="1">
      <c r="A70" s="3209" t="s">
        <v>203</v>
      </c>
      <c r="B70" s="3210"/>
      <c r="C70" s="2757"/>
      <c r="D70" s="2758">
        <v>195000</v>
      </c>
      <c r="E70" s="2758">
        <v>195000</v>
      </c>
      <c r="F70" s="2758">
        <v>195000</v>
      </c>
      <c r="G70" s="2758">
        <v>195000</v>
      </c>
      <c r="H70" s="2758">
        <v>195000</v>
      </c>
      <c r="I70" s="2758">
        <f t="shared" ref="I70" si="16">SUM(I66:I69)</f>
        <v>195000</v>
      </c>
      <c r="J70" s="2759">
        <f t="shared" ref="J70:J75" si="17">+I70-H70</f>
        <v>0</v>
      </c>
      <c r="K70" s="285">
        <f>'Výdaje kapitol celkem'!AO21</f>
        <v>195000</v>
      </c>
      <c r="L70" s="2760">
        <f>+K70-I70</f>
        <v>0</v>
      </c>
      <c r="M70" s="329"/>
    </row>
    <row r="71" spans="1:13" ht="20.25" hidden="1" customHeight="1" outlineLevel="1">
      <c r="A71" s="2747">
        <v>3114</v>
      </c>
      <c r="B71" s="2748">
        <v>5137</v>
      </c>
      <c r="C71" s="2749" t="s">
        <v>2251</v>
      </c>
      <c r="D71" s="2750">
        <v>0</v>
      </c>
      <c r="E71" s="2750">
        <v>0</v>
      </c>
      <c r="F71" s="2750">
        <v>0</v>
      </c>
      <c r="G71" s="2750">
        <v>0</v>
      </c>
      <c r="H71" s="2750">
        <v>0</v>
      </c>
      <c r="I71" s="2750">
        <f>+[2]č.p.65!$B$5</f>
        <v>0</v>
      </c>
      <c r="J71" s="2751">
        <f t="shared" si="17"/>
        <v>0</v>
      </c>
      <c r="K71" s="2741"/>
      <c r="L71" s="2760"/>
      <c r="M71" s="329"/>
    </row>
    <row r="72" spans="1:13" ht="20.25" hidden="1" customHeight="1" outlineLevel="1">
      <c r="A72" s="2768">
        <v>3114</v>
      </c>
      <c r="B72" s="2764">
        <v>5137</v>
      </c>
      <c r="C72" s="2769"/>
      <c r="D72" s="2770">
        <v>0</v>
      </c>
      <c r="E72" s="2770">
        <v>0</v>
      </c>
      <c r="F72" s="2770">
        <v>0</v>
      </c>
      <c r="G72" s="2770">
        <v>0</v>
      </c>
      <c r="H72" s="2770">
        <v>0</v>
      </c>
      <c r="I72" s="2770">
        <f>+[2]č.p.65!$B$6</f>
        <v>0</v>
      </c>
      <c r="J72" s="2772">
        <f t="shared" si="17"/>
        <v>0</v>
      </c>
      <c r="K72" s="2741"/>
      <c r="L72" s="2760"/>
      <c r="M72" s="329"/>
    </row>
    <row r="73" spans="1:13" ht="12.75" hidden="1" customHeight="1" outlineLevel="1">
      <c r="A73" s="2768">
        <v>3114</v>
      </c>
      <c r="B73" s="2764">
        <v>5137</v>
      </c>
      <c r="C73" s="2769"/>
      <c r="D73" s="2773"/>
      <c r="E73" s="2773"/>
      <c r="F73" s="2773"/>
      <c r="G73" s="2773"/>
      <c r="H73" s="2773"/>
      <c r="I73" s="2773"/>
      <c r="J73" s="2772">
        <f t="shared" si="17"/>
        <v>0</v>
      </c>
      <c r="K73" s="2741"/>
      <c r="L73" s="2760">
        <f>+K73-I73</f>
        <v>0</v>
      </c>
      <c r="M73" s="329"/>
    </row>
    <row r="74" spans="1:13" ht="20.25" customHeight="1" collapsed="1" thickBot="1">
      <c r="A74" s="3209" t="s">
        <v>212</v>
      </c>
      <c r="B74" s="3210"/>
      <c r="C74" s="2757"/>
      <c r="D74" s="2758">
        <v>0</v>
      </c>
      <c r="E74" s="2758">
        <v>0</v>
      </c>
      <c r="F74" s="2758">
        <v>0</v>
      </c>
      <c r="G74" s="2758">
        <v>0</v>
      </c>
      <c r="H74" s="2758">
        <v>0</v>
      </c>
      <c r="I74" s="2758">
        <f t="shared" ref="I74" si="18">SUM(I71:I73)</f>
        <v>0</v>
      </c>
      <c r="J74" s="2759">
        <f t="shared" si="17"/>
        <v>0</v>
      </c>
      <c r="K74" s="285">
        <f>'Výdaje kapitol celkem'!BJ21</f>
        <v>0</v>
      </c>
      <c r="L74" s="2760">
        <f>+K74-I74</f>
        <v>0</v>
      </c>
      <c r="M74" s="329"/>
    </row>
    <row r="75" spans="1:13" s="281" customFormat="1" ht="16.5" thickBot="1">
      <c r="A75" s="3207" t="s">
        <v>730</v>
      </c>
      <c r="B75" s="3208"/>
      <c r="C75" s="3208"/>
      <c r="D75" s="2774">
        <v>2317000</v>
      </c>
      <c r="E75" s="2774">
        <v>2317000</v>
      </c>
      <c r="F75" s="2774">
        <v>2317000</v>
      </c>
      <c r="G75" s="2774">
        <v>2317000</v>
      </c>
      <c r="H75" s="2774">
        <v>2317000</v>
      </c>
      <c r="I75" s="2774">
        <f>++I70+I52+I49+I46+I42+I40+I33+I30+I20+I17+I10+I7+I74+I13+I61+I65+I24+I55+I58</f>
        <v>2317000</v>
      </c>
      <c r="J75" s="2775">
        <f t="shared" si="17"/>
        <v>0</v>
      </c>
      <c r="K75" s="2776"/>
      <c r="L75" s="2777"/>
      <c r="M75" s="329"/>
    </row>
    <row r="76" spans="1:13">
      <c r="A76" s="109"/>
      <c r="B76" s="109"/>
      <c r="C76" s="109"/>
      <c r="D76" s="190">
        <v>2317000</v>
      </c>
      <c r="E76" s="190">
        <v>2317000</v>
      </c>
      <c r="F76" s="190">
        <v>2317000</v>
      </c>
      <c r="G76" s="190">
        <v>2317000</v>
      </c>
      <c r="H76" s="190">
        <v>2317000</v>
      </c>
      <c r="I76" s="190">
        <f>'Výdaje kapitol celkem'!I21</f>
        <v>2317000</v>
      </c>
      <c r="J76" s="284"/>
      <c r="K76" s="2741"/>
      <c r="L76" s="1916"/>
    </row>
    <row r="77" spans="1:13" s="323" customFormat="1">
      <c r="A77" s="180"/>
      <c r="B77" s="180"/>
      <c r="C77" s="180" t="s">
        <v>217</v>
      </c>
      <c r="D77" s="180">
        <v>0</v>
      </c>
      <c r="E77" s="180">
        <v>0</v>
      </c>
      <c r="F77" s="180">
        <v>0</v>
      </c>
      <c r="G77" s="180">
        <v>0</v>
      </c>
      <c r="H77" s="180">
        <v>0</v>
      </c>
      <c r="I77" s="284">
        <f>+I76-I75</f>
        <v>0</v>
      </c>
      <c r="J77" s="284"/>
      <c r="K77" s="2741"/>
      <c r="L77" s="1916"/>
    </row>
    <row r="78" spans="1:13">
      <c r="A78" s="2723" t="s">
        <v>545</v>
      </c>
      <c r="B78" s="109"/>
      <c r="C78" s="109"/>
      <c r="D78" s="109"/>
      <c r="E78" s="109"/>
      <c r="F78" s="109"/>
      <c r="G78" s="109"/>
      <c r="H78" s="109"/>
      <c r="I78" s="190"/>
      <c r="J78" s="284"/>
      <c r="K78" s="2741"/>
      <c r="L78" s="1916"/>
    </row>
  </sheetData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0:B70"/>
    <mergeCell ref="A74:B74"/>
    <mergeCell ref="A2:C2"/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166"/>
  <sheetViews>
    <sheetView workbookViewId="0">
      <selection activeCell="J6" sqref="J6:J163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4" width="19.265625" style="316" hidden="1" customWidth="1"/>
    <col min="5" max="6" width="13" style="316" hidden="1" customWidth="1"/>
    <col min="7" max="8" width="13" style="316" customWidth="1"/>
    <col min="9" max="9" width="13" style="318" bestFit="1" customWidth="1"/>
    <col min="10" max="10" width="13" style="319" bestFit="1" customWidth="1"/>
    <col min="11" max="11" width="11.59765625" style="2778" bestFit="1" customWidth="1"/>
    <col min="12" max="12" width="10" style="2779" bestFit="1" customWidth="1"/>
    <col min="13" max="16384" width="9" style="316"/>
  </cols>
  <sheetData>
    <row r="1" spans="1:13" s="2735" customFormat="1" ht="16.149999999999999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16.149999999999999">
      <c r="A2" s="3211" t="s">
        <v>711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44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 t="s">
        <v>763</v>
      </c>
      <c r="L4" s="1916" t="s">
        <v>707</v>
      </c>
    </row>
    <row r="5" spans="1:13" outlineLevel="1">
      <c r="A5" s="2747">
        <v>6409</v>
      </c>
      <c r="B5" s="2748">
        <v>5139</v>
      </c>
      <c r="C5" s="2749"/>
      <c r="D5" s="2750"/>
      <c r="E5" s="2750"/>
      <c r="F5" s="2750"/>
      <c r="G5" s="2750"/>
      <c r="H5" s="2750"/>
      <c r="I5" s="2750"/>
      <c r="J5" s="2751">
        <f>+I5-H5</f>
        <v>0</v>
      </c>
      <c r="K5" s="2741"/>
      <c r="L5" s="1916"/>
    </row>
    <row r="6" spans="1:13" outlineLevel="1">
      <c r="A6" s="2752">
        <v>6409</v>
      </c>
      <c r="B6" s="2753">
        <v>5139</v>
      </c>
      <c r="C6" s="2754"/>
      <c r="D6" s="2755"/>
      <c r="E6" s="2755"/>
      <c r="F6" s="2755"/>
      <c r="G6" s="2755"/>
      <c r="H6" s="2755"/>
      <c r="I6" s="2755"/>
      <c r="J6" s="2756">
        <f t="shared" ref="J6:J69" si="0">+I6-H6</f>
        <v>0</v>
      </c>
      <c r="K6" s="2741"/>
      <c r="L6" s="1916"/>
    </row>
    <row r="7" spans="1:13" s="432" customFormat="1" ht="18" customHeight="1" thickBot="1">
      <c r="A7" s="3209" t="s">
        <v>1208</v>
      </c>
      <c r="B7" s="3210"/>
      <c r="C7" s="2757"/>
      <c r="D7" s="2758">
        <v>0</v>
      </c>
      <c r="E7" s="2758">
        <v>0</v>
      </c>
      <c r="F7" s="2758">
        <v>0</v>
      </c>
      <c r="G7" s="2758">
        <v>0</v>
      </c>
      <c r="H7" s="2758">
        <v>0</v>
      </c>
      <c r="I7" s="2758">
        <f t="shared" ref="I7" si="1">SUM(I5:I6)</f>
        <v>0</v>
      </c>
      <c r="J7" s="2759">
        <f t="shared" si="0"/>
        <v>0</v>
      </c>
      <c r="K7" s="285">
        <f>'Výdaje kapitol celkem'!N22</f>
        <v>0</v>
      </c>
      <c r="L7" s="2760">
        <f>+K7-I7</f>
        <v>0</v>
      </c>
      <c r="M7" s="329"/>
    </row>
    <row r="8" spans="1:13" ht="18" customHeight="1" outlineLevel="1">
      <c r="A8" s="2747">
        <v>6112</v>
      </c>
      <c r="B8" s="2748">
        <v>5139</v>
      </c>
      <c r="C8" s="2749" t="s">
        <v>2234</v>
      </c>
      <c r="D8" s="2750">
        <v>55000</v>
      </c>
      <c r="E8" s="2750">
        <v>55000</v>
      </c>
      <c r="F8" s="2750">
        <v>55000</v>
      </c>
      <c r="G8" s="2750">
        <v>55000</v>
      </c>
      <c r="H8" s="2750">
        <v>55000</v>
      </c>
      <c r="I8" s="2750">
        <f>+[2]Zastupitelé!$B$18</f>
        <v>55000</v>
      </c>
      <c r="J8" s="2751">
        <f t="shared" si="0"/>
        <v>0</v>
      </c>
      <c r="K8" s="2741"/>
      <c r="L8" s="1916"/>
    </row>
    <row r="9" spans="1:13" ht="18" customHeight="1" outlineLevel="1">
      <c r="A9" s="2752">
        <v>6112</v>
      </c>
      <c r="B9" s="2753">
        <v>5139</v>
      </c>
      <c r="C9" s="2754" t="s">
        <v>1800</v>
      </c>
      <c r="D9" s="2755">
        <v>0</v>
      </c>
      <c r="E9" s="2755">
        <v>0</v>
      </c>
      <c r="F9" s="2755">
        <v>0</v>
      </c>
      <c r="G9" s="2755">
        <v>0</v>
      </c>
      <c r="H9" s="2755">
        <v>0</v>
      </c>
      <c r="I9" s="2755">
        <f>+[2]Zastupitelé!$B$19</f>
        <v>0</v>
      </c>
      <c r="J9" s="2756">
        <f t="shared" si="0"/>
        <v>0</v>
      </c>
      <c r="K9" s="2741"/>
      <c r="L9" s="1916"/>
    </row>
    <row r="10" spans="1:13" s="432" customFormat="1" ht="18" customHeight="1" thickBot="1">
      <c r="A10" s="3209" t="s">
        <v>1207</v>
      </c>
      <c r="B10" s="3210"/>
      <c r="C10" s="2757"/>
      <c r="D10" s="2758">
        <v>55000</v>
      </c>
      <c r="E10" s="2758">
        <v>55000</v>
      </c>
      <c r="F10" s="2758">
        <v>55000</v>
      </c>
      <c r="G10" s="2758">
        <v>55000</v>
      </c>
      <c r="H10" s="2758">
        <v>55000</v>
      </c>
      <c r="I10" s="2758">
        <f>SUM(I8:I9)</f>
        <v>55000</v>
      </c>
      <c r="J10" s="2759">
        <f t="shared" si="0"/>
        <v>0</v>
      </c>
      <c r="K10" s="285">
        <f>'Výdaje kapitol celkem'!P22</f>
        <v>55000</v>
      </c>
      <c r="L10" s="2760">
        <f>+K10-I10</f>
        <v>0</v>
      </c>
      <c r="M10" s="329"/>
    </row>
    <row r="11" spans="1:13" ht="18" hidden="1" customHeight="1" outlineLevel="1">
      <c r="A11" s="2747">
        <v>6117</v>
      </c>
      <c r="B11" s="2748">
        <v>5139</v>
      </c>
      <c r="C11" s="2749"/>
      <c r="D11" s="2750"/>
      <c r="E11" s="2750"/>
      <c r="F11" s="2750"/>
      <c r="G11" s="2750"/>
      <c r="H11" s="2750"/>
      <c r="I11" s="2750"/>
      <c r="J11" s="2751">
        <f t="shared" si="0"/>
        <v>0</v>
      </c>
      <c r="K11" s="2741"/>
      <c r="L11" s="1916"/>
    </row>
    <row r="12" spans="1:13" ht="18" hidden="1" customHeight="1" outlineLevel="1">
      <c r="A12" s="2752">
        <v>6117</v>
      </c>
      <c r="B12" s="2753">
        <v>5139</v>
      </c>
      <c r="C12" s="2754"/>
      <c r="D12" s="2755"/>
      <c r="E12" s="2755"/>
      <c r="F12" s="2755"/>
      <c r="G12" s="2755"/>
      <c r="H12" s="2755"/>
      <c r="I12" s="2755"/>
      <c r="J12" s="2756">
        <f t="shared" si="0"/>
        <v>0</v>
      </c>
      <c r="K12" s="2741"/>
      <c r="L12" s="1916"/>
    </row>
    <row r="13" spans="1:13" ht="18" hidden="1" customHeight="1" outlineLevel="1">
      <c r="A13" s="2752">
        <v>6117</v>
      </c>
      <c r="B13" s="2753">
        <v>5139</v>
      </c>
      <c r="C13" s="2754"/>
      <c r="D13" s="2755"/>
      <c r="E13" s="2755"/>
      <c r="F13" s="2755"/>
      <c r="G13" s="2755"/>
      <c r="H13" s="2755"/>
      <c r="I13" s="2755"/>
      <c r="J13" s="2756">
        <f t="shared" si="0"/>
        <v>0</v>
      </c>
      <c r="K13" s="2741"/>
      <c r="L13" s="1916"/>
    </row>
    <row r="14" spans="1:13" s="432" customFormat="1" ht="18" customHeight="1" collapsed="1" thickBot="1">
      <c r="A14" s="3209" t="s">
        <v>1206</v>
      </c>
      <c r="B14" s="3210"/>
      <c r="C14" s="2757"/>
      <c r="D14" s="2758">
        <v>0</v>
      </c>
      <c r="E14" s="2758">
        <v>0</v>
      </c>
      <c r="F14" s="2758">
        <v>0</v>
      </c>
      <c r="G14" s="2758">
        <v>0</v>
      </c>
      <c r="H14" s="2758">
        <v>0</v>
      </c>
      <c r="I14" s="2758">
        <f t="shared" ref="I14" si="2">SUM(I11:I13)</f>
        <v>0</v>
      </c>
      <c r="J14" s="2759">
        <f t="shared" si="0"/>
        <v>0</v>
      </c>
      <c r="K14" s="285">
        <f>'Výdaje kapitol celkem'!Q22</f>
        <v>0</v>
      </c>
      <c r="L14" s="2760">
        <f>+K14-I14</f>
        <v>0</v>
      </c>
      <c r="M14" s="329"/>
    </row>
    <row r="15" spans="1:13" ht="39.4" outlineLevel="1">
      <c r="A15" s="2747">
        <v>6171</v>
      </c>
      <c r="B15" s="2748">
        <v>5139</v>
      </c>
      <c r="C15" s="2749" t="s">
        <v>2237</v>
      </c>
      <c r="D15" s="2750">
        <v>720000</v>
      </c>
      <c r="E15" s="2750">
        <v>720000</v>
      </c>
      <c r="F15" s="2750">
        <v>720000</v>
      </c>
      <c r="G15" s="2750">
        <v>720000</v>
      </c>
      <c r="H15" s="2750">
        <v>720000</v>
      </c>
      <c r="I15" s="2750">
        <f>+[2]Správa!$B$19</f>
        <v>720000</v>
      </c>
      <c r="J15" s="2751">
        <f t="shared" si="0"/>
        <v>0</v>
      </c>
      <c r="K15" s="2741"/>
      <c r="L15" s="1916"/>
    </row>
    <row r="16" spans="1:13" ht="18" customHeight="1" outlineLevel="1">
      <c r="A16" s="2752">
        <v>6171</v>
      </c>
      <c r="B16" s="2753">
        <v>5139</v>
      </c>
      <c r="C16" s="2754"/>
      <c r="D16" s="2755">
        <v>0</v>
      </c>
      <c r="E16" s="2755">
        <v>0</v>
      </c>
      <c r="F16" s="2755">
        <v>0</v>
      </c>
      <c r="G16" s="2755">
        <v>0</v>
      </c>
      <c r="H16" s="2755">
        <v>0</v>
      </c>
      <c r="I16" s="2755">
        <f>+[2]Správa!$B$20</f>
        <v>0</v>
      </c>
      <c r="J16" s="2756">
        <f t="shared" si="0"/>
        <v>0</v>
      </c>
      <c r="K16" s="2741"/>
      <c r="L16" s="1916"/>
    </row>
    <row r="17" spans="1:13" ht="18" customHeight="1" outlineLevel="1">
      <c r="A17" s="2752">
        <v>6171</v>
      </c>
      <c r="B17" s="2753">
        <v>5139</v>
      </c>
      <c r="C17" s="2754"/>
      <c r="D17" s="2755"/>
      <c r="E17" s="2755"/>
      <c r="F17" s="2755"/>
      <c r="G17" s="2755"/>
      <c r="H17" s="2755"/>
      <c r="I17" s="2755"/>
      <c r="J17" s="2756">
        <f t="shared" si="0"/>
        <v>0</v>
      </c>
      <c r="K17" s="2741"/>
      <c r="L17" s="1916"/>
    </row>
    <row r="18" spans="1:13" s="432" customFormat="1" ht="18" customHeight="1" thickBot="1">
      <c r="A18" s="3209" t="s">
        <v>213</v>
      </c>
      <c r="B18" s="3210"/>
      <c r="C18" s="2757"/>
      <c r="D18" s="2758">
        <v>720000</v>
      </c>
      <c r="E18" s="2758">
        <v>720000</v>
      </c>
      <c r="F18" s="2758">
        <v>720000</v>
      </c>
      <c r="G18" s="2758">
        <v>720000</v>
      </c>
      <c r="H18" s="2758">
        <v>720000</v>
      </c>
      <c r="I18" s="2758">
        <f t="shared" ref="I18" si="3">SUM(I15:I17)</f>
        <v>720000</v>
      </c>
      <c r="J18" s="2759">
        <f t="shared" si="0"/>
        <v>0</v>
      </c>
      <c r="K18" s="285">
        <f>'Výdaje kapitol celkem'!R22</f>
        <v>720000</v>
      </c>
      <c r="L18" s="2760">
        <f>+K18-I18</f>
        <v>0</v>
      </c>
      <c r="M18" s="329"/>
    </row>
    <row r="19" spans="1:13" ht="13.5" outlineLevel="1">
      <c r="A19" s="2747">
        <v>4351</v>
      </c>
      <c r="B19" s="2748">
        <v>5139</v>
      </c>
      <c r="C19" s="2749"/>
      <c r="D19" s="2750">
        <v>70000</v>
      </c>
      <c r="E19" s="2750">
        <v>70000</v>
      </c>
      <c r="F19" s="2750">
        <v>70000</v>
      </c>
      <c r="G19" s="2750">
        <v>70000</v>
      </c>
      <c r="H19" s="2750">
        <v>70000</v>
      </c>
      <c r="I19" s="2750">
        <f>+'[2]Pečovatelská služba'!$B$19</f>
        <v>70000</v>
      </c>
      <c r="J19" s="2751">
        <f t="shared" si="0"/>
        <v>0</v>
      </c>
      <c r="K19" s="2741"/>
      <c r="L19" s="2760"/>
      <c r="M19" s="329"/>
    </row>
    <row r="20" spans="1:13" ht="18" customHeight="1" outlineLevel="1">
      <c r="A20" s="2752">
        <v>4351</v>
      </c>
      <c r="B20" s="2753">
        <v>5139</v>
      </c>
      <c r="C20" s="2754"/>
      <c r="D20" s="2762">
        <v>0</v>
      </c>
      <c r="E20" s="2762">
        <v>0</v>
      </c>
      <c r="F20" s="2762">
        <v>0</v>
      </c>
      <c r="G20" s="2762">
        <v>0</v>
      </c>
      <c r="H20" s="2762">
        <v>0</v>
      </c>
      <c r="I20" s="2762">
        <f>+'[2]Pečovatelská služba'!$B$20</f>
        <v>0</v>
      </c>
      <c r="J20" s="2761">
        <f t="shared" si="0"/>
        <v>0</v>
      </c>
      <c r="K20" s="2741"/>
      <c r="L20" s="2760"/>
      <c r="M20" s="329"/>
    </row>
    <row r="21" spans="1:13" s="432" customFormat="1" ht="18" customHeight="1" thickBot="1">
      <c r="A21" s="3209" t="s">
        <v>214</v>
      </c>
      <c r="B21" s="3210"/>
      <c r="C21" s="2757"/>
      <c r="D21" s="2758">
        <v>70000</v>
      </c>
      <c r="E21" s="2758">
        <v>70000</v>
      </c>
      <c r="F21" s="2758">
        <v>70000</v>
      </c>
      <c r="G21" s="2758">
        <v>70000</v>
      </c>
      <c r="H21" s="2758">
        <v>70000</v>
      </c>
      <c r="I21" s="2758">
        <f t="shared" ref="I21" si="4">SUM(I19:I20)</f>
        <v>70000</v>
      </c>
      <c r="J21" s="2759">
        <f t="shared" si="0"/>
        <v>0</v>
      </c>
      <c r="K21" s="285">
        <f>'Výdaje kapitol celkem'!W22</f>
        <v>70000</v>
      </c>
      <c r="L21" s="2760">
        <f>+K21-I21</f>
        <v>0</v>
      </c>
      <c r="M21" s="329"/>
    </row>
    <row r="22" spans="1:13" ht="18" customHeight="1" outlineLevel="1">
      <c r="A22" s="2747">
        <v>5311</v>
      </c>
      <c r="B22" s="2748">
        <v>5139</v>
      </c>
      <c r="C22" s="2749"/>
      <c r="D22" s="2750"/>
      <c r="E22" s="2750"/>
      <c r="F22" s="2750"/>
      <c r="G22" s="2750"/>
      <c r="H22" s="2750"/>
      <c r="I22" s="2750"/>
      <c r="J22" s="2751">
        <f t="shared" si="0"/>
        <v>0</v>
      </c>
      <c r="K22" s="2741"/>
      <c r="L22" s="2760"/>
      <c r="M22" s="329"/>
    </row>
    <row r="23" spans="1:13" ht="18" customHeight="1" outlineLevel="1">
      <c r="A23" s="2752">
        <v>5311</v>
      </c>
      <c r="B23" s="2753">
        <v>5139</v>
      </c>
      <c r="C23" s="2754"/>
      <c r="D23" s="2762"/>
      <c r="E23" s="2762"/>
      <c r="F23" s="2762"/>
      <c r="G23" s="2762"/>
      <c r="H23" s="2762"/>
      <c r="I23" s="2762"/>
      <c r="J23" s="2761">
        <f t="shared" si="0"/>
        <v>0</v>
      </c>
      <c r="K23" s="2741"/>
      <c r="L23" s="2760"/>
      <c r="M23" s="329"/>
    </row>
    <row r="24" spans="1:13" s="432" customFormat="1" ht="13.9" thickBot="1">
      <c r="A24" s="3209" t="s">
        <v>1209</v>
      </c>
      <c r="B24" s="3210"/>
      <c r="C24" s="2757"/>
      <c r="D24" s="2758">
        <v>0</v>
      </c>
      <c r="E24" s="2758">
        <v>0</v>
      </c>
      <c r="F24" s="2758">
        <v>0</v>
      </c>
      <c r="G24" s="2758">
        <v>0</v>
      </c>
      <c r="H24" s="2758">
        <v>0</v>
      </c>
      <c r="I24" s="2758">
        <f t="shared" ref="I24" si="5">SUM(I22:I23)</f>
        <v>0</v>
      </c>
      <c r="J24" s="2759">
        <f t="shared" si="0"/>
        <v>0</v>
      </c>
      <c r="K24" s="285">
        <f>'Výdaje kapitol celkem'!Y22</f>
        <v>0</v>
      </c>
      <c r="L24" s="2760">
        <f>+K24-I24</f>
        <v>0</v>
      </c>
      <c r="M24" s="329"/>
    </row>
    <row r="25" spans="1:13" ht="18" customHeight="1" outlineLevel="1">
      <c r="A25" s="2747" t="s">
        <v>197</v>
      </c>
      <c r="B25" s="2748">
        <v>5139</v>
      </c>
      <c r="C25" s="2749" t="s">
        <v>2240</v>
      </c>
      <c r="D25" s="2750">
        <v>45000</v>
      </c>
      <c r="E25" s="2750">
        <v>45000</v>
      </c>
      <c r="F25" s="2750">
        <v>45000</v>
      </c>
      <c r="G25" s="2750">
        <v>45000</v>
      </c>
      <c r="H25" s="2750">
        <v>45000</v>
      </c>
      <c r="I25" s="2750">
        <f>+'[2]Městská policie'!$B$29</f>
        <v>45000</v>
      </c>
      <c r="J25" s="2751">
        <f t="shared" si="0"/>
        <v>0</v>
      </c>
      <c r="K25" s="2741"/>
      <c r="L25" s="2760"/>
      <c r="M25" s="329"/>
    </row>
    <row r="26" spans="1:13" ht="18" customHeight="1" outlineLevel="1">
      <c r="A26" s="2752" t="s">
        <v>197</v>
      </c>
      <c r="B26" s="2753">
        <v>5139</v>
      </c>
      <c r="C26" s="2754" t="s">
        <v>2410</v>
      </c>
      <c r="D26" s="2755">
        <v>72000</v>
      </c>
      <c r="E26" s="2755">
        <v>72000</v>
      </c>
      <c r="F26" s="2755">
        <v>72000</v>
      </c>
      <c r="G26" s="2755">
        <v>72000</v>
      </c>
      <c r="H26" s="2755">
        <v>72000</v>
      </c>
      <c r="I26" s="2755">
        <f>+'[2]Městská policie'!$B$30</f>
        <v>72000</v>
      </c>
      <c r="J26" s="2761">
        <f t="shared" si="0"/>
        <v>0</v>
      </c>
      <c r="K26" s="2741"/>
      <c r="L26" s="2760"/>
      <c r="M26" s="329"/>
    </row>
    <row r="27" spans="1:13" s="432" customFormat="1" ht="13.9" thickBot="1">
      <c r="A27" s="3209" t="s">
        <v>1178</v>
      </c>
      <c r="B27" s="3210"/>
      <c r="C27" s="2757"/>
      <c r="D27" s="2758">
        <v>117000</v>
      </c>
      <c r="E27" s="2758">
        <v>117000</v>
      </c>
      <c r="F27" s="2758">
        <v>117000</v>
      </c>
      <c r="G27" s="2758">
        <v>117000</v>
      </c>
      <c r="H27" s="2758">
        <v>117000</v>
      </c>
      <c r="I27" s="2758">
        <f t="shared" ref="I27" si="6">SUM(I25:I26)</f>
        <v>117000</v>
      </c>
      <c r="J27" s="2759">
        <f t="shared" si="0"/>
        <v>0</v>
      </c>
      <c r="K27" s="285">
        <f>'Výdaje kapitol celkem'!Z22</f>
        <v>117000</v>
      </c>
      <c r="L27" s="2760">
        <f>+K27-I27</f>
        <v>0</v>
      </c>
      <c r="M27" s="329"/>
    </row>
    <row r="28" spans="1:13" ht="18" customHeight="1" outlineLevel="1">
      <c r="A28" s="2747">
        <v>3319</v>
      </c>
      <c r="B28" s="2748">
        <v>5139</v>
      </c>
      <c r="C28" s="2749" t="s">
        <v>2243</v>
      </c>
      <c r="D28" s="2750">
        <v>4000</v>
      </c>
      <c r="E28" s="2750">
        <v>4000</v>
      </c>
      <c r="F28" s="2750">
        <v>4000</v>
      </c>
      <c r="G28" s="2750">
        <v>4000</v>
      </c>
      <c r="H28" s="2750">
        <v>4000</v>
      </c>
      <c r="I28" s="2750">
        <f>+[2]Kronika!$B$12</f>
        <v>4000</v>
      </c>
      <c r="J28" s="2751">
        <f t="shared" si="0"/>
        <v>0</v>
      </c>
      <c r="K28" s="2741"/>
      <c r="L28" s="2760"/>
      <c r="M28" s="329"/>
    </row>
    <row r="29" spans="1:13" ht="18" customHeight="1" outlineLevel="1">
      <c r="A29" s="2752">
        <v>3319</v>
      </c>
      <c r="B29" s="2753">
        <v>5139</v>
      </c>
      <c r="C29" s="2754"/>
      <c r="D29" s="2755">
        <v>0</v>
      </c>
      <c r="E29" s="2755">
        <v>0</v>
      </c>
      <c r="F29" s="2755">
        <v>0</v>
      </c>
      <c r="G29" s="2755">
        <v>0</v>
      </c>
      <c r="H29" s="2755">
        <v>0</v>
      </c>
      <c r="I29" s="2755">
        <f>+[2]Kronika!$B$13</f>
        <v>0</v>
      </c>
      <c r="J29" s="2761">
        <f t="shared" si="0"/>
        <v>0</v>
      </c>
      <c r="K29" s="2741"/>
      <c r="L29" s="2760"/>
      <c r="M29" s="329"/>
    </row>
    <row r="30" spans="1:13" s="432" customFormat="1" ht="18" customHeight="1" thickBot="1">
      <c r="A30" s="3209" t="s">
        <v>1177</v>
      </c>
      <c r="B30" s="3210"/>
      <c r="C30" s="2757"/>
      <c r="D30" s="2758">
        <v>4000</v>
      </c>
      <c r="E30" s="2758">
        <v>4000</v>
      </c>
      <c r="F30" s="2758">
        <v>4000</v>
      </c>
      <c r="G30" s="2758">
        <v>4000</v>
      </c>
      <c r="H30" s="2758">
        <v>4000</v>
      </c>
      <c r="I30" s="2758">
        <f t="shared" ref="I30" si="7">SUM(I28:I29)</f>
        <v>4000</v>
      </c>
      <c r="J30" s="2759">
        <f t="shared" si="0"/>
        <v>0</v>
      </c>
      <c r="K30" s="285">
        <f>'Výdaje kapitol celkem'!AA22</f>
        <v>4000</v>
      </c>
      <c r="L30" s="2760">
        <f>+K30-I30</f>
        <v>0</v>
      </c>
      <c r="M30" s="329"/>
    </row>
    <row r="31" spans="1:13" ht="28.5" customHeight="1" outlineLevel="1">
      <c r="A31" s="2747">
        <v>3314</v>
      </c>
      <c r="B31" s="2748">
        <v>5139</v>
      </c>
      <c r="C31" s="2749"/>
      <c r="D31" s="2750">
        <v>0</v>
      </c>
      <c r="E31" s="2750">
        <v>0</v>
      </c>
      <c r="F31" s="2750"/>
      <c r="G31" s="2750"/>
      <c r="H31" s="2750"/>
      <c r="I31" s="2750"/>
      <c r="J31" s="2751">
        <f t="shared" si="0"/>
        <v>0</v>
      </c>
      <c r="K31" s="2741"/>
      <c r="L31" s="2760"/>
      <c r="M31" s="329"/>
    </row>
    <row r="32" spans="1:13" ht="28.5" customHeight="1" outlineLevel="1">
      <c r="A32" s="2768">
        <v>3314</v>
      </c>
      <c r="B32" s="2764">
        <v>5139</v>
      </c>
      <c r="C32" s="2754" t="s">
        <v>2245</v>
      </c>
      <c r="D32" s="2755">
        <v>50000</v>
      </c>
      <c r="E32" s="2755">
        <v>50000</v>
      </c>
      <c r="F32" s="2755">
        <v>50000</v>
      </c>
      <c r="G32" s="2755">
        <v>50000</v>
      </c>
      <c r="H32" s="2755">
        <v>50000</v>
      </c>
      <c r="I32" s="2755">
        <f>+[2]Knihovna!$B$20</f>
        <v>50000</v>
      </c>
      <c r="J32" s="2756">
        <f t="shared" si="0"/>
        <v>0</v>
      </c>
      <c r="K32" s="2741"/>
      <c r="L32" s="2760"/>
      <c r="M32" s="329"/>
    </row>
    <row r="33" spans="1:13" ht="28.5" customHeight="1" outlineLevel="1">
      <c r="A33" s="2752">
        <v>3314</v>
      </c>
      <c r="B33" s="2753">
        <v>5139</v>
      </c>
      <c r="C33" s="2754"/>
      <c r="D33" s="2755">
        <v>0</v>
      </c>
      <c r="E33" s="2755">
        <v>0</v>
      </c>
      <c r="F33" s="2755">
        <v>0</v>
      </c>
      <c r="G33" s="2755">
        <v>0</v>
      </c>
      <c r="H33" s="2755">
        <v>0</v>
      </c>
      <c r="I33" s="2755">
        <f>+[2]Knihovna!$B$21</f>
        <v>0</v>
      </c>
      <c r="J33" s="2756">
        <f t="shared" si="0"/>
        <v>0</v>
      </c>
      <c r="K33" s="2741"/>
      <c r="L33" s="2760"/>
      <c r="M33" s="329"/>
    </row>
    <row r="34" spans="1:13" ht="18" customHeight="1" outlineLevel="1">
      <c r="A34" s="2752">
        <v>3314</v>
      </c>
      <c r="B34" s="2753">
        <v>5139</v>
      </c>
      <c r="C34" s="2754"/>
      <c r="D34" s="2755">
        <v>0</v>
      </c>
      <c r="E34" s="2755">
        <v>0</v>
      </c>
      <c r="F34" s="2755">
        <v>0</v>
      </c>
      <c r="G34" s="2755">
        <v>0</v>
      </c>
      <c r="H34" s="2755">
        <v>0</v>
      </c>
      <c r="I34" s="2755">
        <f>+[3]Knihovna!$B$13</f>
        <v>0</v>
      </c>
      <c r="J34" s="2761">
        <f t="shared" si="0"/>
        <v>0</v>
      </c>
      <c r="K34" s="2741"/>
      <c r="L34" s="2760"/>
      <c r="M34" s="329"/>
    </row>
    <row r="35" spans="1:13" s="432" customFormat="1" ht="18" customHeight="1" thickBot="1">
      <c r="A35" s="3209" t="s">
        <v>1179</v>
      </c>
      <c r="B35" s="3210"/>
      <c r="C35" s="2757"/>
      <c r="D35" s="2758">
        <v>50000</v>
      </c>
      <c r="E35" s="2758">
        <v>50000</v>
      </c>
      <c r="F35" s="2758">
        <v>50000</v>
      </c>
      <c r="G35" s="2758">
        <v>50000</v>
      </c>
      <c r="H35" s="2758">
        <v>50000</v>
      </c>
      <c r="I35" s="2758">
        <f>SUM(I31:I34)</f>
        <v>50000</v>
      </c>
      <c r="J35" s="2759">
        <f t="shared" si="0"/>
        <v>0</v>
      </c>
      <c r="K35" s="285">
        <f>'Výdaje kapitol celkem'!AC22</f>
        <v>50000</v>
      </c>
      <c r="L35" s="2760">
        <f>+K35-I35</f>
        <v>0</v>
      </c>
      <c r="M35" s="329"/>
    </row>
    <row r="36" spans="1:13" ht="18" hidden="1" customHeight="1" outlineLevel="1">
      <c r="A36" s="2747">
        <v>3349</v>
      </c>
      <c r="B36" s="2748">
        <v>5139</v>
      </c>
      <c r="C36" s="2749"/>
      <c r="D36" s="2750"/>
      <c r="E36" s="2750"/>
      <c r="F36" s="2750"/>
      <c r="G36" s="2750"/>
      <c r="H36" s="2750"/>
      <c r="I36" s="2750"/>
      <c r="J36" s="2751">
        <f t="shared" si="0"/>
        <v>0</v>
      </c>
      <c r="K36" s="2741"/>
      <c r="L36" s="2760"/>
      <c r="M36" s="329"/>
    </row>
    <row r="37" spans="1:13" s="432" customFormat="1" ht="18" customHeight="1" collapsed="1" thickBot="1">
      <c r="A37" s="3209" t="s">
        <v>1205</v>
      </c>
      <c r="B37" s="3210"/>
      <c r="C37" s="2757"/>
      <c r="D37" s="2758">
        <v>0</v>
      </c>
      <c r="E37" s="2758">
        <v>0</v>
      </c>
      <c r="F37" s="2758">
        <v>0</v>
      </c>
      <c r="G37" s="2758">
        <v>0</v>
      </c>
      <c r="H37" s="2758">
        <v>0</v>
      </c>
      <c r="I37" s="2758">
        <f t="shared" ref="I37" si="8">SUM(I36)</f>
        <v>0</v>
      </c>
      <c r="J37" s="2759">
        <f t="shared" si="0"/>
        <v>0</v>
      </c>
      <c r="K37" s="285">
        <f>'Výdaje kapitol celkem'!AD22</f>
        <v>0</v>
      </c>
      <c r="L37" s="2760">
        <f>+K37-I37</f>
        <v>0</v>
      </c>
      <c r="M37" s="329"/>
    </row>
    <row r="38" spans="1:13" ht="18" customHeight="1" outlineLevel="1">
      <c r="A38" s="2747">
        <v>3359</v>
      </c>
      <c r="B38" s="2748">
        <v>5139</v>
      </c>
      <c r="C38" s="2749" t="s">
        <v>2357</v>
      </c>
      <c r="D38" s="2750">
        <v>40000</v>
      </c>
      <c r="E38" s="2750">
        <v>40000</v>
      </c>
      <c r="F38" s="2750">
        <v>40000</v>
      </c>
      <c r="G38" s="2750">
        <v>40000</v>
      </c>
      <c r="H38" s="2750">
        <v>40000</v>
      </c>
      <c r="I38" s="2750">
        <f>+[2]Kultura!$B$14</f>
        <v>40000</v>
      </c>
      <c r="J38" s="2751">
        <f t="shared" si="0"/>
        <v>0</v>
      </c>
      <c r="K38" s="2741"/>
      <c r="L38" s="2760"/>
      <c r="M38" s="329"/>
    </row>
    <row r="39" spans="1:13" ht="18" customHeight="1" outlineLevel="1">
      <c r="A39" s="2752">
        <v>3359</v>
      </c>
      <c r="B39" s="2753">
        <v>5139</v>
      </c>
      <c r="C39" s="2754" t="s">
        <v>2248</v>
      </c>
      <c r="D39" s="2755">
        <v>60000</v>
      </c>
      <c r="E39" s="2755">
        <v>60000</v>
      </c>
      <c r="F39" s="2755">
        <v>60000</v>
      </c>
      <c r="G39" s="2755">
        <v>60000</v>
      </c>
      <c r="H39" s="2755">
        <v>60000</v>
      </c>
      <c r="I39" s="2755">
        <f>+[2]Kultura!$B$15</f>
        <v>60000</v>
      </c>
      <c r="J39" s="2756">
        <f t="shared" si="0"/>
        <v>0</v>
      </c>
      <c r="K39" s="2741"/>
      <c r="L39" s="2760"/>
      <c r="M39" s="329"/>
    </row>
    <row r="40" spans="1:13" ht="18" customHeight="1" outlineLevel="1">
      <c r="A40" s="2768">
        <v>3359</v>
      </c>
      <c r="B40" s="2764">
        <v>5139</v>
      </c>
      <c r="C40" s="2769"/>
      <c r="D40" s="2770">
        <v>0</v>
      </c>
      <c r="E40" s="2770">
        <v>0</v>
      </c>
      <c r="F40" s="2770">
        <v>0</v>
      </c>
      <c r="G40" s="2770">
        <v>0</v>
      </c>
      <c r="H40" s="2770">
        <v>0</v>
      </c>
      <c r="I40" s="2770">
        <f>+[2]Kultura!$B$16</f>
        <v>0</v>
      </c>
      <c r="J40" s="2771">
        <f t="shared" si="0"/>
        <v>0</v>
      </c>
      <c r="K40" s="2741"/>
      <c r="L40" s="2760"/>
      <c r="M40" s="329"/>
    </row>
    <row r="41" spans="1:13" s="432" customFormat="1" ht="18" customHeight="1" thickBot="1">
      <c r="A41" s="3209" t="s">
        <v>1204</v>
      </c>
      <c r="B41" s="3210"/>
      <c r="C41" s="2757"/>
      <c r="D41" s="2758">
        <v>100000</v>
      </c>
      <c r="E41" s="2758">
        <v>100000</v>
      </c>
      <c r="F41" s="2758">
        <v>100000</v>
      </c>
      <c r="G41" s="2758">
        <v>100000</v>
      </c>
      <c r="H41" s="2758">
        <v>100000</v>
      </c>
      <c r="I41" s="2758">
        <f t="shared" ref="I41" si="9">SUM(I38:I40)</f>
        <v>100000</v>
      </c>
      <c r="J41" s="2759">
        <f t="shared" si="0"/>
        <v>0</v>
      </c>
      <c r="K41" s="285">
        <f>'Výdaje kapitol celkem'!AE22</f>
        <v>100000</v>
      </c>
      <c r="L41" s="2760">
        <f>+K41-I41</f>
        <v>0</v>
      </c>
      <c r="M41" s="329"/>
    </row>
    <row r="42" spans="1:13" ht="26.65" outlineLevel="1">
      <c r="A42" s="2747">
        <v>3612</v>
      </c>
      <c r="B42" s="2748">
        <v>5139</v>
      </c>
      <c r="C42" s="2749" t="s">
        <v>2358</v>
      </c>
      <c r="D42" s="2750">
        <v>50000</v>
      </c>
      <c r="E42" s="2750">
        <v>50000</v>
      </c>
      <c r="F42" s="2750">
        <v>50000</v>
      </c>
      <c r="G42" s="2750">
        <v>50000</v>
      </c>
      <c r="H42" s="2750">
        <v>50000</v>
      </c>
      <c r="I42" s="2750">
        <f>+[3]Byty!$B$12</f>
        <v>50000</v>
      </c>
      <c r="J42" s="2751">
        <f t="shared" si="0"/>
        <v>0</v>
      </c>
      <c r="K42" s="2741"/>
      <c r="L42" s="2760"/>
      <c r="M42" s="329"/>
    </row>
    <row r="43" spans="1:13" ht="18" customHeight="1" outlineLevel="1">
      <c r="A43" s="2752">
        <v>3612</v>
      </c>
      <c r="B43" s="2753">
        <v>5139</v>
      </c>
      <c r="C43" s="2754"/>
      <c r="D43" s="2755">
        <v>0</v>
      </c>
      <c r="E43" s="2755">
        <v>0</v>
      </c>
      <c r="F43" s="2755">
        <v>0</v>
      </c>
      <c r="G43" s="2755">
        <v>0</v>
      </c>
      <c r="H43" s="2755">
        <v>0</v>
      </c>
      <c r="I43" s="2755">
        <f>+[3]Byty!$B$13</f>
        <v>0</v>
      </c>
      <c r="J43" s="2756">
        <f t="shared" si="0"/>
        <v>0</v>
      </c>
      <c r="K43" s="2741"/>
      <c r="L43" s="2760"/>
      <c r="M43" s="329"/>
    </row>
    <row r="44" spans="1:13" s="432" customFormat="1" ht="18" customHeight="1" thickBot="1">
      <c r="A44" s="3209" t="s">
        <v>200</v>
      </c>
      <c r="B44" s="3210"/>
      <c r="C44" s="2757"/>
      <c r="D44" s="2758">
        <v>50000</v>
      </c>
      <c r="E44" s="2758">
        <v>50000</v>
      </c>
      <c r="F44" s="2758">
        <v>50000</v>
      </c>
      <c r="G44" s="2758">
        <v>50000</v>
      </c>
      <c r="H44" s="2758">
        <v>50000</v>
      </c>
      <c r="I44" s="2758">
        <f t="shared" ref="I44" si="10">SUM(I42:I43)</f>
        <v>50000</v>
      </c>
      <c r="J44" s="2759">
        <f t="shared" si="0"/>
        <v>0</v>
      </c>
      <c r="K44" s="285">
        <f>'Výdaje kapitol celkem'!AF22</f>
        <v>50000</v>
      </c>
      <c r="L44" s="2760">
        <f>+K44-I44</f>
        <v>0</v>
      </c>
      <c r="M44" s="329"/>
    </row>
    <row r="45" spans="1:13" ht="13.5" outlineLevel="1">
      <c r="A45" s="2768" t="s">
        <v>199</v>
      </c>
      <c r="B45" s="2764">
        <v>5139</v>
      </c>
      <c r="C45" s="2769" t="s">
        <v>2209</v>
      </c>
      <c r="D45" s="2770">
        <v>100000</v>
      </c>
      <c r="E45" s="2770">
        <v>100000</v>
      </c>
      <c r="F45" s="2770">
        <v>100000</v>
      </c>
      <c r="G45" s="2770">
        <v>100000</v>
      </c>
      <c r="H45" s="2770">
        <v>100000</v>
      </c>
      <c r="I45" s="2770">
        <f>+[3]DPS!$B$13</f>
        <v>100000</v>
      </c>
      <c r="J45" s="2771">
        <f t="shared" si="0"/>
        <v>0</v>
      </c>
      <c r="K45" s="2741"/>
      <c r="L45" s="2760"/>
      <c r="M45" s="329"/>
    </row>
    <row r="46" spans="1:13" ht="13.5" outlineLevel="1">
      <c r="A46" s="2768"/>
      <c r="B46" s="2764"/>
      <c r="C46" s="2769" t="s">
        <v>2210</v>
      </c>
      <c r="D46" s="2770">
        <v>150000</v>
      </c>
      <c r="E46" s="2770">
        <v>150000</v>
      </c>
      <c r="F46" s="2770">
        <v>150000</v>
      </c>
      <c r="G46" s="2770">
        <v>150000</v>
      </c>
      <c r="H46" s="2770">
        <v>150000</v>
      </c>
      <c r="I46" s="2770">
        <f>+[3]DPS!$B$14</f>
        <v>150000</v>
      </c>
      <c r="J46" s="2771">
        <f t="shared" si="0"/>
        <v>0</v>
      </c>
      <c r="K46" s="2741"/>
      <c r="L46" s="2760"/>
      <c r="M46" s="329"/>
    </row>
    <row r="47" spans="1:13" ht="13.5" outlineLevel="1">
      <c r="A47" s="2768" t="s">
        <v>199</v>
      </c>
      <c r="B47" s="2764">
        <v>5139</v>
      </c>
      <c r="C47" s="2769"/>
      <c r="D47" s="2770"/>
      <c r="E47" s="2770"/>
      <c r="F47" s="2770"/>
      <c r="G47" s="2770"/>
      <c r="H47" s="2770"/>
      <c r="I47" s="2770"/>
      <c r="J47" s="2771">
        <f t="shared" si="0"/>
        <v>0</v>
      </c>
      <c r="K47" s="2741"/>
      <c r="L47" s="2760"/>
      <c r="M47" s="329"/>
    </row>
    <row r="48" spans="1:13" ht="18" customHeight="1" thickBot="1">
      <c r="A48" s="3209" t="s">
        <v>201</v>
      </c>
      <c r="B48" s="3210"/>
      <c r="C48" s="2757"/>
      <c r="D48" s="2758">
        <v>250000</v>
      </c>
      <c r="E48" s="2758">
        <v>250000</v>
      </c>
      <c r="F48" s="2758">
        <v>250000</v>
      </c>
      <c r="G48" s="2758">
        <v>250000</v>
      </c>
      <c r="H48" s="2758">
        <v>250000</v>
      </c>
      <c r="I48" s="2758">
        <f t="shared" ref="I48" si="11">SUM(I45:I47)</f>
        <v>250000</v>
      </c>
      <c r="J48" s="2759">
        <f t="shared" si="0"/>
        <v>0</v>
      </c>
      <c r="K48" s="285">
        <f>'Výdaje kapitol celkem'!AI22</f>
        <v>250000</v>
      </c>
      <c r="L48" s="2760">
        <f>+K48-I48</f>
        <v>0</v>
      </c>
      <c r="M48" s="329"/>
    </row>
    <row r="49" spans="1:13" ht="18" customHeight="1" outlineLevel="1">
      <c r="A49" s="2752" t="s">
        <v>1255</v>
      </c>
      <c r="B49" s="2753">
        <v>5139</v>
      </c>
      <c r="C49" s="2754"/>
      <c r="D49" s="2755">
        <v>0</v>
      </c>
      <c r="E49" s="2755">
        <v>0</v>
      </c>
      <c r="F49" s="2755">
        <v>0</v>
      </c>
      <c r="G49" s="2755">
        <v>0</v>
      </c>
      <c r="H49" s="2755">
        <v>0</v>
      </c>
      <c r="I49" s="2755">
        <f>+'[3]Hotel Budka'!$B$12</f>
        <v>0</v>
      </c>
      <c r="J49" s="2761">
        <f t="shared" si="0"/>
        <v>0</v>
      </c>
      <c r="K49" s="2741"/>
      <c r="L49" s="2760"/>
      <c r="M49" s="329"/>
    </row>
    <row r="50" spans="1:13" ht="18" customHeight="1" outlineLevel="1">
      <c r="A50" s="2768" t="s">
        <v>1255</v>
      </c>
      <c r="B50" s="2764">
        <v>5139</v>
      </c>
      <c r="C50" s="2769"/>
      <c r="D50" s="2770">
        <v>0</v>
      </c>
      <c r="E50" s="2770">
        <v>0</v>
      </c>
      <c r="F50" s="2770">
        <v>0</v>
      </c>
      <c r="G50" s="2770">
        <v>0</v>
      </c>
      <c r="H50" s="2770">
        <v>0</v>
      </c>
      <c r="I50" s="2770">
        <f>+'[3]Hotel Budka'!$B$13</f>
        <v>0</v>
      </c>
      <c r="J50" s="2772">
        <f t="shared" si="0"/>
        <v>0</v>
      </c>
      <c r="K50" s="2741"/>
      <c r="L50" s="2760"/>
      <c r="M50" s="329"/>
    </row>
    <row r="51" spans="1:13" ht="18" customHeight="1" thickBot="1">
      <c r="A51" s="3209" t="s">
        <v>1443</v>
      </c>
      <c r="B51" s="3210"/>
      <c r="C51" s="2757"/>
      <c r="D51" s="2758">
        <v>0</v>
      </c>
      <c r="E51" s="2758">
        <v>0</v>
      </c>
      <c r="F51" s="2758">
        <v>0</v>
      </c>
      <c r="G51" s="2758">
        <v>0</v>
      </c>
      <c r="H51" s="2758">
        <v>0</v>
      </c>
      <c r="I51" s="2758">
        <f t="shared" ref="I51" si="12">SUM(I49:I50)</f>
        <v>0</v>
      </c>
      <c r="J51" s="2759">
        <f t="shared" si="0"/>
        <v>0</v>
      </c>
      <c r="K51" s="285">
        <f>'Výdaje kapitol celkem'!AB22</f>
        <v>0</v>
      </c>
      <c r="L51" s="2760">
        <f>+K51-I51</f>
        <v>0</v>
      </c>
      <c r="M51" s="329"/>
    </row>
    <row r="52" spans="1:13" ht="18" hidden="1" customHeight="1" outlineLevel="1">
      <c r="A52" s="2752">
        <v>3613</v>
      </c>
      <c r="B52" s="2753">
        <v>5139</v>
      </c>
      <c r="C52" s="2754"/>
      <c r="D52" s="2755"/>
      <c r="E52" s="2755"/>
      <c r="F52" s="2755"/>
      <c r="G52" s="2755"/>
      <c r="H52" s="2755"/>
      <c r="I52" s="2755"/>
      <c r="J52" s="2761">
        <f t="shared" si="0"/>
        <v>0</v>
      </c>
      <c r="K52" s="2741"/>
      <c r="L52" s="2760"/>
      <c r="M52" s="329"/>
    </row>
    <row r="53" spans="1:13" ht="18" hidden="1" customHeight="1" outlineLevel="1">
      <c r="A53" s="2768">
        <v>3613</v>
      </c>
      <c r="B53" s="2764">
        <v>5139</v>
      </c>
      <c r="C53" s="2769"/>
      <c r="D53" s="2770"/>
      <c r="E53" s="2770"/>
      <c r="F53" s="2770"/>
      <c r="G53" s="2770"/>
      <c r="H53" s="2770"/>
      <c r="I53" s="2770"/>
      <c r="J53" s="2772">
        <f t="shared" si="0"/>
        <v>0</v>
      </c>
      <c r="K53" s="2741"/>
      <c r="L53" s="2760"/>
      <c r="M53" s="329"/>
    </row>
    <row r="54" spans="1:13" ht="18" customHeight="1" collapsed="1" thickBot="1">
      <c r="A54" s="3209" t="s">
        <v>202</v>
      </c>
      <c r="B54" s="3210"/>
      <c r="C54" s="2757"/>
      <c r="D54" s="2758">
        <v>0</v>
      </c>
      <c r="E54" s="2758">
        <v>0</v>
      </c>
      <c r="F54" s="2758">
        <v>0</v>
      </c>
      <c r="G54" s="2758">
        <v>0</v>
      </c>
      <c r="H54" s="2758">
        <v>0</v>
      </c>
      <c r="I54" s="2758">
        <f t="shared" ref="I54" si="13">SUM(I52:I53)</f>
        <v>0</v>
      </c>
      <c r="J54" s="2759">
        <f t="shared" si="0"/>
        <v>0</v>
      </c>
      <c r="K54" s="285">
        <f>'Výdaje kapitol celkem'!AL22</f>
        <v>0</v>
      </c>
      <c r="L54" s="2760">
        <f>+K54-I54</f>
        <v>0</v>
      </c>
      <c r="M54" s="329"/>
    </row>
    <row r="55" spans="1:13" ht="18" hidden="1" customHeight="1" outlineLevel="1">
      <c r="A55" s="2752">
        <v>5512</v>
      </c>
      <c r="B55" s="2753">
        <v>5139</v>
      </c>
      <c r="C55" s="2754"/>
      <c r="D55" s="2755"/>
      <c r="E55" s="2755"/>
      <c r="F55" s="2755"/>
      <c r="G55" s="2755"/>
      <c r="H55" s="2755"/>
      <c r="I55" s="2755"/>
      <c r="J55" s="2761">
        <f t="shared" si="0"/>
        <v>0</v>
      </c>
      <c r="K55" s="2741"/>
      <c r="L55" s="2760"/>
      <c r="M55" s="329"/>
    </row>
    <row r="56" spans="1:13" ht="52.9" outlineLevel="1">
      <c r="A56" s="2768">
        <v>5512</v>
      </c>
      <c r="B56" s="2764">
        <v>5139</v>
      </c>
      <c r="C56" s="2769" t="s">
        <v>2250</v>
      </c>
      <c r="D56" s="2770">
        <v>50000</v>
      </c>
      <c r="E56" s="2770">
        <v>50000</v>
      </c>
      <c r="F56" s="2770">
        <v>50000</v>
      </c>
      <c r="G56" s="2770">
        <v>50000</v>
      </c>
      <c r="H56" s="2770">
        <v>50000</v>
      </c>
      <c r="I56" s="2770">
        <f>+[2]Hasiči!$B$20</f>
        <v>50000</v>
      </c>
      <c r="J56" s="2772">
        <f t="shared" si="0"/>
        <v>0</v>
      </c>
      <c r="K56" s="2741"/>
      <c r="L56" s="2760"/>
      <c r="M56" s="329"/>
    </row>
    <row r="57" spans="1:13" ht="13.5" outlineLevel="1">
      <c r="A57" s="2768"/>
      <c r="B57" s="2764"/>
      <c r="C57" s="2769"/>
      <c r="D57" s="2770">
        <v>0</v>
      </c>
      <c r="E57" s="2770">
        <v>0</v>
      </c>
      <c r="F57" s="2770">
        <v>0</v>
      </c>
      <c r="G57" s="2770">
        <v>0</v>
      </c>
      <c r="H57" s="2770">
        <v>0</v>
      </c>
      <c r="I57" s="2770">
        <f>+[2]Hasiči!$B$21</f>
        <v>0</v>
      </c>
      <c r="J57" s="2772">
        <f t="shared" si="0"/>
        <v>0</v>
      </c>
      <c r="K57" s="2741"/>
      <c r="L57" s="2760"/>
      <c r="M57" s="329"/>
    </row>
    <row r="58" spans="1:13" ht="18" customHeight="1" outlineLevel="1">
      <c r="A58" s="2768">
        <v>5512</v>
      </c>
      <c r="B58" s="2764">
        <v>5139</v>
      </c>
      <c r="C58" s="2769"/>
      <c r="D58" s="2770">
        <v>20000</v>
      </c>
      <c r="E58" s="2770">
        <v>20000</v>
      </c>
      <c r="F58" s="2770">
        <v>20000</v>
      </c>
      <c r="G58" s="2770">
        <v>20000</v>
      </c>
      <c r="H58" s="2770">
        <v>20000</v>
      </c>
      <c r="I58" s="2770">
        <f>+[3]Hasiči!$B$5</f>
        <v>20000</v>
      </c>
      <c r="J58" s="2772">
        <f t="shared" si="0"/>
        <v>0</v>
      </c>
      <c r="K58" s="2741"/>
      <c r="L58" s="2760"/>
      <c r="M58" s="329"/>
    </row>
    <row r="59" spans="1:13" ht="18" customHeight="1" outlineLevel="1">
      <c r="A59" s="2752">
        <v>5512</v>
      </c>
      <c r="B59" s="2753">
        <v>5139</v>
      </c>
      <c r="C59" s="2765"/>
      <c r="D59" s="2766">
        <v>0</v>
      </c>
      <c r="E59" s="2766">
        <v>0</v>
      </c>
      <c r="F59" s="2766">
        <v>0</v>
      </c>
      <c r="G59" s="2766">
        <v>0</v>
      </c>
      <c r="H59" s="2766">
        <v>0</v>
      </c>
      <c r="I59" s="2766">
        <f>+[3]Hasiči!$B$6</f>
        <v>0</v>
      </c>
      <c r="J59" s="2772">
        <f t="shared" si="0"/>
        <v>0</v>
      </c>
      <c r="K59" s="2741"/>
      <c r="L59" s="2760"/>
      <c r="M59" s="329"/>
    </row>
    <row r="60" spans="1:13" ht="18" customHeight="1" thickBot="1">
      <c r="A60" s="3209" t="s">
        <v>203</v>
      </c>
      <c r="B60" s="3210"/>
      <c r="C60" s="2757"/>
      <c r="D60" s="2758">
        <v>70000</v>
      </c>
      <c r="E60" s="2758">
        <v>70000</v>
      </c>
      <c r="F60" s="2758">
        <v>70000</v>
      </c>
      <c r="G60" s="2758">
        <v>70000</v>
      </c>
      <c r="H60" s="2758">
        <v>70000</v>
      </c>
      <c r="I60" s="2758">
        <f t="shared" ref="I60" si="14">SUM(I55:I59)</f>
        <v>70000</v>
      </c>
      <c r="J60" s="2759">
        <f t="shared" si="0"/>
        <v>0</v>
      </c>
      <c r="K60" s="285">
        <f>'Výdaje kapitol celkem'!AO22</f>
        <v>70000</v>
      </c>
      <c r="L60" s="2760">
        <f>+K60-I60</f>
        <v>0</v>
      </c>
      <c r="M60" s="329"/>
    </row>
    <row r="61" spans="1:13" ht="18" hidden="1" customHeight="1" outlineLevel="1">
      <c r="A61" s="2752">
        <v>3519</v>
      </c>
      <c r="B61" s="2753">
        <v>5139</v>
      </c>
      <c r="C61" s="2754"/>
      <c r="D61" s="2755"/>
      <c r="E61" s="2755"/>
      <c r="F61" s="2755"/>
      <c r="G61" s="2755"/>
      <c r="H61" s="2755"/>
      <c r="I61" s="2755"/>
      <c r="J61" s="2761">
        <f t="shared" si="0"/>
        <v>0</v>
      </c>
      <c r="K61" s="2741"/>
      <c r="L61" s="2760"/>
      <c r="M61" s="329"/>
    </row>
    <row r="62" spans="1:13" ht="18" hidden="1" customHeight="1" outlineLevel="1">
      <c r="A62" s="2768">
        <v>3519</v>
      </c>
      <c r="B62" s="2764">
        <v>5139</v>
      </c>
      <c r="C62" s="2769"/>
      <c r="D62" s="2770"/>
      <c r="E62" s="2770"/>
      <c r="F62" s="2770"/>
      <c r="G62" s="2770"/>
      <c r="H62" s="2770"/>
      <c r="I62" s="2770"/>
      <c r="J62" s="2772">
        <f t="shared" si="0"/>
        <v>0</v>
      </c>
      <c r="K62" s="2741"/>
      <c r="L62" s="2760"/>
      <c r="M62" s="329"/>
    </row>
    <row r="63" spans="1:13" ht="18" customHeight="1" collapsed="1" thickBot="1">
      <c r="A63" s="3209" t="s">
        <v>204</v>
      </c>
      <c r="B63" s="3210"/>
      <c r="C63" s="2757"/>
      <c r="D63" s="2758">
        <v>0</v>
      </c>
      <c r="E63" s="2758">
        <v>0</v>
      </c>
      <c r="F63" s="2758">
        <v>0</v>
      </c>
      <c r="G63" s="2758">
        <v>0</v>
      </c>
      <c r="H63" s="2758">
        <v>0</v>
      </c>
      <c r="I63" s="2758">
        <f t="shared" ref="I63" si="15">SUM(I61:I62)</f>
        <v>0</v>
      </c>
      <c r="J63" s="2759">
        <f t="shared" si="0"/>
        <v>0</v>
      </c>
      <c r="K63" s="285">
        <f>'Výdaje kapitol celkem'!AP22</f>
        <v>0</v>
      </c>
      <c r="L63" s="2760">
        <f>+K63-I63</f>
        <v>0</v>
      </c>
      <c r="M63" s="329"/>
    </row>
    <row r="64" spans="1:13" ht="18" customHeight="1" outlineLevel="1">
      <c r="A64" s="2752">
        <v>3631</v>
      </c>
      <c r="B64" s="2753">
        <v>5139</v>
      </c>
      <c r="C64" s="2754" t="s">
        <v>2220</v>
      </c>
      <c r="D64" s="2755">
        <v>20000</v>
      </c>
      <c r="E64" s="2755">
        <v>20000</v>
      </c>
      <c r="F64" s="2755">
        <v>20000</v>
      </c>
      <c r="G64" s="2755">
        <v>20000</v>
      </c>
      <c r="H64" s="2755">
        <v>20000</v>
      </c>
      <c r="I64" s="2755">
        <f>+[3]VO!$B$5</f>
        <v>20000</v>
      </c>
      <c r="J64" s="2761">
        <f t="shared" si="0"/>
        <v>0</v>
      </c>
      <c r="K64" s="2741"/>
      <c r="L64" s="2760"/>
      <c r="M64" s="329"/>
    </row>
    <row r="65" spans="1:13" ht="18" customHeight="1" outlineLevel="1">
      <c r="A65" s="2752">
        <v>3631</v>
      </c>
      <c r="B65" s="2753">
        <v>5139</v>
      </c>
      <c r="C65" s="2754" t="s">
        <v>2221</v>
      </c>
      <c r="D65" s="2755">
        <v>60000</v>
      </c>
      <c r="E65" s="2755">
        <v>60000</v>
      </c>
      <c r="F65" s="2755">
        <v>60000</v>
      </c>
      <c r="G65" s="2755">
        <v>60000</v>
      </c>
      <c r="H65" s="2755">
        <v>60000</v>
      </c>
      <c r="I65" s="2755">
        <f>+[3]VO!$B$6</f>
        <v>60000</v>
      </c>
      <c r="J65" s="2761">
        <f t="shared" si="0"/>
        <v>0</v>
      </c>
      <c r="K65" s="2741"/>
      <c r="L65" s="2760"/>
      <c r="M65" s="329"/>
    </row>
    <row r="66" spans="1:13" ht="18" customHeight="1" outlineLevel="1">
      <c r="A66" s="2768">
        <v>3631</v>
      </c>
      <c r="B66" s="2764">
        <v>5139</v>
      </c>
      <c r="C66" s="2754" t="s">
        <v>2222</v>
      </c>
      <c r="D66" s="2755">
        <v>70000</v>
      </c>
      <c r="E66" s="2755">
        <v>70000</v>
      </c>
      <c r="F66" s="2755">
        <v>70000</v>
      </c>
      <c r="G66" s="2755">
        <v>70000</v>
      </c>
      <c r="H66" s="2755">
        <v>70000</v>
      </c>
      <c r="I66" s="2755">
        <f>+[3]VO!$B$7</f>
        <v>70000</v>
      </c>
      <c r="J66" s="2761">
        <f t="shared" si="0"/>
        <v>0</v>
      </c>
      <c r="K66" s="2741"/>
      <c r="L66" s="2760"/>
      <c r="M66" s="329"/>
    </row>
    <row r="67" spans="1:13" ht="18" customHeight="1" outlineLevel="1">
      <c r="A67" s="2768">
        <v>3631</v>
      </c>
      <c r="B67" s="2764">
        <v>5139</v>
      </c>
      <c r="C67" s="2769"/>
      <c r="D67" s="2770"/>
      <c r="E67" s="2770"/>
      <c r="F67" s="2770"/>
      <c r="G67" s="2770"/>
      <c r="H67" s="2770"/>
      <c r="I67" s="2770"/>
      <c r="J67" s="2772">
        <f t="shared" si="0"/>
        <v>0</v>
      </c>
      <c r="K67" s="2741"/>
      <c r="L67" s="2760"/>
      <c r="M67" s="329"/>
    </row>
    <row r="68" spans="1:13" ht="18" customHeight="1" thickBot="1">
      <c r="A68" s="3209" t="s">
        <v>630</v>
      </c>
      <c r="B68" s="3210"/>
      <c r="C68" s="2757"/>
      <c r="D68" s="2758">
        <v>150000</v>
      </c>
      <c r="E68" s="2758">
        <v>150000</v>
      </c>
      <c r="F68" s="2758">
        <v>150000</v>
      </c>
      <c r="G68" s="2758">
        <v>150000</v>
      </c>
      <c r="H68" s="2758">
        <v>150000</v>
      </c>
      <c r="I68" s="2758">
        <f t="shared" ref="I68" si="16">SUM(I64:I67)</f>
        <v>150000</v>
      </c>
      <c r="J68" s="2759">
        <f t="shared" si="0"/>
        <v>0</v>
      </c>
      <c r="K68" s="285">
        <f>'Výdaje kapitol celkem'!CD22</f>
        <v>150000</v>
      </c>
      <c r="L68" s="2760">
        <f>+K68-I68</f>
        <v>0</v>
      </c>
      <c r="M68" s="329"/>
    </row>
    <row r="69" spans="1:13" ht="18" hidden="1" customHeight="1" outlineLevel="1">
      <c r="A69" s="2752">
        <v>3429</v>
      </c>
      <c r="B69" s="2753">
        <v>5139</v>
      </c>
      <c r="C69" s="2754"/>
      <c r="D69" s="2755"/>
      <c r="E69" s="2755"/>
      <c r="F69" s="2755"/>
      <c r="G69" s="2755"/>
      <c r="H69" s="2755"/>
      <c r="I69" s="2755"/>
      <c r="J69" s="2761">
        <f t="shared" si="0"/>
        <v>0</v>
      </c>
      <c r="K69" s="2741"/>
      <c r="L69" s="2760"/>
      <c r="M69" s="329"/>
    </row>
    <row r="70" spans="1:13" ht="18" hidden="1" customHeight="1" outlineLevel="1">
      <c r="A70" s="2768">
        <v>3429</v>
      </c>
      <c r="B70" s="2764">
        <v>5139</v>
      </c>
      <c r="C70" s="2754"/>
      <c r="D70" s="2755"/>
      <c r="E70" s="2755"/>
      <c r="F70" s="2755"/>
      <c r="G70" s="2755"/>
      <c r="H70" s="2755"/>
      <c r="I70" s="2755"/>
      <c r="J70" s="2761">
        <f t="shared" ref="J70:J133" si="17">+I70-H70</f>
        <v>0</v>
      </c>
      <c r="K70" s="2741"/>
      <c r="L70" s="2760"/>
      <c r="M70" s="329"/>
    </row>
    <row r="71" spans="1:13" ht="18" hidden="1" customHeight="1" outlineLevel="1">
      <c r="A71" s="2768">
        <v>3429</v>
      </c>
      <c r="B71" s="2764">
        <v>5139</v>
      </c>
      <c r="C71" s="2769"/>
      <c r="D71" s="2773"/>
      <c r="E71" s="2773"/>
      <c r="F71" s="2773"/>
      <c r="G71" s="2773"/>
      <c r="H71" s="2773"/>
      <c r="I71" s="2773"/>
      <c r="J71" s="2772">
        <f t="shared" si="17"/>
        <v>0</v>
      </c>
      <c r="K71" s="2741"/>
      <c r="L71" s="2760"/>
      <c r="M71" s="329"/>
    </row>
    <row r="72" spans="1:13" ht="18" customHeight="1" collapsed="1" thickBot="1">
      <c r="A72" s="3209" t="s">
        <v>1210</v>
      </c>
      <c r="B72" s="3210"/>
      <c r="C72" s="2757"/>
      <c r="D72" s="2758">
        <v>0</v>
      </c>
      <c r="E72" s="2758">
        <v>0</v>
      </c>
      <c r="F72" s="2758">
        <v>0</v>
      </c>
      <c r="G72" s="2758">
        <v>0</v>
      </c>
      <c r="H72" s="2758">
        <v>0</v>
      </c>
      <c r="I72" s="2758">
        <f t="shared" ref="I72" si="18">SUM(I69:I71)</f>
        <v>0</v>
      </c>
      <c r="J72" s="2759">
        <f t="shared" si="17"/>
        <v>0</v>
      </c>
      <c r="K72" s="285">
        <f>'Výdaje kapitol celkem'!AQ22</f>
        <v>0</v>
      </c>
      <c r="L72" s="2760">
        <f>+K72-I72</f>
        <v>0</v>
      </c>
      <c r="M72" s="329"/>
    </row>
    <row r="73" spans="1:13" ht="18" customHeight="1" outlineLevel="1">
      <c r="A73" s="2752">
        <v>3632</v>
      </c>
      <c r="B73" s="2753">
        <v>5139</v>
      </c>
      <c r="C73" s="2754" t="s">
        <v>1745</v>
      </c>
      <c r="D73" s="2755">
        <v>30000</v>
      </c>
      <c r="E73" s="2755">
        <v>30000</v>
      </c>
      <c r="F73" s="2755">
        <v>30000</v>
      </c>
      <c r="G73" s="2755">
        <v>30000</v>
      </c>
      <c r="H73" s="2755">
        <v>30000</v>
      </c>
      <c r="I73" s="2755">
        <f>+[3]Hřbitov!$B$5</f>
        <v>30000</v>
      </c>
      <c r="J73" s="2761">
        <f t="shared" si="17"/>
        <v>0</v>
      </c>
      <c r="K73" s="2741"/>
      <c r="L73" s="2760"/>
      <c r="M73" s="329"/>
    </row>
    <row r="74" spans="1:13" ht="18" customHeight="1" outlineLevel="1">
      <c r="A74" s="2768">
        <v>3632</v>
      </c>
      <c r="B74" s="2764">
        <v>5139</v>
      </c>
      <c r="C74" s="2754" t="s">
        <v>2213</v>
      </c>
      <c r="D74" s="2755">
        <v>20000</v>
      </c>
      <c r="E74" s="2755">
        <v>20000</v>
      </c>
      <c r="F74" s="2755">
        <v>20000</v>
      </c>
      <c r="G74" s="2755">
        <v>20000</v>
      </c>
      <c r="H74" s="2755">
        <v>20000</v>
      </c>
      <c r="I74" s="2755">
        <f>+[3]Hřbitov!$B$6</f>
        <v>20000</v>
      </c>
      <c r="J74" s="2761">
        <f t="shared" si="17"/>
        <v>0</v>
      </c>
      <c r="K74" s="2741"/>
      <c r="L74" s="2760"/>
      <c r="M74" s="329"/>
    </row>
    <row r="75" spans="1:13" ht="18" customHeight="1" outlineLevel="1">
      <c r="A75" s="2768">
        <v>3632</v>
      </c>
      <c r="B75" s="2764">
        <v>5139</v>
      </c>
      <c r="C75" s="2769"/>
      <c r="D75" s="2773"/>
      <c r="E75" s="2773"/>
      <c r="F75" s="2773"/>
      <c r="G75" s="2773"/>
      <c r="H75" s="2773"/>
      <c r="I75" s="2773"/>
      <c r="J75" s="2772">
        <f t="shared" si="17"/>
        <v>0</v>
      </c>
      <c r="K75" s="2741"/>
      <c r="L75" s="2760"/>
      <c r="M75" s="329"/>
    </row>
    <row r="76" spans="1:13" ht="18" customHeight="1" thickBot="1">
      <c r="A76" s="3209" t="s">
        <v>253</v>
      </c>
      <c r="B76" s="3210"/>
      <c r="C76" s="2757"/>
      <c r="D76" s="2758">
        <v>50000</v>
      </c>
      <c r="E76" s="2758">
        <v>50000</v>
      </c>
      <c r="F76" s="2758">
        <v>50000</v>
      </c>
      <c r="G76" s="2758">
        <v>50000</v>
      </c>
      <c r="H76" s="2758">
        <v>50000</v>
      </c>
      <c r="I76" s="2758">
        <f t="shared" ref="I76" si="19">SUM(I73:I75)</f>
        <v>50000</v>
      </c>
      <c r="J76" s="2759">
        <f t="shared" si="17"/>
        <v>0</v>
      </c>
      <c r="K76" s="285">
        <f>'Výdaje kapitol celkem'!AR22</f>
        <v>50000</v>
      </c>
      <c r="L76" s="2760">
        <f>+K76-I76</f>
        <v>0</v>
      </c>
      <c r="M76" s="329"/>
    </row>
    <row r="77" spans="1:13" ht="18" hidden="1" customHeight="1" outlineLevel="1">
      <c r="A77" s="2752">
        <v>3412</v>
      </c>
      <c r="B77" s="2753">
        <v>5139</v>
      </c>
      <c r="C77" s="2754"/>
      <c r="D77" s="2755"/>
      <c r="E77" s="2755"/>
      <c r="F77" s="2755"/>
      <c r="G77" s="2755"/>
      <c r="H77" s="2755"/>
      <c r="I77" s="2755"/>
      <c r="J77" s="2761">
        <f t="shared" si="17"/>
        <v>0</v>
      </c>
      <c r="K77" s="2741"/>
      <c r="L77" s="2760"/>
      <c r="M77" s="329"/>
    </row>
    <row r="78" spans="1:13" ht="18" hidden="1" customHeight="1" outlineLevel="1">
      <c r="A78" s="2768">
        <v>3412</v>
      </c>
      <c r="B78" s="2764">
        <v>5139</v>
      </c>
      <c r="C78" s="2754"/>
      <c r="D78" s="2755"/>
      <c r="E78" s="2755"/>
      <c r="F78" s="2755"/>
      <c r="G78" s="2755"/>
      <c r="H78" s="2755"/>
      <c r="I78" s="2755"/>
      <c r="J78" s="2761">
        <f t="shared" si="17"/>
        <v>0</v>
      </c>
      <c r="K78" s="2741"/>
      <c r="L78" s="2760"/>
      <c r="M78" s="329"/>
    </row>
    <row r="79" spans="1:13" ht="18" customHeight="1" collapsed="1" thickBot="1">
      <c r="A79" s="3209" t="s">
        <v>625</v>
      </c>
      <c r="B79" s="3210"/>
      <c r="C79" s="2757"/>
      <c r="D79" s="2758">
        <v>0</v>
      </c>
      <c r="E79" s="2758">
        <v>0</v>
      </c>
      <c r="F79" s="2758">
        <v>0</v>
      </c>
      <c r="G79" s="2758">
        <v>0</v>
      </c>
      <c r="H79" s="2758">
        <v>0</v>
      </c>
      <c r="I79" s="2758">
        <f t="shared" ref="I79" si="20">SUM(I77:I78)</f>
        <v>0</v>
      </c>
      <c r="J79" s="2759">
        <f t="shared" si="17"/>
        <v>0</v>
      </c>
      <c r="K79" s="285">
        <f>'Výdaje kapitol celkem'!AU22</f>
        <v>0</v>
      </c>
      <c r="L79" s="2760">
        <f>+K79-I79</f>
        <v>0</v>
      </c>
      <c r="M79" s="329"/>
    </row>
    <row r="80" spans="1:13" ht="18" hidden="1" customHeight="1" outlineLevel="1">
      <c r="A80" s="2785">
        <v>3113</v>
      </c>
      <c r="B80" s="2786">
        <v>5139</v>
      </c>
      <c r="C80" s="2765"/>
      <c r="D80" s="2766"/>
      <c r="E80" s="2766"/>
      <c r="F80" s="2766"/>
      <c r="G80" s="2766"/>
      <c r="H80" s="2766"/>
      <c r="I80" s="2766"/>
      <c r="J80" s="2767">
        <f t="shared" si="17"/>
        <v>0</v>
      </c>
      <c r="K80" s="2741"/>
      <c r="L80" s="2760"/>
      <c r="M80" s="329"/>
    </row>
    <row r="81" spans="1:13" ht="18" hidden="1" customHeight="1" outlineLevel="1">
      <c r="A81" s="2787">
        <v>3113</v>
      </c>
      <c r="B81" s="2788">
        <v>5139</v>
      </c>
      <c r="C81" s="2769"/>
      <c r="D81" s="2770"/>
      <c r="E81" s="2770"/>
      <c r="F81" s="2770"/>
      <c r="G81" s="2770"/>
      <c r="H81" s="2770"/>
      <c r="I81" s="2770"/>
      <c r="J81" s="2772">
        <f t="shared" si="17"/>
        <v>0</v>
      </c>
      <c r="K81" s="2741"/>
      <c r="L81" s="2760"/>
      <c r="M81" s="329"/>
    </row>
    <row r="82" spans="1:13" ht="18" hidden="1" customHeight="1" outlineLevel="1">
      <c r="A82" s="2787">
        <v>3113</v>
      </c>
      <c r="B82" s="2788">
        <v>5139</v>
      </c>
      <c r="C82" s="2769"/>
      <c r="D82" s="2770"/>
      <c r="E82" s="2770"/>
      <c r="F82" s="2770"/>
      <c r="G82" s="2770"/>
      <c r="H82" s="2770"/>
      <c r="I82" s="2770"/>
      <c r="J82" s="2772">
        <f t="shared" si="17"/>
        <v>0</v>
      </c>
      <c r="K82" s="2741"/>
      <c r="L82" s="2760"/>
      <c r="M82" s="329"/>
    </row>
    <row r="83" spans="1:13" ht="18" hidden="1" customHeight="1" outlineLevel="1">
      <c r="A83" s="2787">
        <v>3113</v>
      </c>
      <c r="B83" s="2788">
        <v>5139</v>
      </c>
      <c r="C83" s="2765"/>
      <c r="D83" s="2766"/>
      <c r="E83" s="2766"/>
      <c r="F83" s="2766"/>
      <c r="G83" s="2766"/>
      <c r="H83" s="2766"/>
      <c r="I83" s="2766"/>
      <c r="J83" s="2761">
        <f t="shared" si="17"/>
        <v>0</v>
      </c>
      <c r="K83" s="2741"/>
      <c r="L83" s="2760"/>
      <c r="M83" s="329"/>
    </row>
    <row r="84" spans="1:13" ht="18" customHeight="1" collapsed="1" thickBot="1">
      <c r="A84" s="3209" t="s">
        <v>205</v>
      </c>
      <c r="B84" s="3210"/>
      <c r="C84" s="2757"/>
      <c r="D84" s="2758">
        <v>0</v>
      </c>
      <c r="E84" s="2758">
        <v>0</v>
      </c>
      <c r="F84" s="2758">
        <v>0</v>
      </c>
      <c r="G84" s="2758">
        <v>0</v>
      </c>
      <c r="H84" s="2758">
        <v>0</v>
      </c>
      <c r="I84" s="2758">
        <f t="shared" ref="I84" si="21">SUM(I80:I83)</f>
        <v>0</v>
      </c>
      <c r="J84" s="2759">
        <f t="shared" si="17"/>
        <v>0</v>
      </c>
      <c r="K84" s="285">
        <f>'Výdaje kapitol celkem'!BD22</f>
        <v>0</v>
      </c>
      <c r="L84" s="2760">
        <f>+K84-I84</f>
        <v>0</v>
      </c>
      <c r="M84" s="329"/>
    </row>
    <row r="85" spans="1:13" ht="18" hidden="1" customHeight="1" outlineLevel="1">
      <c r="A85" s="2785">
        <v>3114</v>
      </c>
      <c r="B85" s="2786">
        <v>5139</v>
      </c>
      <c r="C85" s="2765"/>
      <c r="D85" s="2766"/>
      <c r="E85" s="2766"/>
      <c r="F85" s="2766"/>
      <c r="G85" s="2766"/>
      <c r="H85" s="2766"/>
      <c r="I85" s="2766"/>
      <c r="J85" s="2761">
        <f t="shared" si="17"/>
        <v>0</v>
      </c>
      <c r="K85" s="2741"/>
      <c r="L85" s="2760"/>
      <c r="M85" s="329"/>
    </row>
    <row r="86" spans="1:13" ht="18" hidden="1" customHeight="1" outlineLevel="1">
      <c r="A86" s="2787">
        <v>3114</v>
      </c>
      <c r="B86" s="2788">
        <v>5139</v>
      </c>
      <c r="C86" s="2791"/>
      <c r="D86" s="2789"/>
      <c r="E86" s="2789"/>
      <c r="F86" s="2789"/>
      <c r="G86" s="2789"/>
      <c r="H86" s="2789"/>
      <c r="I86" s="2789"/>
      <c r="J86" s="2761">
        <f t="shared" si="17"/>
        <v>0</v>
      </c>
      <c r="K86" s="2741"/>
      <c r="L86" s="2760"/>
      <c r="M86" s="329"/>
    </row>
    <row r="87" spans="1:13" ht="18" customHeight="1" collapsed="1" thickBot="1">
      <c r="A87" s="3209" t="s">
        <v>206</v>
      </c>
      <c r="B87" s="3210"/>
      <c r="C87" s="2757"/>
      <c r="D87" s="2758">
        <v>0</v>
      </c>
      <c r="E87" s="2758">
        <v>0</v>
      </c>
      <c r="F87" s="2758">
        <v>0</v>
      </c>
      <c r="G87" s="2758">
        <v>0</v>
      </c>
      <c r="H87" s="2758">
        <v>0</v>
      </c>
      <c r="I87" s="2758">
        <f t="shared" ref="I87" si="22">SUM(I85:I86)</f>
        <v>0</v>
      </c>
      <c r="J87" s="2759">
        <f t="shared" si="17"/>
        <v>0</v>
      </c>
      <c r="K87" s="285">
        <f>'Výdaje kapitol celkem'!BM22</f>
        <v>0</v>
      </c>
      <c r="L87" s="2760">
        <f>+K87-I87</f>
        <v>0</v>
      </c>
      <c r="M87" s="329"/>
    </row>
    <row r="88" spans="1:13" ht="18" hidden="1" customHeight="1" outlineLevel="1">
      <c r="A88" s="2785" t="s">
        <v>192</v>
      </c>
      <c r="B88" s="2786">
        <v>5139</v>
      </c>
      <c r="C88" s="2765"/>
      <c r="D88" s="2766"/>
      <c r="E88" s="2766"/>
      <c r="F88" s="2766"/>
      <c r="G88" s="2766"/>
      <c r="H88" s="2766"/>
      <c r="I88" s="2766"/>
      <c r="J88" s="2761">
        <f t="shared" si="17"/>
        <v>0</v>
      </c>
      <c r="K88" s="2741"/>
      <c r="L88" s="2760"/>
      <c r="M88" s="329"/>
    </row>
    <row r="89" spans="1:13" ht="18" hidden="1" customHeight="1" outlineLevel="1">
      <c r="A89" s="2787" t="s">
        <v>192</v>
      </c>
      <c r="B89" s="2788">
        <v>5139</v>
      </c>
      <c r="C89" s="2791"/>
      <c r="D89" s="2790"/>
      <c r="E89" s="2790"/>
      <c r="F89" s="2790"/>
      <c r="G89" s="2790"/>
      <c r="H89" s="2790"/>
      <c r="I89" s="2790"/>
      <c r="J89" s="2772">
        <f t="shared" si="17"/>
        <v>0</v>
      </c>
      <c r="K89" s="2741"/>
      <c r="L89" s="2760"/>
      <c r="M89" s="329"/>
    </row>
    <row r="90" spans="1:13" ht="18" customHeight="1" collapsed="1" thickBot="1">
      <c r="A90" s="3209" t="s">
        <v>207</v>
      </c>
      <c r="B90" s="3210"/>
      <c r="C90" s="2757"/>
      <c r="D90" s="2758">
        <v>0</v>
      </c>
      <c r="E90" s="2758">
        <v>0</v>
      </c>
      <c r="F90" s="2758">
        <v>0</v>
      </c>
      <c r="G90" s="2758">
        <v>0</v>
      </c>
      <c r="H90" s="2758">
        <v>0</v>
      </c>
      <c r="I90" s="2758">
        <f t="shared" ref="I90" si="23">SUM(I88:I89)</f>
        <v>0</v>
      </c>
      <c r="J90" s="2759">
        <f t="shared" si="17"/>
        <v>0</v>
      </c>
      <c r="K90" s="285">
        <f>'Výdaje kapitol celkem'!BS22</f>
        <v>0</v>
      </c>
      <c r="L90" s="2760">
        <f>+K90-I90</f>
        <v>0</v>
      </c>
      <c r="M90" s="329"/>
    </row>
    <row r="91" spans="1:13" ht="18" hidden="1" customHeight="1" outlineLevel="1">
      <c r="A91" s="2785" t="s">
        <v>193</v>
      </c>
      <c r="B91" s="2786">
        <v>5139</v>
      </c>
      <c r="C91" s="2765"/>
      <c r="D91" s="2766"/>
      <c r="E91" s="2766"/>
      <c r="F91" s="2766"/>
      <c r="G91" s="2766"/>
      <c r="H91" s="2766"/>
      <c r="I91" s="2766"/>
      <c r="J91" s="2761">
        <f t="shared" si="17"/>
        <v>0</v>
      </c>
      <c r="K91" s="2741"/>
      <c r="L91" s="2760"/>
      <c r="M91" s="329"/>
    </row>
    <row r="92" spans="1:13" ht="18" hidden="1" customHeight="1" outlineLevel="1">
      <c r="A92" s="2787" t="s">
        <v>193</v>
      </c>
      <c r="B92" s="2788">
        <v>5139</v>
      </c>
      <c r="C92" s="2791"/>
      <c r="D92" s="2789"/>
      <c r="E92" s="2789"/>
      <c r="F92" s="2789"/>
      <c r="G92" s="2789"/>
      <c r="H92" s="2789"/>
      <c r="I92" s="2789"/>
      <c r="J92" s="2772">
        <f t="shared" si="17"/>
        <v>0</v>
      </c>
      <c r="K92" s="2741"/>
      <c r="L92" s="2760"/>
      <c r="M92" s="329"/>
    </row>
    <row r="93" spans="1:13" ht="18" customHeight="1" collapsed="1" thickBot="1">
      <c r="A93" s="3209" t="s">
        <v>208</v>
      </c>
      <c r="B93" s="3210"/>
      <c r="C93" s="2757"/>
      <c r="D93" s="2758">
        <v>0</v>
      </c>
      <c r="E93" s="2758">
        <v>0</v>
      </c>
      <c r="F93" s="2758">
        <v>0</v>
      </c>
      <c r="G93" s="2758">
        <v>0</v>
      </c>
      <c r="H93" s="2758">
        <v>0</v>
      </c>
      <c r="I93" s="2758">
        <f t="shared" ref="I93" si="24">SUM(I91:I92)</f>
        <v>0</v>
      </c>
      <c r="J93" s="2759">
        <f t="shared" si="17"/>
        <v>0</v>
      </c>
      <c r="K93" s="285">
        <f>'Výdaje kapitol celkem'!BP22</f>
        <v>0</v>
      </c>
      <c r="L93" s="2760">
        <f>+K93-I93</f>
        <v>0</v>
      </c>
      <c r="M93" s="329"/>
    </row>
    <row r="94" spans="1:13" ht="18" hidden="1" customHeight="1" outlineLevel="1">
      <c r="A94" s="2785" t="s">
        <v>218</v>
      </c>
      <c r="B94" s="2786">
        <v>5139</v>
      </c>
      <c r="C94" s="2765"/>
      <c r="D94" s="2750"/>
      <c r="E94" s="2750"/>
      <c r="F94" s="2750"/>
      <c r="G94" s="2750"/>
      <c r="H94" s="2750"/>
      <c r="I94" s="2750"/>
      <c r="J94" s="2761">
        <f t="shared" si="17"/>
        <v>0</v>
      </c>
      <c r="K94" s="2741"/>
      <c r="L94" s="2760"/>
      <c r="M94" s="329"/>
    </row>
    <row r="95" spans="1:13" ht="18" hidden="1" customHeight="1" outlineLevel="1">
      <c r="A95" s="2787" t="s">
        <v>218</v>
      </c>
      <c r="B95" s="2788">
        <v>5139</v>
      </c>
      <c r="C95" s="2791"/>
      <c r="D95" s="2770"/>
      <c r="E95" s="2770"/>
      <c r="F95" s="2770"/>
      <c r="G95" s="2770"/>
      <c r="H95" s="2770"/>
      <c r="I95" s="2770"/>
      <c r="J95" s="2772">
        <f t="shared" si="17"/>
        <v>0</v>
      </c>
      <c r="K95" s="2741"/>
      <c r="L95" s="2760"/>
      <c r="M95" s="329"/>
    </row>
    <row r="96" spans="1:13" ht="18" hidden="1" customHeight="1" outlineLevel="1">
      <c r="A96" s="2787" t="s">
        <v>218</v>
      </c>
      <c r="B96" s="2788">
        <v>5139</v>
      </c>
      <c r="C96" s="2791"/>
      <c r="D96" s="2766"/>
      <c r="E96" s="2766"/>
      <c r="F96" s="2766"/>
      <c r="G96" s="2766"/>
      <c r="H96" s="2766"/>
      <c r="I96" s="2766"/>
      <c r="J96" s="2772">
        <f t="shared" si="17"/>
        <v>0</v>
      </c>
      <c r="K96" s="2741"/>
      <c r="L96" s="2760"/>
      <c r="M96" s="329"/>
    </row>
    <row r="97" spans="1:13" ht="18" customHeight="1" collapsed="1" thickBot="1">
      <c r="A97" s="3209" t="s">
        <v>249</v>
      </c>
      <c r="B97" s="3210"/>
      <c r="C97" s="2757"/>
      <c r="D97" s="2758">
        <v>0</v>
      </c>
      <c r="E97" s="2758">
        <v>0</v>
      </c>
      <c r="F97" s="2758">
        <v>0</v>
      </c>
      <c r="G97" s="2758">
        <v>0</v>
      </c>
      <c r="H97" s="2758">
        <v>0</v>
      </c>
      <c r="I97" s="2758">
        <f t="shared" ref="I97" si="25">SUM(I94:I96)</f>
        <v>0</v>
      </c>
      <c r="J97" s="2759">
        <f t="shared" si="17"/>
        <v>0</v>
      </c>
      <c r="K97" s="285">
        <f>'Výdaje kapitol celkem'!BZ22</f>
        <v>0</v>
      </c>
      <c r="L97" s="2760">
        <f>+K97-I97</f>
        <v>0</v>
      </c>
      <c r="M97" s="329"/>
    </row>
    <row r="98" spans="1:13" ht="18" hidden="1" customHeight="1" outlineLevel="1">
      <c r="A98" s="2785">
        <v>3635</v>
      </c>
      <c r="B98" s="2786">
        <v>5139</v>
      </c>
      <c r="C98" s="2765"/>
      <c r="D98" s="2766"/>
      <c r="E98" s="2766"/>
      <c r="F98" s="2766"/>
      <c r="G98" s="2766"/>
      <c r="H98" s="2766"/>
      <c r="I98" s="2766"/>
      <c r="J98" s="2756">
        <f t="shared" si="17"/>
        <v>0</v>
      </c>
      <c r="K98" s="2741"/>
      <c r="L98" s="2760"/>
      <c r="M98" s="329"/>
    </row>
    <row r="99" spans="1:13" ht="18" hidden="1" customHeight="1" outlineLevel="1">
      <c r="A99" s="2787">
        <v>3635</v>
      </c>
      <c r="B99" s="2788">
        <v>5139</v>
      </c>
      <c r="C99" s="2791"/>
      <c r="D99" s="2790"/>
      <c r="E99" s="2790"/>
      <c r="F99" s="2790"/>
      <c r="G99" s="2790"/>
      <c r="H99" s="2790"/>
      <c r="I99" s="2790"/>
      <c r="J99" s="2771">
        <f t="shared" si="17"/>
        <v>0</v>
      </c>
      <c r="K99" s="2741"/>
      <c r="L99" s="2760"/>
      <c r="M99" s="329"/>
    </row>
    <row r="100" spans="1:13" ht="18" customHeight="1" collapsed="1" thickBot="1">
      <c r="A100" s="3209" t="s">
        <v>151</v>
      </c>
      <c r="B100" s="3210"/>
      <c r="C100" s="2757"/>
      <c r="D100" s="2758">
        <v>0</v>
      </c>
      <c r="E100" s="2758">
        <v>0</v>
      </c>
      <c r="F100" s="2758">
        <v>0</v>
      </c>
      <c r="G100" s="2758">
        <v>0</v>
      </c>
      <c r="H100" s="2758">
        <v>0</v>
      </c>
      <c r="I100" s="2758">
        <f t="shared" ref="I100" si="26">SUM(I98:I99)</f>
        <v>0</v>
      </c>
      <c r="J100" s="2759">
        <f t="shared" si="17"/>
        <v>0</v>
      </c>
      <c r="K100" s="285">
        <f>'Výdaje kapitol celkem'!CC22</f>
        <v>0</v>
      </c>
      <c r="L100" s="2760">
        <f>+K100-I100</f>
        <v>0</v>
      </c>
      <c r="M100" s="329"/>
    </row>
    <row r="101" spans="1:13" ht="18" hidden="1" customHeight="1" outlineLevel="1">
      <c r="A101" s="2785" t="s">
        <v>194</v>
      </c>
      <c r="B101" s="2786">
        <v>5139</v>
      </c>
      <c r="C101" s="2765"/>
      <c r="D101" s="2766"/>
      <c r="E101" s="2766"/>
      <c r="F101" s="2766"/>
      <c r="G101" s="2766"/>
      <c r="H101" s="2766"/>
      <c r="I101" s="2766"/>
      <c r="J101" s="2756">
        <f t="shared" si="17"/>
        <v>0</v>
      </c>
      <c r="K101" s="2741"/>
      <c r="L101" s="2760"/>
      <c r="M101" s="329"/>
    </row>
    <row r="102" spans="1:13" ht="18" hidden="1" customHeight="1" outlineLevel="1">
      <c r="A102" s="2787" t="s">
        <v>194</v>
      </c>
      <c r="B102" s="2788">
        <v>5139</v>
      </c>
      <c r="C102" s="2791"/>
      <c r="D102" s="2790"/>
      <c r="E102" s="2790"/>
      <c r="F102" s="2790"/>
      <c r="G102" s="2790"/>
      <c r="H102" s="2790"/>
      <c r="I102" s="2790"/>
      <c r="J102" s="2771">
        <f t="shared" si="17"/>
        <v>0</v>
      </c>
      <c r="K102" s="2741"/>
      <c r="L102" s="2760"/>
      <c r="M102" s="329"/>
    </row>
    <row r="103" spans="1:13" ht="18" customHeight="1" collapsed="1" thickBot="1">
      <c r="A103" s="3209" t="s">
        <v>209</v>
      </c>
      <c r="B103" s="3210"/>
      <c r="C103" s="2757"/>
      <c r="D103" s="2758">
        <v>0</v>
      </c>
      <c r="E103" s="2758">
        <v>0</v>
      </c>
      <c r="F103" s="2758">
        <v>0</v>
      </c>
      <c r="G103" s="2758">
        <v>0</v>
      </c>
      <c r="H103" s="2758">
        <v>0</v>
      </c>
      <c r="I103" s="2758">
        <f t="shared" ref="I103" si="27">SUM(I101:I102)</f>
        <v>0</v>
      </c>
      <c r="J103" s="2759">
        <f t="shared" si="17"/>
        <v>0</v>
      </c>
      <c r="K103" s="285">
        <f>'Výdaje kapitol celkem'!BV22</f>
        <v>0</v>
      </c>
      <c r="L103" s="2760">
        <f>+K103-I103</f>
        <v>0</v>
      </c>
      <c r="M103" s="329"/>
    </row>
    <row r="104" spans="1:13" ht="18" hidden="1" customHeight="1" outlineLevel="1">
      <c r="A104" s="2785" t="s">
        <v>195</v>
      </c>
      <c r="B104" s="2786">
        <v>5139</v>
      </c>
      <c r="C104" s="2765"/>
      <c r="D104" s="2766"/>
      <c r="E104" s="2766"/>
      <c r="F104" s="2766"/>
      <c r="G104" s="2766"/>
      <c r="H104" s="2766"/>
      <c r="I104" s="2766"/>
      <c r="J104" s="2756">
        <f t="shared" si="17"/>
        <v>0</v>
      </c>
      <c r="K104" s="2741"/>
      <c r="L104" s="2760"/>
      <c r="M104" s="329"/>
    </row>
    <row r="105" spans="1:13" ht="18" hidden="1" customHeight="1" outlineLevel="1">
      <c r="A105" s="2787" t="s">
        <v>195</v>
      </c>
      <c r="B105" s="2788">
        <v>5139</v>
      </c>
      <c r="C105" s="2791"/>
      <c r="D105" s="2789"/>
      <c r="E105" s="2789"/>
      <c r="F105" s="2789"/>
      <c r="G105" s="2789"/>
      <c r="H105" s="2789"/>
      <c r="I105" s="2789"/>
      <c r="J105" s="2772">
        <f t="shared" si="17"/>
        <v>0</v>
      </c>
      <c r="K105" s="2741"/>
      <c r="L105" s="2760"/>
      <c r="M105" s="329"/>
    </row>
    <row r="106" spans="1:13" ht="18" customHeight="1" collapsed="1" thickBot="1">
      <c r="A106" s="3209" t="s">
        <v>210</v>
      </c>
      <c r="B106" s="3210"/>
      <c r="C106" s="2757"/>
      <c r="D106" s="2758">
        <v>0</v>
      </c>
      <c r="E106" s="2758">
        <v>0</v>
      </c>
      <c r="F106" s="2758">
        <v>0</v>
      </c>
      <c r="G106" s="2758">
        <v>0</v>
      </c>
      <c r="H106" s="2758">
        <v>0</v>
      </c>
      <c r="I106" s="2758">
        <f t="shared" ref="I106" si="28">SUM(I104:I105)</f>
        <v>0</v>
      </c>
      <c r="J106" s="2759">
        <f t="shared" si="17"/>
        <v>0</v>
      </c>
      <c r="K106" s="285">
        <f>'Výdaje kapitol celkem'!BY22</f>
        <v>0</v>
      </c>
      <c r="L106" s="2760">
        <f>+K106-I106</f>
        <v>0</v>
      </c>
      <c r="M106" s="329"/>
    </row>
    <row r="107" spans="1:13" ht="18" customHeight="1" outlineLevel="1">
      <c r="A107" s="2747">
        <v>2212</v>
      </c>
      <c r="B107" s="2748">
        <v>5139</v>
      </c>
      <c r="C107" s="2749" t="s">
        <v>2202</v>
      </c>
      <c r="D107" s="2750">
        <v>150000</v>
      </c>
      <c r="E107" s="2750">
        <v>150000</v>
      </c>
      <c r="F107" s="2750">
        <v>150000</v>
      </c>
      <c r="G107" s="2750">
        <v>150000</v>
      </c>
      <c r="H107" s="2750">
        <v>150000</v>
      </c>
      <c r="I107" s="2750">
        <f>+'[4]Silnice nákup materiálu'!$B$4</f>
        <v>150000</v>
      </c>
      <c r="J107" s="2751">
        <f t="shared" si="17"/>
        <v>0</v>
      </c>
      <c r="K107" s="2741"/>
      <c r="L107" s="2760"/>
      <c r="M107" s="329"/>
    </row>
    <row r="108" spans="1:13" ht="18" customHeight="1" outlineLevel="1">
      <c r="A108" s="2768">
        <v>2212</v>
      </c>
      <c r="B108" s="2764">
        <v>5139</v>
      </c>
      <c r="C108" s="2769" t="s">
        <v>2359</v>
      </c>
      <c r="D108" s="2770">
        <v>500000</v>
      </c>
      <c r="E108" s="2770">
        <v>500000</v>
      </c>
      <c r="F108" s="2770">
        <v>500000</v>
      </c>
      <c r="G108" s="2770">
        <v>500000</v>
      </c>
      <c r="H108" s="2770">
        <v>500000</v>
      </c>
      <c r="I108" s="2770">
        <f>+'[4]Silnice nákup materiálu'!$B$5</f>
        <v>500000</v>
      </c>
      <c r="J108" s="2772">
        <f t="shared" si="17"/>
        <v>0</v>
      </c>
      <c r="K108" s="2741"/>
      <c r="L108" s="2760"/>
      <c r="M108" s="329"/>
    </row>
    <row r="109" spans="1:13" ht="18" customHeight="1" outlineLevel="1">
      <c r="A109" s="2768">
        <v>2212</v>
      </c>
      <c r="B109" s="2764">
        <v>5139</v>
      </c>
      <c r="C109" s="2769" t="s">
        <v>2360</v>
      </c>
      <c r="D109" s="2770">
        <v>500000</v>
      </c>
      <c r="E109" s="2770">
        <v>500000</v>
      </c>
      <c r="F109" s="2770">
        <v>500000</v>
      </c>
      <c r="G109" s="2770">
        <v>500000</v>
      </c>
      <c r="H109" s="2770">
        <v>500000</v>
      </c>
      <c r="I109" s="2770">
        <f>+'[4]Silnice nákup materiálu'!$B$6</f>
        <v>500000</v>
      </c>
      <c r="J109" s="2772">
        <f t="shared" si="17"/>
        <v>0</v>
      </c>
      <c r="K109" s="2741"/>
      <c r="L109" s="2760"/>
      <c r="M109" s="329"/>
    </row>
    <row r="110" spans="1:13" ht="18" customHeight="1" outlineLevel="1">
      <c r="A110" s="2768">
        <v>2212</v>
      </c>
      <c r="B110" s="2764">
        <v>5139</v>
      </c>
      <c r="C110" s="2769" t="s">
        <v>2361</v>
      </c>
      <c r="D110" s="2770">
        <v>500000</v>
      </c>
      <c r="E110" s="2770">
        <v>500000</v>
      </c>
      <c r="F110" s="2770">
        <v>500000</v>
      </c>
      <c r="G110" s="2770">
        <v>500000</v>
      </c>
      <c r="H110" s="2770">
        <v>500000</v>
      </c>
      <c r="I110" s="2770">
        <f>+'[4]Silnice nákup materiálu'!$B$7</f>
        <v>500000</v>
      </c>
      <c r="J110" s="2772">
        <f t="shared" si="17"/>
        <v>0</v>
      </c>
      <c r="K110" s="2741"/>
      <c r="L110" s="2760"/>
      <c r="M110" s="329"/>
    </row>
    <row r="111" spans="1:13" ht="18" customHeight="1" outlineLevel="1">
      <c r="A111" s="2768">
        <v>2212</v>
      </c>
      <c r="B111" s="2764">
        <v>5139</v>
      </c>
      <c r="C111" s="2769" t="s">
        <v>2362</v>
      </c>
      <c r="D111" s="2770">
        <v>300000</v>
      </c>
      <c r="E111" s="2770">
        <v>300000</v>
      </c>
      <c r="F111" s="2770">
        <v>300000</v>
      </c>
      <c r="G111" s="2770">
        <v>300000</v>
      </c>
      <c r="H111" s="2770">
        <v>300000</v>
      </c>
      <c r="I111" s="2770">
        <f>+'[4]Silnice nákup materiálu'!$B$8</f>
        <v>300000</v>
      </c>
      <c r="J111" s="2772">
        <f t="shared" si="17"/>
        <v>0</v>
      </c>
      <c r="K111" s="2741"/>
      <c r="L111" s="2760"/>
      <c r="M111" s="329"/>
    </row>
    <row r="112" spans="1:13" ht="18" customHeight="1" outlineLevel="1">
      <c r="A112" s="2785">
        <v>2212</v>
      </c>
      <c r="B112" s="2786">
        <v>5139</v>
      </c>
      <c r="C112" s="2765"/>
      <c r="D112" s="2766"/>
      <c r="E112" s="2766"/>
      <c r="F112" s="2766"/>
      <c r="G112" s="2766"/>
      <c r="H112" s="2766"/>
      <c r="I112" s="2766"/>
      <c r="J112" s="2756">
        <f t="shared" si="17"/>
        <v>0</v>
      </c>
      <c r="K112" s="2741"/>
      <c r="L112" s="2760"/>
      <c r="M112" s="329"/>
    </row>
    <row r="113" spans="1:13" ht="18" customHeight="1" thickBot="1">
      <c r="A113" s="3209" t="s">
        <v>254</v>
      </c>
      <c r="B113" s="3210"/>
      <c r="C113" s="2757"/>
      <c r="D113" s="2758">
        <v>1950000</v>
      </c>
      <c r="E113" s="2758">
        <v>1950000</v>
      </c>
      <c r="F113" s="2758">
        <v>1950000</v>
      </c>
      <c r="G113" s="2758">
        <v>1950000</v>
      </c>
      <c r="H113" s="2758">
        <v>1950000</v>
      </c>
      <c r="I113" s="2758">
        <f>SUM(I107:I112)</f>
        <v>1950000</v>
      </c>
      <c r="J113" s="2759">
        <f t="shared" si="17"/>
        <v>0</v>
      </c>
      <c r="K113" s="285">
        <f>'Výdaje kapitol celkem'!CG22</f>
        <v>1950000</v>
      </c>
      <c r="L113" s="2760">
        <f>+K113-I113</f>
        <v>0</v>
      </c>
      <c r="M113" s="329"/>
    </row>
    <row r="114" spans="1:13" ht="18" hidden="1" customHeight="1" outlineLevel="1">
      <c r="A114" s="2747">
        <v>2310</v>
      </c>
      <c r="B114" s="2748">
        <v>5139</v>
      </c>
      <c r="C114" s="2749"/>
      <c r="D114" s="2750"/>
      <c r="E114" s="2750"/>
      <c r="F114" s="2750"/>
      <c r="G114" s="2750"/>
      <c r="H114" s="2750"/>
      <c r="I114" s="2750"/>
      <c r="J114" s="2751">
        <f t="shared" si="17"/>
        <v>0</v>
      </c>
      <c r="K114" s="2741"/>
      <c r="L114" s="2760"/>
      <c r="M114" s="329"/>
    </row>
    <row r="115" spans="1:13" ht="18" hidden="1" customHeight="1" outlineLevel="1">
      <c r="A115" s="2787">
        <v>2310</v>
      </c>
      <c r="B115" s="2788">
        <v>5139</v>
      </c>
      <c r="C115" s="2791"/>
      <c r="D115" s="2790"/>
      <c r="E115" s="2790"/>
      <c r="F115" s="2790"/>
      <c r="G115" s="2790"/>
      <c r="H115" s="2790"/>
      <c r="I115" s="2790"/>
      <c r="J115" s="2771">
        <f t="shared" si="17"/>
        <v>0</v>
      </c>
      <c r="K115" s="2741"/>
      <c r="L115" s="2760"/>
      <c r="M115" s="329"/>
    </row>
    <row r="116" spans="1:13" ht="18" customHeight="1" collapsed="1" thickBot="1">
      <c r="A116" s="3209" t="s">
        <v>211</v>
      </c>
      <c r="B116" s="3210"/>
      <c r="C116" s="2757"/>
      <c r="D116" s="2758">
        <v>0</v>
      </c>
      <c r="E116" s="2758">
        <v>0</v>
      </c>
      <c r="F116" s="2758">
        <v>0</v>
      </c>
      <c r="G116" s="2758">
        <v>0</v>
      </c>
      <c r="H116" s="2758">
        <v>0</v>
      </c>
      <c r="I116" s="2758">
        <f t="shared" ref="I116" si="29">SUM(I114:I115)</f>
        <v>0</v>
      </c>
      <c r="J116" s="2759">
        <f t="shared" si="17"/>
        <v>0</v>
      </c>
      <c r="K116" s="285">
        <f>'Výdaje kapitol celkem'!CK22</f>
        <v>0</v>
      </c>
      <c r="L116" s="2760">
        <f>+K116-I116</f>
        <v>0</v>
      </c>
      <c r="M116" s="329"/>
    </row>
    <row r="117" spans="1:13" ht="18" hidden="1" customHeight="1" outlineLevel="1">
      <c r="A117" s="2785">
        <v>3633</v>
      </c>
      <c r="B117" s="2786">
        <v>5139</v>
      </c>
      <c r="C117" s="2765"/>
      <c r="D117" s="2750"/>
      <c r="E117" s="2750"/>
      <c r="F117" s="2750"/>
      <c r="G117" s="2750"/>
      <c r="H117" s="2750"/>
      <c r="I117" s="2750"/>
      <c r="J117" s="2761">
        <f t="shared" si="17"/>
        <v>0</v>
      </c>
      <c r="K117" s="2741"/>
      <c r="L117" s="2760"/>
      <c r="M117" s="329"/>
    </row>
    <row r="118" spans="1:13" ht="18" hidden="1" customHeight="1" outlineLevel="1">
      <c r="A118" s="2787">
        <v>3633</v>
      </c>
      <c r="B118" s="2788">
        <v>5139</v>
      </c>
      <c r="C118" s="2791"/>
      <c r="D118" s="2770"/>
      <c r="E118" s="2770"/>
      <c r="F118" s="2770"/>
      <c r="G118" s="2770"/>
      <c r="H118" s="2770"/>
      <c r="I118" s="2770"/>
      <c r="J118" s="2761">
        <f t="shared" si="17"/>
        <v>0</v>
      </c>
      <c r="K118" s="2741"/>
      <c r="L118" s="2760"/>
      <c r="M118" s="329"/>
    </row>
    <row r="119" spans="1:13" ht="18" customHeight="1" collapsed="1" thickBot="1">
      <c r="A119" s="3209" t="s">
        <v>251</v>
      </c>
      <c r="B119" s="3210"/>
      <c r="C119" s="2757"/>
      <c r="D119" s="2758">
        <v>0</v>
      </c>
      <c r="E119" s="2758">
        <v>0</v>
      </c>
      <c r="F119" s="2758">
        <v>0</v>
      </c>
      <c r="G119" s="2758">
        <v>0</v>
      </c>
      <c r="H119" s="2758">
        <v>0</v>
      </c>
      <c r="I119" s="2758">
        <f t="shared" ref="I119" si="30">SUM(I117:I118)</f>
        <v>0</v>
      </c>
      <c r="J119" s="2759">
        <f t="shared" si="17"/>
        <v>0</v>
      </c>
      <c r="K119" s="285">
        <f>'Výdaje kapitol celkem'!CW22</f>
        <v>0</v>
      </c>
      <c r="L119" s="2760">
        <f>+K119-I119</f>
        <v>0</v>
      </c>
      <c r="M119" s="329"/>
    </row>
    <row r="120" spans="1:13" ht="39.75" outlineLevel="1">
      <c r="A120" s="2747">
        <v>3749</v>
      </c>
      <c r="B120" s="2748">
        <v>5139</v>
      </c>
      <c r="C120" s="2749" t="s">
        <v>2363</v>
      </c>
      <c r="D120" s="2750">
        <v>150000</v>
      </c>
      <c r="E120" s="2750">
        <v>150000</v>
      </c>
      <c r="F120" s="2750">
        <v>150000</v>
      </c>
      <c r="G120" s="2750">
        <v>150000</v>
      </c>
      <c r="H120" s="2750">
        <v>150000</v>
      </c>
      <c r="I120" s="2750">
        <f>+'[7]Příroda 3749'!$B$6</f>
        <v>150000</v>
      </c>
      <c r="J120" s="2751">
        <f t="shared" si="17"/>
        <v>0</v>
      </c>
      <c r="K120" s="285">
        <f>'Výdaje kapitol celkem'!CW23</f>
        <v>0</v>
      </c>
      <c r="L120" s="2760"/>
      <c r="M120" s="329"/>
    </row>
    <row r="121" spans="1:13" ht="13.5" outlineLevel="1">
      <c r="A121" s="2752">
        <v>3749</v>
      </c>
      <c r="B121" s="2753">
        <v>5139</v>
      </c>
      <c r="C121" s="2765" t="s">
        <v>2254</v>
      </c>
      <c r="D121" s="2766">
        <v>50000</v>
      </c>
      <c r="E121" s="2766">
        <v>50000</v>
      </c>
      <c r="F121" s="2766">
        <v>50000</v>
      </c>
      <c r="G121" s="2766">
        <v>50000</v>
      </c>
      <c r="H121" s="2766">
        <v>50000</v>
      </c>
      <c r="I121" s="2766">
        <f>+'[7]Příroda 3749'!$B$7</f>
        <v>50000</v>
      </c>
      <c r="J121" s="2756">
        <f t="shared" si="17"/>
        <v>0</v>
      </c>
      <c r="K121" s="285"/>
      <c r="L121" s="2760"/>
      <c r="M121" s="329"/>
    </row>
    <row r="122" spans="1:13" ht="18" customHeight="1" outlineLevel="1">
      <c r="A122" s="2787">
        <v>3749</v>
      </c>
      <c r="B122" s="2788">
        <v>5139</v>
      </c>
      <c r="C122" s="2791"/>
      <c r="D122" s="2790"/>
      <c r="E122" s="2790"/>
      <c r="F122" s="2790"/>
      <c r="G122" s="2790"/>
      <c r="H122" s="2790"/>
      <c r="I122" s="2790"/>
      <c r="J122" s="2771">
        <f t="shared" si="17"/>
        <v>0</v>
      </c>
      <c r="K122" s="285">
        <f>'Výdaje kapitol celkem'!CW25</f>
        <v>0</v>
      </c>
      <c r="L122" s="2760"/>
      <c r="M122" s="329"/>
    </row>
    <row r="123" spans="1:13" ht="18" customHeight="1" thickBot="1">
      <c r="A123" s="3209" t="s">
        <v>624</v>
      </c>
      <c r="B123" s="3210"/>
      <c r="C123" s="2757"/>
      <c r="D123" s="2758">
        <v>200000</v>
      </c>
      <c r="E123" s="2758">
        <v>200000</v>
      </c>
      <c r="F123" s="2758">
        <v>200000</v>
      </c>
      <c r="G123" s="2758">
        <v>200000</v>
      </c>
      <c r="H123" s="2758">
        <v>200000</v>
      </c>
      <c r="I123" s="2758">
        <f t="shared" ref="I123" si="31">SUM(I120:I122)</f>
        <v>200000</v>
      </c>
      <c r="J123" s="2759">
        <f t="shared" si="17"/>
        <v>0</v>
      </c>
      <c r="K123" s="285">
        <f>'Výdaje kapitol celkem'!DK22</f>
        <v>200000</v>
      </c>
      <c r="L123" s="2760">
        <f>+K123-I123</f>
        <v>0</v>
      </c>
      <c r="M123" s="329"/>
    </row>
    <row r="124" spans="1:13" ht="18" hidden="1" customHeight="1" outlineLevel="1">
      <c r="A124" s="2785">
        <v>1036</v>
      </c>
      <c r="B124" s="2786">
        <v>5139</v>
      </c>
      <c r="C124" s="2765"/>
      <c r="D124" s="2766"/>
      <c r="E124" s="2766"/>
      <c r="F124" s="2766"/>
      <c r="G124" s="2766"/>
      <c r="H124" s="2766"/>
      <c r="I124" s="2766"/>
      <c r="J124" s="2756">
        <f t="shared" si="17"/>
        <v>0</v>
      </c>
      <c r="K124" s="2741"/>
      <c r="L124" s="2760"/>
      <c r="M124" s="329"/>
    </row>
    <row r="125" spans="1:13" ht="18" hidden="1" customHeight="1" outlineLevel="1">
      <c r="A125" s="2787">
        <v>1036</v>
      </c>
      <c r="B125" s="2788">
        <v>5139</v>
      </c>
      <c r="C125" s="2791"/>
      <c r="D125" s="2790"/>
      <c r="E125" s="2790"/>
      <c r="F125" s="2790"/>
      <c r="G125" s="2790"/>
      <c r="H125" s="2790"/>
      <c r="I125" s="2790"/>
      <c r="J125" s="2771">
        <f t="shared" si="17"/>
        <v>0</v>
      </c>
      <c r="K125" s="2741"/>
      <c r="L125" s="2760"/>
      <c r="M125" s="329"/>
    </row>
    <row r="126" spans="1:13" ht="18" hidden="1" customHeight="1" outlineLevel="1">
      <c r="A126" s="2787">
        <v>1036</v>
      </c>
      <c r="B126" s="2788">
        <v>5139</v>
      </c>
      <c r="C126" s="2769"/>
      <c r="D126" s="2790"/>
      <c r="E126" s="2790"/>
      <c r="F126" s="2790"/>
      <c r="G126" s="2790"/>
      <c r="H126" s="2790"/>
      <c r="I126" s="2790"/>
      <c r="J126" s="2772">
        <f t="shared" si="17"/>
        <v>0</v>
      </c>
      <c r="K126" s="2741"/>
      <c r="L126" s="2760"/>
      <c r="M126" s="329"/>
    </row>
    <row r="127" spans="1:13" ht="18" customHeight="1" collapsed="1" thickBot="1">
      <c r="A127" s="3209" t="s">
        <v>1211</v>
      </c>
      <c r="B127" s="3210"/>
      <c r="C127" s="2757"/>
      <c r="D127" s="2758">
        <v>0</v>
      </c>
      <c r="E127" s="2758">
        <v>0</v>
      </c>
      <c r="F127" s="2758">
        <v>0</v>
      </c>
      <c r="G127" s="2758">
        <v>0</v>
      </c>
      <c r="H127" s="2758">
        <v>0</v>
      </c>
      <c r="I127" s="2758">
        <f t="shared" ref="I127" si="32">SUM(I124:I126)</f>
        <v>0</v>
      </c>
      <c r="J127" s="2759">
        <f t="shared" si="17"/>
        <v>0</v>
      </c>
      <c r="K127" s="285">
        <f>'Výdaje kapitol celkem'!CZ22</f>
        <v>0</v>
      </c>
      <c r="L127" s="2760">
        <f>+K127-I127</f>
        <v>0</v>
      </c>
      <c r="M127" s="329"/>
    </row>
    <row r="128" spans="1:13" ht="18" hidden="1" customHeight="1" outlineLevel="1">
      <c r="A128" s="2785" t="s">
        <v>219</v>
      </c>
      <c r="B128" s="2786">
        <v>5139</v>
      </c>
      <c r="C128" s="2765"/>
      <c r="D128" s="2766"/>
      <c r="E128" s="2766"/>
      <c r="F128" s="2766"/>
      <c r="G128" s="2766"/>
      <c r="H128" s="2766"/>
      <c r="I128" s="2766"/>
      <c r="J128" s="2756">
        <f t="shared" si="17"/>
        <v>0</v>
      </c>
      <c r="K128" s="2741"/>
      <c r="L128" s="2760"/>
      <c r="M128" s="329"/>
    </row>
    <row r="129" spans="1:13" ht="18" hidden="1" customHeight="1" outlineLevel="1">
      <c r="A129" s="2787" t="s">
        <v>219</v>
      </c>
      <c r="B129" s="2788">
        <v>5139</v>
      </c>
      <c r="C129" s="2791"/>
      <c r="D129" s="2790"/>
      <c r="E129" s="2790"/>
      <c r="F129" s="2790"/>
      <c r="G129" s="2790"/>
      <c r="H129" s="2790"/>
      <c r="I129" s="2790"/>
      <c r="J129" s="2771">
        <f t="shared" si="17"/>
        <v>0</v>
      </c>
      <c r="K129" s="2741"/>
      <c r="L129" s="2760"/>
      <c r="M129" s="329"/>
    </row>
    <row r="130" spans="1:13" ht="18" hidden="1" customHeight="1" outlineLevel="1">
      <c r="A130" s="2787" t="s">
        <v>219</v>
      </c>
      <c r="B130" s="2788">
        <v>5139</v>
      </c>
      <c r="C130" s="2769"/>
      <c r="D130" s="2790"/>
      <c r="E130" s="2790"/>
      <c r="F130" s="2790"/>
      <c r="G130" s="2790"/>
      <c r="H130" s="2790"/>
      <c r="I130" s="2790"/>
      <c r="J130" s="2772">
        <f t="shared" si="17"/>
        <v>0</v>
      </c>
      <c r="K130" s="2741"/>
      <c r="L130" s="2760"/>
      <c r="M130" s="329"/>
    </row>
    <row r="131" spans="1:13" ht="18" customHeight="1" collapsed="1" thickBot="1">
      <c r="A131" s="3209" t="s">
        <v>250</v>
      </c>
      <c r="B131" s="3210"/>
      <c r="C131" s="2757"/>
      <c r="D131" s="2758">
        <v>0</v>
      </c>
      <c r="E131" s="2758">
        <v>0</v>
      </c>
      <c r="F131" s="2758">
        <v>0</v>
      </c>
      <c r="G131" s="2758">
        <v>0</v>
      </c>
      <c r="H131" s="2758">
        <v>0</v>
      </c>
      <c r="I131" s="2758">
        <f t="shared" ref="I131" si="33">SUM(I128:I130)</f>
        <v>0</v>
      </c>
      <c r="J131" s="2759">
        <f t="shared" si="17"/>
        <v>0</v>
      </c>
      <c r="K131" s="285">
        <f>'Výdaje kapitol celkem'!CT22</f>
        <v>0</v>
      </c>
      <c r="L131" s="2760">
        <f>+K131-I131</f>
        <v>0</v>
      </c>
      <c r="M131" s="329"/>
    </row>
    <row r="132" spans="1:13" ht="18" hidden="1" customHeight="1" outlineLevel="1">
      <c r="A132" s="2785" t="s">
        <v>196</v>
      </c>
      <c r="B132" s="2786">
        <v>5139</v>
      </c>
      <c r="C132" s="2765"/>
      <c r="D132" s="2766"/>
      <c r="E132" s="2766"/>
      <c r="F132" s="2766"/>
      <c r="G132" s="2766"/>
      <c r="H132" s="2766"/>
      <c r="I132" s="2766"/>
      <c r="J132" s="2756">
        <f t="shared" si="17"/>
        <v>0</v>
      </c>
      <c r="K132" s="2741"/>
      <c r="L132" s="2760"/>
      <c r="M132" s="329"/>
    </row>
    <row r="133" spans="1:13" ht="18" hidden="1" customHeight="1" outlineLevel="1">
      <c r="A133" s="2787" t="s">
        <v>196</v>
      </c>
      <c r="B133" s="2788">
        <v>5139</v>
      </c>
      <c r="C133" s="2769"/>
      <c r="D133" s="2790"/>
      <c r="E133" s="2790"/>
      <c r="F133" s="2790"/>
      <c r="G133" s="2790"/>
      <c r="H133" s="2790"/>
      <c r="I133" s="2790"/>
      <c r="J133" s="2772">
        <f t="shared" si="17"/>
        <v>0</v>
      </c>
      <c r="K133" s="2741"/>
      <c r="L133" s="2760"/>
      <c r="M133" s="329"/>
    </row>
    <row r="134" spans="1:13" ht="18" customHeight="1" collapsed="1" thickBot="1">
      <c r="A134" s="3209" t="s">
        <v>685</v>
      </c>
      <c r="B134" s="3210"/>
      <c r="C134" s="2757"/>
      <c r="D134" s="2758">
        <v>0</v>
      </c>
      <c r="E134" s="2758">
        <v>0</v>
      </c>
      <c r="F134" s="2758">
        <v>0</v>
      </c>
      <c r="G134" s="2758">
        <v>0</v>
      </c>
      <c r="H134" s="2758">
        <v>0</v>
      </c>
      <c r="I134" s="2758">
        <f t="shared" ref="I134" si="34">SUM(I132:I133)</f>
        <v>0</v>
      </c>
      <c r="J134" s="2759">
        <f t="shared" ref="J134:J163" si="35">+I134-H134</f>
        <v>0</v>
      </c>
      <c r="K134" s="285">
        <f>'Výdaje kapitol celkem'!CQ22</f>
        <v>0</v>
      </c>
      <c r="L134" s="2760">
        <f>+K134-I134</f>
        <v>0</v>
      </c>
      <c r="M134" s="329"/>
    </row>
    <row r="135" spans="1:13" ht="18" hidden="1" customHeight="1" outlineLevel="1">
      <c r="A135" s="2747" t="s">
        <v>500</v>
      </c>
      <c r="B135" s="2748">
        <v>5139</v>
      </c>
      <c r="C135" s="2749"/>
      <c r="D135" s="2750"/>
      <c r="E135" s="2750"/>
      <c r="F135" s="2750"/>
      <c r="G135" s="2750"/>
      <c r="H135" s="2750"/>
      <c r="I135" s="2750"/>
      <c r="J135" s="2751">
        <f t="shared" si="35"/>
        <v>0</v>
      </c>
      <c r="K135" s="2741"/>
      <c r="L135" s="2760"/>
      <c r="M135" s="329"/>
    </row>
    <row r="136" spans="1:13" ht="18" hidden="1" customHeight="1" outlineLevel="1">
      <c r="A136" s="2785" t="s">
        <v>500</v>
      </c>
      <c r="B136" s="2786">
        <v>5139</v>
      </c>
      <c r="C136" s="2765"/>
      <c r="D136" s="2792"/>
      <c r="E136" s="2792"/>
      <c r="F136" s="2792"/>
      <c r="G136" s="2792"/>
      <c r="H136" s="2792"/>
      <c r="I136" s="2792"/>
      <c r="J136" s="2761">
        <f t="shared" si="35"/>
        <v>0</v>
      </c>
      <c r="K136" s="2741"/>
      <c r="L136" s="2760"/>
      <c r="M136" s="329"/>
    </row>
    <row r="137" spans="1:13" ht="18" customHeight="1" collapsed="1" thickBot="1">
      <c r="A137" s="3209" t="s">
        <v>1212</v>
      </c>
      <c r="B137" s="3210"/>
      <c r="C137" s="2757"/>
      <c r="D137" s="2758">
        <v>0</v>
      </c>
      <c r="E137" s="2758">
        <v>0</v>
      </c>
      <c r="F137" s="2758">
        <v>0</v>
      </c>
      <c r="G137" s="2758">
        <v>0</v>
      </c>
      <c r="H137" s="2758">
        <v>0</v>
      </c>
      <c r="I137" s="2758">
        <f t="shared" ref="I137" si="36">SUM(I135:I136)</f>
        <v>0</v>
      </c>
      <c r="J137" s="2759">
        <f t="shared" si="35"/>
        <v>0</v>
      </c>
      <c r="K137" s="285">
        <f>'Výdaje kapitol celkem'!DA22</f>
        <v>0</v>
      </c>
      <c r="L137" s="2760">
        <f>+K137-I137</f>
        <v>0</v>
      </c>
      <c r="M137" s="329"/>
    </row>
    <row r="138" spans="1:13" ht="18" hidden="1" customHeight="1" outlineLevel="1">
      <c r="A138" s="2747" t="s">
        <v>181</v>
      </c>
      <c r="B138" s="2748">
        <v>5139</v>
      </c>
      <c r="C138" s="2749"/>
      <c r="D138" s="2750"/>
      <c r="E138" s="2750"/>
      <c r="F138" s="2750"/>
      <c r="G138" s="2750"/>
      <c r="H138" s="2750"/>
      <c r="I138" s="2750"/>
      <c r="J138" s="2751">
        <f t="shared" si="35"/>
        <v>0</v>
      </c>
      <c r="K138" s="2741"/>
      <c r="L138" s="2760"/>
      <c r="M138" s="329"/>
    </row>
    <row r="139" spans="1:13" ht="18" hidden="1" customHeight="1" outlineLevel="1">
      <c r="A139" s="2768" t="s">
        <v>181</v>
      </c>
      <c r="B139" s="2764">
        <v>5139</v>
      </c>
      <c r="C139" s="2769"/>
      <c r="D139" s="2773"/>
      <c r="E139" s="2773"/>
      <c r="F139" s="2773"/>
      <c r="G139" s="2773"/>
      <c r="H139" s="2773"/>
      <c r="I139" s="2773"/>
      <c r="J139" s="2772">
        <f t="shared" si="35"/>
        <v>0</v>
      </c>
      <c r="K139" s="2741"/>
      <c r="L139" s="2760"/>
      <c r="M139" s="329"/>
    </row>
    <row r="140" spans="1:13" ht="18" hidden="1" customHeight="1" outlineLevel="1">
      <c r="A140" s="2785" t="s">
        <v>181</v>
      </c>
      <c r="B140" s="2786">
        <v>5139</v>
      </c>
      <c r="C140" s="2765"/>
      <c r="D140" s="2792"/>
      <c r="E140" s="2792"/>
      <c r="F140" s="2792"/>
      <c r="G140" s="2792"/>
      <c r="H140" s="2792"/>
      <c r="I140" s="2792"/>
      <c r="J140" s="2761">
        <f t="shared" si="35"/>
        <v>0</v>
      </c>
      <c r="K140" s="2741"/>
      <c r="L140" s="2760"/>
      <c r="M140" s="329"/>
    </row>
    <row r="141" spans="1:13" ht="18" customHeight="1" collapsed="1" thickBot="1">
      <c r="A141" s="3209" t="s">
        <v>1213</v>
      </c>
      <c r="B141" s="3210"/>
      <c r="C141" s="2757"/>
      <c r="D141" s="2758">
        <v>0</v>
      </c>
      <c r="E141" s="2758">
        <v>0</v>
      </c>
      <c r="F141" s="2758">
        <v>0</v>
      </c>
      <c r="G141" s="2758">
        <v>0</v>
      </c>
      <c r="H141" s="2758">
        <v>0</v>
      </c>
      <c r="I141" s="2758">
        <f t="shared" ref="I141" si="37">SUM(I138:I140)</f>
        <v>0</v>
      </c>
      <c r="J141" s="2759">
        <f t="shared" si="35"/>
        <v>0</v>
      </c>
      <c r="K141" s="285">
        <f>'Výdaje kapitol celkem'!DD22</f>
        <v>0</v>
      </c>
      <c r="L141" s="2760">
        <f>+K141-I141</f>
        <v>0</v>
      </c>
      <c r="M141" s="329"/>
    </row>
    <row r="142" spans="1:13" ht="18" hidden="1" customHeight="1" outlineLevel="1">
      <c r="A142" s="2747">
        <v>3729</v>
      </c>
      <c r="B142" s="2748">
        <v>5139</v>
      </c>
      <c r="C142" s="2749"/>
      <c r="D142" s="2750"/>
      <c r="E142" s="2750"/>
      <c r="F142" s="2750"/>
      <c r="G142" s="2750"/>
      <c r="H142" s="2750"/>
      <c r="I142" s="2750"/>
      <c r="J142" s="2751">
        <f t="shared" si="35"/>
        <v>0</v>
      </c>
      <c r="K142" s="2741"/>
      <c r="L142" s="2760"/>
      <c r="M142" s="329"/>
    </row>
    <row r="143" spans="1:13" ht="18" hidden="1" customHeight="1" outlineLevel="1">
      <c r="A143" s="2785">
        <v>3729</v>
      </c>
      <c r="B143" s="2786">
        <v>5139</v>
      </c>
      <c r="C143" s="2765"/>
      <c r="D143" s="2792"/>
      <c r="E143" s="2792"/>
      <c r="F143" s="2792"/>
      <c r="G143" s="2792"/>
      <c r="H143" s="2792"/>
      <c r="I143" s="2792"/>
      <c r="J143" s="2761">
        <f t="shared" si="35"/>
        <v>0</v>
      </c>
      <c r="K143" s="2741"/>
      <c r="L143" s="2760"/>
      <c r="M143" s="329"/>
    </row>
    <row r="144" spans="1:13" ht="18" customHeight="1" collapsed="1" thickBot="1">
      <c r="A144" s="3209" t="s">
        <v>1214</v>
      </c>
      <c r="B144" s="3210"/>
      <c r="C144" s="2757"/>
      <c r="D144" s="2758">
        <v>0</v>
      </c>
      <c r="E144" s="2758">
        <v>0</v>
      </c>
      <c r="F144" s="2758">
        <v>0</v>
      </c>
      <c r="G144" s="2758">
        <v>0</v>
      </c>
      <c r="H144" s="2758">
        <v>0</v>
      </c>
      <c r="I144" s="2758">
        <f t="shared" ref="I144" si="38">SUM(I142:I143)</f>
        <v>0</v>
      </c>
      <c r="J144" s="2759">
        <f t="shared" si="35"/>
        <v>0</v>
      </c>
      <c r="K144" s="285">
        <f>'Výdaje kapitol celkem'!DG22</f>
        <v>0</v>
      </c>
      <c r="L144" s="2760">
        <f>+K144-I144</f>
        <v>0</v>
      </c>
      <c r="M144" s="329"/>
    </row>
    <row r="145" spans="1:13" ht="18" hidden="1" customHeight="1" outlineLevel="1">
      <c r="A145" s="2747">
        <v>3744</v>
      </c>
      <c r="B145" s="2748">
        <v>5139</v>
      </c>
      <c r="C145" s="2749"/>
      <c r="D145" s="2750"/>
      <c r="E145" s="2750"/>
      <c r="F145" s="2750"/>
      <c r="G145" s="2750"/>
      <c r="H145" s="2750"/>
      <c r="I145" s="2750"/>
      <c r="J145" s="2751">
        <f t="shared" si="35"/>
        <v>0</v>
      </c>
      <c r="K145" s="2741"/>
      <c r="L145" s="2760"/>
      <c r="M145" s="329"/>
    </row>
    <row r="146" spans="1:13" ht="18" hidden="1" customHeight="1" outlineLevel="1">
      <c r="A146" s="2768">
        <v>3744</v>
      </c>
      <c r="B146" s="2764">
        <v>5139</v>
      </c>
      <c r="C146" s="2769"/>
      <c r="D146" s="2770"/>
      <c r="E146" s="2770"/>
      <c r="F146" s="2770"/>
      <c r="G146" s="2770"/>
      <c r="H146" s="2770"/>
      <c r="I146" s="2770"/>
      <c r="J146" s="2771">
        <f t="shared" si="35"/>
        <v>0</v>
      </c>
      <c r="K146" s="2741"/>
      <c r="L146" s="2760"/>
      <c r="M146" s="329"/>
    </row>
    <row r="147" spans="1:13" ht="18" hidden="1" customHeight="1" outlineLevel="1">
      <c r="A147" s="2785">
        <v>3744</v>
      </c>
      <c r="B147" s="2786">
        <v>5139</v>
      </c>
      <c r="C147" s="2765"/>
      <c r="D147" s="2792"/>
      <c r="E147" s="2792"/>
      <c r="F147" s="2792"/>
      <c r="G147" s="2792"/>
      <c r="H147" s="2792"/>
      <c r="I147" s="2792"/>
      <c r="J147" s="2761">
        <f t="shared" si="35"/>
        <v>0</v>
      </c>
      <c r="K147" s="2741"/>
      <c r="L147" s="2760"/>
      <c r="M147" s="329"/>
    </row>
    <row r="148" spans="1:13" ht="18" customHeight="1" collapsed="1" thickBot="1">
      <c r="A148" s="3209" t="s">
        <v>1196</v>
      </c>
      <c r="B148" s="3210"/>
      <c r="C148" s="2757"/>
      <c r="D148" s="2758">
        <v>0</v>
      </c>
      <c r="E148" s="2758">
        <v>0</v>
      </c>
      <c r="F148" s="2758">
        <v>0</v>
      </c>
      <c r="G148" s="2758">
        <v>0</v>
      </c>
      <c r="H148" s="2758">
        <v>0</v>
      </c>
      <c r="I148" s="2758">
        <f t="shared" ref="I148" si="39">SUM(I145:I147)</f>
        <v>0</v>
      </c>
      <c r="J148" s="2759">
        <f t="shared" si="35"/>
        <v>0</v>
      </c>
      <c r="K148" s="285">
        <f>'Výdaje kapitol celkem'!DJ22</f>
        <v>0</v>
      </c>
      <c r="L148" s="2760">
        <f>+K148-I148</f>
        <v>0</v>
      </c>
      <c r="M148" s="329"/>
    </row>
    <row r="149" spans="1:13" ht="18" hidden="1" customHeight="1" outlineLevel="1">
      <c r="A149" s="2747" t="s">
        <v>296</v>
      </c>
      <c r="B149" s="2748">
        <v>5139</v>
      </c>
      <c r="C149" s="2749"/>
      <c r="D149" s="2750"/>
      <c r="E149" s="2750"/>
      <c r="F149" s="2750"/>
      <c r="G149" s="2750"/>
      <c r="H149" s="2750"/>
      <c r="I149" s="2750"/>
      <c r="J149" s="2751">
        <f t="shared" si="35"/>
        <v>0</v>
      </c>
      <c r="K149" s="2741"/>
      <c r="L149" s="2760"/>
      <c r="M149" s="329"/>
    </row>
    <row r="150" spans="1:13" ht="18" hidden="1" customHeight="1" outlineLevel="1">
      <c r="A150" s="2785" t="s">
        <v>296</v>
      </c>
      <c r="B150" s="2786">
        <v>5139</v>
      </c>
      <c r="C150" s="2754"/>
      <c r="D150" s="2766"/>
      <c r="E150" s="2766"/>
      <c r="F150" s="2766"/>
      <c r="G150" s="2766"/>
      <c r="H150" s="2766"/>
      <c r="I150" s="2766"/>
      <c r="J150" s="2761">
        <f t="shared" si="35"/>
        <v>0</v>
      </c>
      <c r="K150" s="2741"/>
      <c r="L150" s="2760"/>
      <c r="M150" s="329"/>
    </row>
    <row r="151" spans="1:13" ht="18" customHeight="1" collapsed="1" thickBot="1">
      <c r="A151" s="3209" t="s">
        <v>1197</v>
      </c>
      <c r="B151" s="3210"/>
      <c r="C151" s="2757"/>
      <c r="D151" s="2758">
        <v>0</v>
      </c>
      <c r="E151" s="2758">
        <v>0</v>
      </c>
      <c r="F151" s="2758">
        <v>0</v>
      </c>
      <c r="G151" s="2758">
        <v>0</v>
      </c>
      <c r="H151" s="2758">
        <v>0</v>
      </c>
      <c r="I151" s="2758">
        <f t="shared" ref="I151" si="40">SUM(I149:I150)</f>
        <v>0</v>
      </c>
      <c r="J151" s="2759">
        <f t="shared" si="35"/>
        <v>0</v>
      </c>
      <c r="K151" s="285">
        <f>'Výdaje kapitol celkem'!DO22</f>
        <v>0</v>
      </c>
      <c r="L151" s="2760">
        <f>+K151-I151</f>
        <v>0</v>
      </c>
      <c r="M151" s="329"/>
    </row>
    <row r="152" spans="1:13" ht="18" hidden="1" customHeight="1" outlineLevel="1">
      <c r="A152" s="2747" t="s">
        <v>182</v>
      </c>
      <c r="B152" s="2748">
        <v>5139</v>
      </c>
      <c r="C152" s="2749"/>
      <c r="D152" s="2750"/>
      <c r="E152" s="2750"/>
      <c r="F152" s="2750"/>
      <c r="G152" s="2750"/>
      <c r="H152" s="2750"/>
      <c r="I152" s="2750"/>
      <c r="J152" s="2751">
        <f t="shared" si="35"/>
        <v>0</v>
      </c>
      <c r="K152" s="2741"/>
      <c r="L152" s="2760"/>
      <c r="M152" s="329"/>
    </row>
    <row r="153" spans="1:13" ht="18" hidden="1" customHeight="1" outlineLevel="1">
      <c r="A153" s="2785" t="s">
        <v>182</v>
      </c>
      <c r="B153" s="2786">
        <v>5139</v>
      </c>
      <c r="C153" s="2765"/>
      <c r="D153" s="2792"/>
      <c r="E153" s="2792"/>
      <c r="F153" s="2792"/>
      <c r="G153" s="2792"/>
      <c r="H153" s="2792"/>
      <c r="I153" s="2792"/>
      <c r="J153" s="2761">
        <f t="shared" si="35"/>
        <v>0</v>
      </c>
      <c r="K153" s="2741"/>
      <c r="L153" s="2760"/>
      <c r="M153" s="329"/>
    </row>
    <row r="154" spans="1:13" ht="18" customHeight="1" collapsed="1" thickBot="1">
      <c r="A154" s="3209" t="s">
        <v>1215</v>
      </c>
      <c r="B154" s="3210"/>
      <c r="C154" s="2757"/>
      <c r="D154" s="2758">
        <v>0</v>
      </c>
      <c r="E154" s="2758">
        <v>0</v>
      </c>
      <c r="F154" s="2758">
        <v>0</v>
      </c>
      <c r="G154" s="2758">
        <v>0</v>
      </c>
      <c r="H154" s="2758">
        <v>0</v>
      </c>
      <c r="I154" s="2758">
        <f t="shared" ref="I154" si="41">SUM(I152:I153)</f>
        <v>0</v>
      </c>
      <c r="J154" s="2759">
        <f t="shared" si="35"/>
        <v>0</v>
      </c>
      <c r="K154" s="285">
        <f>'Výdaje kapitol celkem'!DV22</f>
        <v>0</v>
      </c>
      <c r="L154" s="2760">
        <f>+K154-I154</f>
        <v>0</v>
      </c>
      <c r="M154" s="329"/>
    </row>
    <row r="155" spans="1:13" ht="18" customHeight="1" outlineLevel="1">
      <c r="A155" s="2747">
        <v>3114</v>
      </c>
      <c r="B155" s="2748">
        <v>5139</v>
      </c>
      <c r="C155" s="2749" t="s">
        <v>2252</v>
      </c>
      <c r="D155" s="2750">
        <v>30000</v>
      </c>
      <c r="E155" s="2750">
        <v>30000</v>
      </c>
      <c r="F155" s="2750">
        <v>30000</v>
      </c>
      <c r="G155" s="2750">
        <v>30000</v>
      </c>
      <c r="H155" s="2750">
        <v>30000</v>
      </c>
      <c r="I155" s="2750">
        <f>+[2]č.p.65!$B$12</f>
        <v>30000</v>
      </c>
      <c r="J155" s="2751">
        <f t="shared" si="35"/>
        <v>0</v>
      </c>
      <c r="K155" s="2741"/>
      <c r="L155" s="2760"/>
      <c r="M155" s="329"/>
    </row>
    <row r="156" spans="1:13" ht="18" customHeight="1" outlineLevel="1">
      <c r="A156" s="2768">
        <v>3114</v>
      </c>
      <c r="B156" s="2764">
        <v>5139</v>
      </c>
      <c r="C156" s="2769"/>
      <c r="D156" s="2770">
        <v>0</v>
      </c>
      <c r="E156" s="2770">
        <v>0</v>
      </c>
      <c r="F156" s="2770">
        <v>0</v>
      </c>
      <c r="G156" s="2770">
        <v>0</v>
      </c>
      <c r="H156" s="2770">
        <v>0</v>
      </c>
      <c r="I156" s="2770">
        <f>+[2]č.p.65!$B$13</f>
        <v>0</v>
      </c>
      <c r="J156" s="2772">
        <f t="shared" si="35"/>
        <v>0</v>
      </c>
      <c r="K156" s="2741"/>
      <c r="L156" s="2760"/>
      <c r="M156" s="329"/>
    </row>
    <row r="157" spans="1:13" ht="18" customHeight="1" outlineLevel="1">
      <c r="A157" s="2785">
        <v>3114</v>
      </c>
      <c r="B157" s="2786">
        <v>5139</v>
      </c>
      <c r="C157" s="2765"/>
      <c r="D157" s="2766"/>
      <c r="E157" s="2766"/>
      <c r="F157" s="2766"/>
      <c r="G157" s="2766"/>
      <c r="H157" s="2766"/>
      <c r="I157" s="2766"/>
      <c r="J157" s="2772">
        <f t="shared" si="35"/>
        <v>0</v>
      </c>
      <c r="K157" s="2741"/>
      <c r="L157" s="2760"/>
      <c r="M157" s="329"/>
    </row>
    <row r="158" spans="1:13" ht="18" customHeight="1" thickBot="1">
      <c r="A158" s="3209" t="s">
        <v>212</v>
      </c>
      <c r="B158" s="3210"/>
      <c r="C158" s="2757"/>
      <c r="D158" s="2758">
        <v>30000</v>
      </c>
      <c r="E158" s="2758">
        <v>30000</v>
      </c>
      <c r="F158" s="2758">
        <v>30000</v>
      </c>
      <c r="G158" s="2758">
        <v>30000</v>
      </c>
      <c r="H158" s="2758">
        <v>30000</v>
      </c>
      <c r="I158" s="2758">
        <f t="shared" ref="I158" si="42">SUM(I155:I157)</f>
        <v>30000</v>
      </c>
      <c r="J158" s="2759">
        <f t="shared" si="35"/>
        <v>0</v>
      </c>
      <c r="K158" s="285">
        <f>'Výdaje kapitol celkem'!BJ22</f>
        <v>30000</v>
      </c>
      <c r="L158" s="2760">
        <f>+K158-I158</f>
        <v>0</v>
      </c>
      <c r="M158" s="329"/>
    </row>
    <row r="159" spans="1:13" ht="18" hidden="1" customHeight="1" outlineLevel="1">
      <c r="A159" s="2747" t="s">
        <v>198</v>
      </c>
      <c r="B159" s="2748">
        <v>5139</v>
      </c>
      <c r="C159" s="2749"/>
      <c r="D159" s="2750"/>
      <c r="E159" s="2750"/>
      <c r="F159" s="2750"/>
      <c r="G159" s="2750"/>
      <c r="H159" s="2750"/>
      <c r="I159" s="2750"/>
      <c r="J159" s="2751">
        <f t="shared" si="35"/>
        <v>0</v>
      </c>
      <c r="K159" s="2741"/>
      <c r="L159" s="2760"/>
      <c r="M159" s="329"/>
    </row>
    <row r="160" spans="1:13" ht="18" hidden="1" customHeight="1" outlineLevel="1">
      <c r="A160" s="2768" t="s">
        <v>198</v>
      </c>
      <c r="B160" s="2764">
        <v>5139</v>
      </c>
      <c r="C160" s="2769"/>
      <c r="D160" s="2770"/>
      <c r="E160" s="2770"/>
      <c r="F160" s="2770"/>
      <c r="G160" s="2770"/>
      <c r="H160" s="2770"/>
      <c r="I160" s="2770"/>
      <c r="J160" s="2771">
        <f t="shared" si="35"/>
        <v>0</v>
      </c>
      <c r="K160" s="2741"/>
      <c r="L160" s="2760"/>
      <c r="M160" s="329"/>
    </row>
    <row r="161" spans="1:13" ht="18" hidden="1" customHeight="1" outlineLevel="1">
      <c r="A161" s="2752" t="s">
        <v>198</v>
      </c>
      <c r="B161" s="2753">
        <v>5139</v>
      </c>
      <c r="C161" s="2754"/>
      <c r="D161" s="2762"/>
      <c r="E161" s="2762"/>
      <c r="F161" s="2762"/>
      <c r="G161" s="2762"/>
      <c r="H161" s="2762"/>
      <c r="I161" s="2762"/>
      <c r="J161" s="2761">
        <f t="shared" si="35"/>
        <v>0</v>
      </c>
      <c r="K161" s="2741"/>
      <c r="L161" s="2760"/>
      <c r="M161" s="329"/>
    </row>
    <row r="162" spans="1:13" ht="18" customHeight="1" collapsed="1" thickBot="1">
      <c r="A162" s="3209" t="s">
        <v>1216</v>
      </c>
      <c r="B162" s="3210"/>
      <c r="C162" s="2757"/>
      <c r="D162" s="2758">
        <v>0</v>
      </c>
      <c r="E162" s="2758">
        <v>0</v>
      </c>
      <c r="F162" s="2758">
        <v>0</v>
      </c>
      <c r="G162" s="2758">
        <v>0</v>
      </c>
      <c r="H162" s="2758">
        <v>0</v>
      </c>
      <c r="I162" s="2758">
        <f t="shared" ref="I162" si="43">SUM(I159:I161)</f>
        <v>0</v>
      </c>
      <c r="J162" s="2759">
        <f t="shared" si="35"/>
        <v>0</v>
      </c>
      <c r="K162" s="285">
        <f>'Výdaje kapitol celkem'!CN22</f>
        <v>0</v>
      </c>
      <c r="L162" s="2760">
        <f>+K162-I162</f>
        <v>0</v>
      </c>
      <c r="M162" s="329"/>
    </row>
    <row r="163" spans="1:13" s="281" customFormat="1" ht="16.5" thickBot="1">
      <c r="A163" s="3207" t="s">
        <v>731</v>
      </c>
      <c r="B163" s="3208"/>
      <c r="C163" s="3208"/>
      <c r="D163" s="2774">
        <v>3866000</v>
      </c>
      <c r="E163" s="2774">
        <v>3866000</v>
      </c>
      <c r="F163" s="2774">
        <v>3866000</v>
      </c>
      <c r="G163" s="2774">
        <v>3866000</v>
      </c>
      <c r="H163" s="2774">
        <v>3866000</v>
      </c>
      <c r="I163" s="2774">
        <f>+I7+I10+I18+I21+I24+I27+I30+I35+I37+I41+I44+I48+I54+I60+I63+I72+I76+I79+I84+I87+I90+I93+I97+I100+I103+I106+I113+I116+I119+I123+I127+I131+I134+I137+I141+I144+I148+I151+I154+I158+I162+I14+I68+I51</f>
        <v>3866000</v>
      </c>
      <c r="J163" s="2775">
        <f t="shared" si="35"/>
        <v>0</v>
      </c>
      <c r="K163" s="2741"/>
      <c r="L163" s="283"/>
      <c r="M163" s="329"/>
    </row>
    <row r="164" spans="1:13">
      <c r="A164" s="109"/>
      <c r="B164" s="109"/>
      <c r="C164" s="109"/>
      <c r="D164" s="190">
        <v>3866000</v>
      </c>
      <c r="E164" s="190">
        <v>3866000</v>
      </c>
      <c r="F164" s="190">
        <v>3866000</v>
      </c>
      <c r="G164" s="190">
        <v>3866000</v>
      </c>
      <c r="H164" s="190">
        <v>3866000</v>
      </c>
      <c r="I164" s="190">
        <f>'Výdaje kapitol celkem'!I22</f>
        <v>3866000</v>
      </c>
      <c r="J164" s="284"/>
      <c r="K164" s="2741"/>
      <c r="L164" s="1916"/>
    </row>
    <row r="165" spans="1:13" s="323" customFormat="1">
      <c r="A165" s="180"/>
      <c r="B165" s="180"/>
      <c r="C165" s="180" t="s">
        <v>217</v>
      </c>
      <c r="D165" s="180">
        <v>0</v>
      </c>
      <c r="E165" s="180">
        <v>0</v>
      </c>
      <c r="F165" s="180">
        <v>0</v>
      </c>
      <c r="G165" s="180">
        <v>0</v>
      </c>
      <c r="H165" s="180">
        <v>0</v>
      </c>
      <c r="I165" s="284">
        <f>+I164-I163</f>
        <v>0</v>
      </c>
      <c r="J165" s="284"/>
      <c r="K165" s="2741"/>
      <c r="L165" s="1916"/>
    </row>
    <row r="166" spans="1:13">
      <c r="A166" s="2723" t="s">
        <v>545</v>
      </c>
      <c r="B166" s="109"/>
      <c r="C166" s="109"/>
      <c r="D166" s="109"/>
      <c r="E166" s="109"/>
      <c r="F166" s="109"/>
      <c r="G166" s="109"/>
      <c r="H166" s="109"/>
      <c r="I166" s="190"/>
      <c r="J166" s="284"/>
      <c r="K166" s="2741"/>
      <c r="L166" s="1916"/>
    </row>
  </sheetData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  <mergeCell ref="A113:B113"/>
    <mergeCell ref="A106:B106"/>
    <mergeCell ref="A103:B103"/>
    <mergeCell ref="A100:B100"/>
    <mergeCell ref="A97:B97"/>
    <mergeCell ref="A93:B93"/>
    <mergeCell ref="A90:B90"/>
    <mergeCell ref="A87:B87"/>
    <mergeCell ref="A84:B84"/>
    <mergeCell ref="A79:B79"/>
    <mergeCell ref="A76:B76"/>
    <mergeCell ref="A72:B72"/>
    <mergeCell ref="A68:B68"/>
    <mergeCell ref="A63:B63"/>
    <mergeCell ref="A60:B60"/>
    <mergeCell ref="A54:B54"/>
    <mergeCell ref="A48:B48"/>
    <mergeCell ref="A44:B44"/>
    <mergeCell ref="A41:B41"/>
    <mergeCell ref="A37:B37"/>
    <mergeCell ref="A51:B51"/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081" t="s">
        <v>690</v>
      </c>
      <c r="D2" s="3082"/>
      <c r="E2" s="3082"/>
      <c r="F2" s="3082"/>
      <c r="G2" s="3082"/>
      <c r="H2" s="3082"/>
      <c r="I2" s="3082"/>
      <c r="J2" s="3082"/>
      <c r="K2" s="3082"/>
      <c r="L2" s="3082"/>
      <c r="M2" s="3082"/>
      <c r="N2" s="3082"/>
      <c r="O2" s="3082"/>
      <c r="P2" s="3082"/>
      <c r="Q2" s="3082"/>
      <c r="R2" s="3082"/>
      <c r="S2" s="3083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1448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9"/>
  <sheetViews>
    <sheetView workbookViewId="0">
      <selection activeCell="J6" sqref="J6:J36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7" style="316" hidden="1" customWidth="1"/>
    <col min="5" max="6" width="12.265625" style="316" hidden="1" customWidth="1"/>
    <col min="7" max="8" width="12.265625" style="316" customWidth="1"/>
    <col min="9" max="9" width="12.265625" style="318" bestFit="1" customWidth="1"/>
    <col min="10" max="10" width="10.73046875" style="319" customWidth="1"/>
    <col min="11" max="11" width="12.86328125" style="2778" bestFit="1" customWidth="1"/>
    <col min="12" max="12" width="11.265625" style="2779" bestFit="1" customWidth="1"/>
    <col min="13" max="16384" width="9" style="316"/>
  </cols>
  <sheetData>
    <row r="1" spans="1:13" s="2735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20.25" customHeight="1">
      <c r="A2" s="3211" t="s">
        <v>1166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44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/>
      <c r="L4" s="1916" t="s">
        <v>707</v>
      </c>
    </row>
    <row r="5" spans="1:13" ht="15.75" customHeight="1" outlineLevel="1">
      <c r="A5" s="2747">
        <v>6171</v>
      </c>
      <c r="B5" s="2748">
        <v>5153</v>
      </c>
      <c r="C5" s="2749"/>
      <c r="D5" s="2750">
        <v>0</v>
      </c>
      <c r="E5" s="2750">
        <v>0</v>
      </c>
      <c r="F5" s="2750">
        <v>0</v>
      </c>
      <c r="G5" s="2750">
        <v>0</v>
      </c>
      <c r="H5" s="2750">
        <v>0</v>
      </c>
      <c r="I5" s="2750">
        <f>+[6]Správa!$B$12</f>
        <v>0</v>
      </c>
      <c r="J5" s="2751">
        <f>+I5-H5</f>
        <v>0</v>
      </c>
      <c r="K5" s="2741"/>
      <c r="L5" s="1916"/>
    </row>
    <row r="6" spans="1:13" ht="15.75" customHeight="1" outlineLevel="1">
      <c r="A6" s="2752">
        <v>6171</v>
      </c>
      <c r="B6" s="2753">
        <v>5153</v>
      </c>
      <c r="C6" s="2754"/>
      <c r="D6" s="2755">
        <v>682500</v>
      </c>
      <c r="E6" s="2755">
        <v>682500</v>
      </c>
      <c r="F6" s="2755">
        <v>682500</v>
      </c>
      <c r="G6" s="2755">
        <v>682500</v>
      </c>
      <c r="H6" s="2755">
        <v>682500</v>
      </c>
      <c r="I6" s="2755">
        <f>+[6]Správa!$B$13</f>
        <v>682500</v>
      </c>
      <c r="J6" s="2756">
        <f t="shared" ref="J6:J36" si="0">+I6-H6</f>
        <v>0</v>
      </c>
      <c r="K6" s="2741"/>
      <c r="L6" s="1916"/>
    </row>
    <row r="7" spans="1:13" ht="15.75" customHeight="1" outlineLevel="1">
      <c r="A7" s="2752">
        <v>6171</v>
      </c>
      <c r="B7" s="2753">
        <v>5153</v>
      </c>
      <c r="C7" s="2754"/>
      <c r="D7" s="2755"/>
      <c r="E7" s="2755"/>
      <c r="F7" s="2755"/>
      <c r="G7" s="2755"/>
      <c r="H7" s="2755"/>
      <c r="I7" s="2755"/>
      <c r="J7" s="2756">
        <f t="shared" si="0"/>
        <v>0</v>
      </c>
      <c r="K7" s="2741"/>
      <c r="L7" s="1916"/>
    </row>
    <row r="8" spans="1:13" s="432" customFormat="1" ht="16.5" customHeight="1" thickBot="1">
      <c r="A8" s="3209" t="s">
        <v>213</v>
      </c>
      <c r="B8" s="3210"/>
      <c r="C8" s="2757"/>
      <c r="D8" s="2758">
        <v>682500</v>
      </c>
      <c r="E8" s="2758">
        <v>682500</v>
      </c>
      <c r="F8" s="2758">
        <v>682500</v>
      </c>
      <c r="G8" s="2758">
        <v>682500</v>
      </c>
      <c r="H8" s="2758">
        <v>682500</v>
      </c>
      <c r="I8" s="2758">
        <f>SUM(I5:I7)</f>
        <v>682500</v>
      </c>
      <c r="J8" s="2759">
        <f t="shared" si="0"/>
        <v>0</v>
      </c>
      <c r="K8" s="285">
        <f>'Výdaje kapitol celkem'!R24</f>
        <v>682500</v>
      </c>
      <c r="L8" s="2760">
        <f>+K8-I8</f>
        <v>0</v>
      </c>
      <c r="M8" s="329"/>
    </row>
    <row r="9" spans="1:13" ht="15.75" customHeight="1" outlineLevel="1">
      <c r="A9" s="2747">
        <v>3314</v>
      </c>
      <c r="B9" s="2748">
        <v>5153</v>
      </c>
      <c r="C9" s="2749"/>
      <c r="D9" s="2750">
        <v>9750</v>
      </c>
      <c r="E9" s="2750">
        <v>9750</v>
      </c>
      <c r="F9" s="2750">
        <v>9750</v>
      </c>
      <c r="G9" s="2750">
        <v>9750</v>
      </c>
      <c r="H9" s="2750">
        <v>9750</v>
      </c>
      <c r="I9" s="2750">
        <f>+[6]Knihovna!$B$12</f>
        <v>9750</v>
      </c>
      <c r="J9" s="2751">
        <f t="shared" si="0"/>
        <v>0</v>
      </c>
      <c r="K9" s="2741"/>
      <c r="L9" s="2760"/>
      <c r="M9" s="329"/>
    </row>
    <row r="10" spans="1:13" ht="15.75" customHeight="1" outlineLevel="1">
      <c r="A10" s="2752">
        <v>3314</v>
      </c>
      <c r="B10" s="2753">
        <v>5153</v>
      </c>
      <c r="C10" s="2754"/>
      <c r="D10" s="2755">
        <v>0</v>
      </c>
      <c r="E10" s="2755">
        <v>0</v>
      </c>
      <c r="F10" s="2755">
        <v>0</v>
      </c>
      <c r="G10" s="2755">
        <v>0</v>
      </c>
      <c r="H10" s="2755">
        <v>0</v>
      </c>
      <c r="I10" s="2755">
        <f>+[6]Knihovna!$B$13</f>
        <v>0</v>
      </c>
      <c r="J10" s="2761">
        <f t="shared" si="0"/>
        <v>0</v>
      </c>
      <c r="K10" s="2741"/>
      <c r="L10" s="2760"/>
      <c r="M10" s="329"/>
    </row>
    <row r="11" spans="1:13" s="432" customFormat="1" ht="16.5" customHeight="1" thickBot="1">
      <c r="A11" s="3209" t="s">
        <v>1179</v>
      </c>
      <c r="B11" s="3210"/>
      <c r="C11" s="2757"/>
      <c r="D11" s="2758">
        <v>9750</v>
      </c>
      <c r="E11" s="2758">
        <v>9750</v>
      </c>
      <c r="F11" s="2758">
        <v>9750</v>
      </c>
      <c r="G11" s="2758">
        <v>9750</v>
      </c>
      <c r="H11" s="2758">
        <v>9750</v>
      </c>
      <c r="I11" s="2758">
        <f>SUM(I9:I10)</f>
        <v>9750</v>
      </c>
      <c r="J11" s="2759">
        <f t="shared" si="0"/>
        <v>0</v>
      </c>
      <c r="K11" s="285">
        <f>'Výdaje kapitol celkem'!AC24</f>
        <v>9750</v>
      </c>
      <c r="L11" s="2760">
        <f>+K11-I11</f>
        <v>0</v>
      </c>
      <c r="M11" s="329"/>
    </row>
    <row r="12" spans="1:13" ht="15.75" customHeight="1" outlineLevel="1">
      <c r="A12" s="2747">
        <v>3612</v>
      </c>
      <c r="B12" s="2748">
        <v>5153</v>
      </c>
      <c r="C12" s="2749"/>
      <c r="D12" s="2750">
        <v>234000</v>
      </c>
      <c r="E12" s="2750">
        <v>234000</v>
      </c>
      <c r="F12" s="2750">
        <v>234000</v>
      </c>
      <c r="G12" s="2750">
        <v>234000</v>
      </c>
      <c r="H12" s="2750">
        <v>234000</v>
      </c>
      <c r="I12" s="2750">
        <f>+[6]Byty!$B$12</f>
        <v>234000</v>
      </c>
      <c r="J12" s="2751">
        <f t="shared" si="0"/>
        <v>0</v>
      </c>
      <c r="K12" s="2741"/>
      <c r="L12" s="2760"/>
      <c r="M12" s="329"/>
    </row>
    <row r="13" spans="1:13" ht="15.75" customHeight="1" outlineLevel="1">
      <c r="A13" s="2752">
        <v>3612</v>
      </c>
      <c r="B13" s="2753">
        <v>5153</v>
      </c>
      <c r="C13" s="2754"/>
      <c r="D13" s="2755">
        <v>0</v>
      </c>
      <c r="E13" s="2755">
        <v>0</v>
      </c>
      <c r="F13" s="2755">
        <v>0</v>
      </c>
      <c r="G13" s="2755">
        <v>0</v>
      </c>
      <c r="H13" s="2755">
        <v>0</v>
      </c>
      <c r="I13" s="2755">
        <f>+[6]Byty!$B$13</f>
        <v>0</v>
      </c>
      <c r="J13" s="2756">
        <f t="shared" si="0"/>
        <v>0</v>
      </c>
      <c r="K13" s="2741"/>
      <c r="L13" s="2760"/>
      <c r="M13" s="329"/>
    </row>
    <row r="14" spans="1:13" s="432" customFormat="1" ht="16.5" customHeight="1" thickBot="1">
      <c r="A14" s="3209" t="s">
        <v>200</v>
      </c>
      <c r="B14" s="3210"/>
      <c r="C14" s="2757"/>
      <c r="D14" s="2758">
        <v>234000</v>
      </c>
      <c r="E14" s="2758">
        <v>234000</v>
      </c>
      <c r="F14" s="2758">
        <v>234000</v>
      </c>
      <c r="G14" s="2758">
        <v>234000</v>
      </c>
      <c r="H14" s="2758">
        <v>234000</v>
      </c>
      <c r="I14" s="2758">
        <f>SUM(I12:I13)</f>
        <v>234000</v>
      </c>
      <c r="J14" s="2759">
        <f t="shared" si="0"/>
        <v>0</v>
      </c>
      <c r="K14" s="285">
        <f>'Výdaje kapitol celkem'!AF24</f>
        <v>234000</v>
      </c>
      <c r="L14" s="2760">
        <f>+K14-I14</f>
        <v>0</v>
      </c>
      <c r="M14" s="329"/>
    </row>
    <row r="15" spans="1:13" ht="16.5" customHeight="1" outlineLevel="1">
      <c r="A15" s="2768" t="s">
        <v>199</v>
      </c>
      <c r="B15" s="2764">
        <v>5153</v>
      </c>
      <c r="C15" s="2769"/>
      <c r="D15" s="2770">
        <v>1815000</v>
      </c>
      <c r="E15" s="2770">
        <v>1815000</v>
      </c>
      <c r="F15" s="2770">
        <v>1815000</v>
      </c>
      <c r="G15" s="2770">
        <v>1815000</v>
      </c>
      <c r="H15" s="2770">
        <v>1815000</v>
      </c>
      <c r="I15" s="2770">
        <f>+[6]DPS!$B$12</f>
        <v>1815000</v>
      </c>
      <c r="J15" s="2771">
        <f t="shared" si="0"/>
        <v>0</v>
      </c>
      <c r="K15" s="2741"/>
      <c r="L15" s="2760"/>
      <c r="M15" s="329"/>
    </row>
    <row r="16" spans="1:13" ht="16.5" customHeight="1" outlineLevel="1">
      <c r="A16" s="2768" t="s">
        <v>199</v>
      </c>
      <c r="B16" s="2764">
        <v>5153</v>
      </c>
      <c r="C16" s="2769"/>
      <c r="D16" s="2770">
        <v>0</v>
      </c>
      <c r="E16" s="2770">
        <v>0</v>
      </c>
      <c r="F16" s="2770">
        <v>0</v>
      </c>
      <c r="G16" s="2770">
        <v>0</v>
      </c>
      <c r="H16" s="2770">
        <v>0</v>
      </c>
      <c r="I16" s="2770">
        <f>+[6]DPS!$B$13</f>
        <v>0</v>
      </c>
      <c r="J16" s="2771">
        <f t="shared" si="0"/>
        <v>0</v>
      </c>
      <c r="K16" s="2741"/>
      <c r="L16" s="2760"/>
      <c r="M16" s="329"/>
    </row>
    <row r="17" spans="1:13" ht="16.5" customHeight="1" thickBot="1">
      <c r="A17" s="3209" t="s">
        <v>201</v>
      </c>
      <c r="B17" s="3210"/>
      <c r="C17" s="2757"/>
      <c r="D17" s="2758">
        <v>1815000</v>
      </c>
      <c r="E17" s="2758">
        <v>1815000</v>
      </c>
      <c r="F17" s="2758">
        <v>1815000</v>
      </c>
      <c r="G17" s="2758">
        <v>1815000</v>
      </c>
      <c r="H17" s="2758">
        <v>1815000</v>
      </c>
      <c r="I17" s="2758">
        <f>SUM(I15:I16)</f>
        <v>1815000</v>
      </c>
      <c r="J17" s="2759">
        <f t="shared" si="0"/>
        <v>0</v>
      </c>
      <c r="K17" s="285">
        <f>'Výdaje kapitol celkem'!AI24</f>
        <v>1815000</v>
      </c>
      <c r="L17" s="2760">
        <f>+K17-I17</f>
        <v>0</v>
      </c>
      <c r="M17" s="329"/>
    </row>
    <row r="18" spans="1:13" ht="17.25" customHeight="1" outlineLevel="1">
      <c r="A18" s="2752" t="s">
        <v>1255</v>
      </c>
      <c r="B18" s="2753">
        <v>5153</v>
      </c>
      <c r="C18" s="2754"/>
      <c r="D18" s="2755">
        <v>0</v>
      </c>
      <c r="E18" s="2755">
        <v>2240</v>
      </c>
      <c r="F18" s="2755">
        <v>2240</v>
      </c>
      <c r="G18" s="2755">
        <v>2240</v>
      </c>
      <c r="H18" s="2755">
        <v>2240</v>
      </c>
      <c r="I18" s="2755">
        <f>+'[6]Hotel Budka'!$B$12</f>
        <v>2240</v>
      </c>
      <c r="J18" s="2761">
        <f t="shared" si="0"/>
        <v>0</v>
      </c>
      <c r="K18" s="2741"/>
      <c r="L18" s="2760"/>
      <c r="M18" s="329"/>
    </row>
    <row r="19" spans="1:13" ht="16.5" customHeight="1" outlineLevel="1">
      <c r="A19" s="2768" t="s">
        <v>1255</v>
      </c>
      <c r="B19" s="2764">
        <v>5153</v>
      </c>
      <c r="C19" s="2769"/>
      <c r="D19" s="2770">
        <v>0</v>
      </c>
      <c r="E19" s="2770">
        <v>0</v>
      </c>
      <c r="F19" s="2770">
        <v>0</v>
      </c>
      <c r="G19" s="2770">
        <v>0</v>
      </c>
      <c r="H19" s="2770">
        <v>0</v>
      </c>
      <c r="I19" s="2770">
        <f>+'[6]Hotel Budka'!$B$13</f>
        <v>0</v>
      </c>
      <c r="J19" s="2772">
        <f t="shared" si="0"/>
        <v>0</v>
      </c>
      <c r="K19" s="2741"/>
      <c r="L19" s="2760"/>
      <c r="M19" s="329"/>
    </row>
    <row r="20" spans="1:13" ht="19.5" customHeight="1" thickBot="1">
      <c r="A20" s="3209" t="s">
        <v>1443</v>
      </c>
      <c r="B20" s="3210"/>
      <c r="C20" s="2757"/>
      <c r="D20" s="2758">
        <v>0</v>
      </c>
      <c r="E20" s="2758">
        <v>2240</v>
      </c>
      <c r="F20" s="2758">
        <v>2240</v>
      </c>
      <c r="G20" s="2758">
        <v>2240</v>
      </c>
      <c r="H20" s="2758">
        <v>2240</v>
      </c>
      <c r="I20" s="2758">
        <f>SUM(I18:I19)</f>
        <v>2240</v>
      </c>
      <c r="J20" s="2759">
        <f t="shared" si="0"/>
        <v>0</v>
      </c>
      <c r="K20" s="285">
        <f>'Výdaje kapitol celkem'!AB24</f>
        <v>2240</v>
      </c>
      <c r="L20" s="2760">
        <f>+K20-I20</f>
        <v>0</v>
      </c>
      <c r="M20" s="329"/>
    </row>
    <row r="21" spans="1:13" ht="16.5" customHeight="1" outlineLevel="1">
      <c r="A21" s="2752">
        <v>3613</v>
      </c>
      <c r="B21" s="2753">
        <v>5153</v>
      </c>
      <c r="C21" s="2754"/>
      <c r="D21" s="2755">
        <v>975000</v>
      </c>
      <c r="E21" s="2755">
        <v>975000</v>
      </c>
      <c r="F21" s="2755">
        <v>975000</v>
      </c>
      <c r="G21" s="2755">
        <v>975000</v>
      </c>
      <c r="H21" s="2755">
        <v>975000</v>
      </c>
      <c r="I21" s="2755">
        <f>+[6]Nebyty!$B$12</f>
        <v>975000</v>
      </c>
      <c r="J21" s="2761">
        <f t="shared" si="0"/>
        <v>0</v>
      </c>
      <c r="K21" s="2741"/>
      <c r="L21" s="2760"/>
      <c r="M21" s="329"/>
    </row>
    <row r="22" spans="1:13" ht="16.5" customHeight="1" outlineLevel="1">
      <c r="A22" s="2768">
        <v>3613</v>
      </c>
      <c r="B22" s="2764">
        <v>5153</v>
      </c>
      <c r="C22" s="2769"/>
      <c r="D22" s="2770">
        <v>0</v>
      </c>
      <c r="E22" s="2770">
        <v>0</v>
      </c>
      <c r="F22" s="2770">
        <v>0</v>
      </c>
      <c r="G22" s="2770">
        <v>0</v>
      </c>
      <c r="H22" s="2770">
        <v>0</v>
      </c>
      <c r="I22" s="2770">
        <f>+[6]Nebyty!$B$13</f>
        <v>0</v>
      </c>
      <c r="J22" s="2772">
        <f t="shared" si="0"/>
        <v>0</v>
      </c>
      <c r="K22" s="2741"/>
      <c r="L22" s="2760"/>
      <c r="M22" s="329"/>
    </row>
    <row r="23" spans="1:13" ht="19.5" customHeight="1" thickBot="1">
      <c r="A23" s="3209" t="s">
        <v>202</v>
      </c>
      <c r="B23" s="3210"/>
      <c r="C23" s="2757"/>
      <c r="D23" s="2758">
        <v>975000</v>
      </c>
      <c r="E23" s="2758">
        <v>975000</v>
      </c>
      <c r="F23" s="2758">
        <v>975000</v>
      </c>
      <c r="G23" s="2758">
        <v>975000</v>
      </c>
      <c r="H23" s="2758">
        <v>975000</v>
      </c>
      <c r="I23" s="2758">
        <f>SUM(I21:I22)</f>
        <v>975000</v>
      </c>
      <c r="J23" s="2759">
        <f t="shared" si="0"/>
        <v>0</v>
      </c>
      <c r="K23" s="285">
        <f>'Výdaje kapitol celkem'!AL24</f>
        <v>975000</v>
      </c>
      <c r="L23" s="2760">
        <f>+K23-I23</f>
        <v>0</v>
      </c>
      <c r="M23" s="329"/>
    </row>
    <row r="24" spans="1:13" ht="20.25" customHeight="1" outlineLevel="1">
      <c r="A24" s="2752">
        <v>5512</v>
      </c>
      <c r="B24" s="2753">
        <v>5153</v>
      </c>
      <c r="C24" s="2754"/>
      <c r="D24" s="2755">
        <v>123500</v>
      </c>
      <c r="E24" s="2755">
        <v>123500</v>
      </c>
      <c r="F24" s="2755">
        <v>123500</v>
      </c>
      <c r="G24" s="2755">
        <v>123500</v>
      </c>
      <c r="H24" s="2755">
        <v>123500</v>
      </c>
      <c r="I24" s="2755">
        <f>+[6]Hasiči!$B$12</f>
        <v>123500</v>
      </c>
      <c r="J24" s="2761">
        <f t="shared" si="0"/>
        <v>0</v>
      </c>
      <c r="K24" s="2741"/>
      <c r="L24" s="2760"/>
      <c r="M24" s="329"/>
    </row>
    <row r="25" spans="1:13" ht="20.25" customHeight="1" outlineLevel="1">
      <c r="A25" s="2752">
        <v>5512</v>
      </c>
      <c r="B25" s="2753">
        <v>5153</v>
      </c>
      <c r="C25" s="2754"/>
      <c r="D25" s="2755">
        <v>0</v>
      </c>
      <c r="E25" s="2755">
        <v>0</v>
      </c>
      <c r="F25" s="2755">
        <v>0</v>
      </c>
      <c r="G25" s="2755">
        <v>0</v>
      </c>
      <c r="H25" s="2755">
        <v>0</v>
      </c>
      <c r="I25" s="2755">
        <f>+[6]Hasiči!$B$13</f>
        <v>0</v>
      </c>
      <c r="J25" s="2761">
        <f t="shared" si="0"/>
        <v>0</v>
      </c>
      <c r="K25" s="2741"/>
      <c r="L25" s="2760"/>
      <c r="M25" s="329"/>
    </row>
    <row r="26" spans="1:13" ht="20.25" customHeight="1" thickBot="1">
      <c r="A26" s="3209" t="s">
        <v>203</v>
      </c>
      <c r="B26" s="3210"/>
      <c r="C26" s="2757"/>
      <c r="D26" s="2758">
        <v>123500</v>
      </c>
      <c r="E26" s="2758">
        <v>123500</v>
      </c>
      <c r="F26" s="2758">
        <v>123500</v>
      </c>
      <c r="G26" s="2758">
        <v>123500</v>
      </c>
      <c r="H26" s="2758">
        <v>123500</v>
      </c>
      <c r="I26" s="2758">
        <f>SUM(I24:I25)</f>
        <v>123500</v>
      </c>
      <c r="J26" s="2759">
        <f t="shared" si="0"/>
        <v>0</v>
      </c>
      <c r="K26" s="285">
        <f>'Výdaje kapitol celkem'!AO24</f>
        <v>123500</v>
      </c>
      <c r="L26" s="2760">
        <f>+K26-I26</f>
        <v>0</v>
      </c>
      <c r="M26" s="329"/>
    </row>
    <row r="27" spans="1:13" ht="20.25" hidden="1" customHeight="1" outlineLevel="1">
      <c r="A27" s="2747">
        <v>3113</v>
      </c>
      <c r="B27" s="2748">
        <v>5153</v>
      </c>
      <c r="C27" s="2749"/>
      <c r="D27" s="2750"/>
      <c r="E27" s="2750"/>
      <c r="F27" s="2750"/>
      <c r="G27" s="2750"/>
      <c r="H27" s="2750"/>
      <c r="I27" s="2750"/>
      <c r="J27" s="2751">
        <f t="shared" si="0"/>
        <v>0</v>
      </c>
      <c r="K27" s="2741"/>
      <c r="L27" s="2760"/>
      <c r="M27" s="329"/>
    </row>
    <row r="28" spans="1:13" ht="20.25" hidden="1" customHeight="1" outlineLevel="1">
      <c r="A28" s="2768">
        <v>3113</v>
      </c>
      <c r="B28" s="2764">
        <v>5153</v>
      </c>
      <c r="C28" s="2769"/>
      <c r="D28" s="2773"/>
      <c r="E28" s="2773"/>
      <c r="F28" s="2773"/>
      <c r="G28" s="2773"/>
      <c r="H28" s="2773"/>
      <c r="I28" s="2773"/>
      <c r="J28" s="2772">
        <f t="shared" si="0"/>
        <v>0</v>
      </c>
      <c r="K28" s="2741"/>
      <c r="L28" s="2760"/>
      <c r="M28" s="329"/>
    </row>
    <row r="29" spans="1:13" ht="20.25" customHeight="1" collapsed="1" thickBot="1">
      <c r="A29" s="3209" t="s">
        <v>1172</v>
      </c>
      <c r="B29" s="3210"/>
      <c r="C29" s="2757"/>
      <c r="D29" s="2758">
        <v>0</v>
      </c>
      <c r="E29" s="2758">
        <v>0</v>
      </c>
      <c r="F29" s="2758">
        <v>0</v>
      </c>
      <c r="G29" s="2758">
        <v>0</v>
      </c>
      <c r="H29" s="2758">
        <v>0</v>
      </c>
      <c r="I29" s="2758">
        <f>SUM(I27:I28)</f>
        <v>0</v>
      </c>
      <c r="J29" s="2759">
        <f t="shared" si="0"/>
        <v>0</v>
      </c>
      <c r="K29" s="285">
        <f>'Výdaje kapitol celkem'!BD24</f>
        <v>0</v>
      </c>
      <c r="L29" s="2760">
        <f>+K29-I29</f>
        <v>0</v>
      </c>
      <c r="M29" s="329"/>
    </row>
    <row r="30" spans="1:13" ht="20.25" hidden="1" customHeight="1" outlineLevel="1">
      <c r="A30" s="2747" t="s">
        <v>1543</v>
      </c>
      <c r="B30" s="2748">
        <v>5153</v>
      </c>
      <c r="C30" s="2749"/>
      <c r="D30" s="2750">
        <v>0</v>
      </c>
      <c r="E30" s="2750">
        <v>0</v>
      </c>
      <c r="F30" s="2750">
        <v>0</v>
      </c>
      <c r="G30" s="2750">
        <v>0</v>
      </c>
      <c r="H30" s="2750">
        <v>0</v>
      </c>
      <c r="I30" s="2750">
        <f>+[6]SŠ!$B$12</f>
        <v>0</v>
      </c>
      <c r="J30" s="2751">
        <f t="shared" si="0"/>
        <v>0</v>
      </c>
      <c r="K30" s="2741"/>
      <c r="L30" s="2760"/>
      <c r="M30" s="329"/>
    </row>
    <row r="31" spans="1:13" ht="20.25" hidden="1" customHeight="1" outlineLevel="1">
      <c r="A31" s="2768" t="s">
        <v>1543</v>
      </c>
      <c r="B31" s="2764">
        <v>5153</v>
      </c>
      <c r="C31" s="2769"/>
      <c r="D31" s="2773">
        <v>0</v>
      </c>
      <c r="E31" s="2773">
        <v>0</v>
      </c>
      <c r="F31" s="2773">
        <v>0</v>
      </c>
      <c r="G31" s="2773">
        <v>0</v>
      </c>
      <c r="H31" s="2773">
        <v>0</v>
      </c>
      <c r="I31" s="2773">
        <f>+[6]SŠ!$B$13</f>
        <v>0</v>
      </c>
      <c r="J31" s="2772">
        <f t="shared" si="0"/>
        <v>0</v>
      </c>
      <c r="K31" s="2741"/>
      <c r="L31" s="2760"/>
      <c r="M31" s="329"/>
    </row>
    <row r="32" spans="1:13" ht="20.25" customHeight="1" collapsed="1" thickBot="1">
      <c r="A32" s="3209" t="s">
        <v>1573</v>
      </c>
      <c r="B32" s="3210"/>
      <c r="C32" s="2757"/>
      <c r="D32" s="2758">
        <v>0</v>
      </c>
      <c r="E32" s="2758">
        <v>0</v>
      </c>
      <c r="F32" s="2758">
        <v>0</v>
      </c>
      <c r="G32" s="2758">
        <v>0</v>
      </c>
      <c r="H32" s="2758">
        <v>0</v>
      </c>
      <c r="I32" s="2758">
        <f>SUM(I30:I31)</f>
        <v>0</v>
      </c>
      <c r="J32" s="2759">
        <f t="shared" si="0"/>
        <v>0</v>
      </c>
      <c r="K32" s="285">
        <f>'Výdaje kapitol celkem'!BD27</f>
        <v>0</v>
      </c>
      <c r="L32" s="2760">
        <f>+K32-I32</f>
        <v>0</v>
      </c>
      <c r="M32" s="329"/>
    </row>
    <row r="33" spans="1:13" ht="20.25" customHeight="1" outlineLevel="1">
      <c r="A33" s="2747">
        <v>3114</v>
      </c>
      <c r="B33" s="2748">
        <v>5153</v>
      </c>
      <c r="C33" s="2749"/>
      <c r="D33" s="2750">
        <v>195000</v>
      </c>
      <c r="E33" s="2750">
        <v>195000</v>
      </c>
      <c r="F33" s="2750">
        <v>195000</v>
      </c>
      <c r="G33" s="2750">
        <v>195000</v>
      </c>
      <c r="H33" s="2750">
        <v>195000</v>
      </c>
      <c r="I33" s="2750">
        <f>+[6]č.p.65!$B$12</f>
        <v>195000</v>
      </c>
      <c r="J33" s="2751">
        <f t="shared" si="0"/>
        <v>0</v>
      </c>
      <c r="K33" s="2741"/>
      <c r="L33" s="2760"/>
      <c r="M33" s="329"/>
    </row>
    <row r="34" spans="1:13" ht="20.25" customHeight="1" outlineLevel="1">
      <c r="A34" s="2768">
        <v>3114</v>
      </c>
      <c r="B34" s="2764">
        <v>5153</v>
      </c>
      <c r="C34" s="2769"/>
      <c r="D34" s="2773">
        <v>0</v>
      </c>
      <c r="E34" s="2773">
        <v>0</v>
      </c>
      <c r="F34" s="2773">
        <v>0</v>
      </c>
      <c r="G34" s="2773">
        <v>0</v>
      </c>
      <c r="H34" s="2773">
        <v>0</v>
      </c>
      <c r="I34" s="2773">
        <f>+[6]č.p.65!$B$13</f>
        <v>0</v>
      </c>
      <c r="J34" s="2772">
        <f t="shared" si="0"/>
        <v>0</v>
      </c>
      <c r="K34" s="2741"/>
      <c r="L34" s="2760"/>
      <c r="M34" s="329"/>
    </row>
    <row r="35" spans="1:13" ht="20.25" customHeight="1" thickBot="1">
      <c r="A35" s="3209" t="s">
        <v>212</v>
      </c>
      <c r="B35" s="3210"/>
      <c r="C35" s="2757"/>
      <c r="D35" s="2758">
        <v>195000</v>
      </c>
      <c r="E35" s="2758">
        <v>195000</v>
      </c>
      <c r="F35" s="2758">
        <v>195000</v>
      </c>
      <c r="G35" s="2758">
        <v>195000</v>
      </c>
      <c r="H35" s="2758">
        <v>195000</v>
      </c>
      <c r="I35" s="2758">
        <f>SUM(I33:I34)</f>
        <v>195000</v>
      </c>
      <c r="J35" s="2759">
        <f t="shared" si="0"/>
        <v>0</v>
      </c>
      <c r="K35" s="285">
        <f>'Výdaje kapitol celkem'!BJ24</f>
        <v>195000</v>
      </c>
      <c r="L35" s="2760">
        <f>+K35-I35</f>
        <v>0</v>
      </c>
      <c r="M35" s="329"/>
    </row>
    <row r="36" spans="1:13" s="281" customFormat="1" ht="16.5" thickBot="1">
      <c r="A36" s="3207" t="s">
        <v>1171</v>
      </c>
      <c r="B36" s="3208"/>
      <c r="C36" s="3208"/>
      <c r="D36" s="2774">
        <v>4034750</v>
      </c>
      <c r="E36" s="2774">
        <v>4036990</v>
      </c>
      <c r="F36" s="2774">
        <v>4036990</v>
      </c>
      <c r="G36" s="2774">
        <v>4036990</v>
      </c>
      <c r="H36" s="2774">
        <v>4036990</v>
      </c>
      <c r="I36" s="2774">
        <f>+I35+I29+I26+I23+I17+I14+I11+I8+I20+I32</f>
        <v>4036990</v>
      </c>
      <c r="J36" s="2775">
        <f t="shared" si="0"/>
        <v>0</v>
      </c>
      <c r="K36" s="2776"/>
      <c r="L36" s="2777"/>
      <c r="M36" s="329"/>
    </row>
    <row r="37" spans="1:13">
      <c r="A37" s="109"/>
      <c r="B37" s="109"/>
      <c r="C37" s="109"/>
      <c r="D37" s="190">
        <v>4034750</v>
      </c>
      <c r="E37" s="190">
        <v>4036990</v>
      </c>
      <c r="F37" s="190">
        <v>4036990</v>
      </c>
      <c r="G37" s="190">
        <v>4036990</v>
      </c>
      <c r="H37" s="190">
        <v>4036990</v>
      </c>
      <c r="I37" s="190">
        <f>'Výdaje kapitol celkem'!I24</f>
        <v>4036990</v>
      </c>
      <c r="J37" s="284"/>
      <c r="K37" s="2741"/>
      <c r="L37" s="1916"/>
    </row>
    <row r="38" spans="1:13" s="323" customFormat="1">
      <c r="A38" s="180"/>
      <c r="B38" s="180"/>
      <c r="C38" s="180" t="s">
        <v>217</v>
      </c>
      <c r="D38" s="180">
        <v>0</v>
      </c>
      <c r="E38" s="180">
        <v>0</v>
      </c>
      <c r="F38" s="180">
        <v>0</v>
      </c>
      <c r="G38" s="180">
        <v>0</v>
      </c>
      <c r="H38" s="180">
        <v>0</v>
      </c>
      <c r="I38" s="284">
        <f>+I37-I36</f>
        <v>0</v>
      </c>
      <c r="J38" s="284"/>
      <c r="K38" s="2741"/>
      <c r="L38" s="1916"/>
    </row>
    <row r="39" spans="1:13">
      <c r="A39" s="2723" t="s">
        <v>545</v>
      </c>
      <c r="B39" s="109"/>
      <c r="C39" s="109"/>
      <c r="D39" s="109"/>
      <c r="E39" s="109"/>
      <c r="F39" s="109"/>
      <c r="G39" s="109"/>
      <c r="H39" s="109"/>
      <c r="I39" s="190"/>
      <c r="J39" s="284"/>
      <c r="K39" s="2741"/>
      <c r="L39" s="1916"/>
    </row>
  </sheetData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69"/>
  <sheetViews>
    <sheetView workbookViewId="0">
      <selection activeCell="A23" sqref="A23:B23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4" width="16" style="316" hidden="1" customWidth="1"/>
    <col min="5" max="6" width="13.265625" style="316" hidden="1" customWidth="1"/>
    <col min="7" max="8" width="13.265625" style="316" customWidth="1"/>
    <col min="9" max="9" width="13.265625" style="318" bestFit="1" customWidth="1"/>
    <col min="10" max="10" width="15" style="319" customWidth="1"/>
    <col min="11" max="11" width="11.73046875" style="2778" bestFit="1" customWidth="1"/>
    <col min="12" max="12" width="10.59765625" style="2779" bestFit="1" customWidth="1"/>
    <col min="13" max="16384" width="9" style="316"/>
  </cols>
  <sheetData>
    <row r="1" spans="1:13" s="2735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20.25" customHeight="1">
      <c r="A2" s="3211" t="s">
        <v>1167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44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/>
      <c r="L4" s="1916" t="s">
        <v>707</v>
      </c>
    </row>
    <row r="5" spans="1:13" ht="15.75" customHeight="1" outlineLevel="1">
      <c r="A5" s="2747">
        <v>6171</v>
      </c>
      <c r="B5" s="2748">
        <v>5154</v>
      </c>
      <c r="C5" s="2749"/>
      <c r="D5" s="2750">
        <v>292500</v>
      </c>
      <c r="E5" s="2750">
        <v>292500</v>
      </c>
      <c r="F5" s="2750">
        <v>292500</v>
      </c>
      <c r="G5" s="2750">
        <v>292500</v>
      </c>
      <c r="H5" s="2750">
        <v>292500</v>
      </c>
      <c r="I5" s="2750">
        <f>+[6]Správa!$B$19</f>
        <v>292500</v>
      </c>
      <c r="J5" s="2751">
        <f>+I5-H5</f>
        <v>0</v>
      </c>
      <c r="K5" s="2741"/>
      <c r="L5" s="1916"/>
    </row>
    <row r="6" spans="1:13" ht="15.75" customHeight="1" outlineLevel="1">
      <c r="A6" s="2752">
        <v>6171</v>
      </c>
      <c r="B6" s="2753">
        <v>5154</v>
      </c>
      <c r="C6" s="2754"/>
      <c r="D6" s="2755">
        <v>591500</v>
      </c>
      <c r="E6" s="2755">
        <v>591500</v>
      </c>
      <c r="F6" s="2755">
        <v>591500</v>
      </c>
      <c r="G6" s="2755">
        <v>591500</v>
      </c>
      <c r="H6" s="2755">
        <v>591500</v>
      </c>
      <c r="I6" s="2755">
        <f>+[6]Správa!$B$20</f>
        <v>591500</v>
      </c>
      <c r="J6" s="2756">
        <f t="shared" ref="J6:J66" si="0">+I6-H6</f>
        <v>0</v>
      </c>
      <c r="K6" s="2741"/>
      <c r="L6" s="1916"/>
    </row>
    <row r="7" spans="1:13" ht="15.75" customHeight="1" outlineLevel="1">
      <c r="A7" s="2752">
        <v>6171</v>
      </c>
      <c r="B7" s="2753">
        <v>5154</v>
      </c>
      <c r="C7" s="2754"/>
      <c r="D7" s="2755"/>
      <c r="E7" s="2755"/>
      <c r="F7" s="2755"/>
      <c r="G7" s="2755"/>
      <c r="H7" s="2755"/>
      <c r="I7" s="2755"/>
      <c r="J7" s="2756">
        <f t="shared" si="0"/>
        <v>0</v>
      </c>
      <c r="K7" s="2741"/>
      <c r="L7" s="1916"/>
    </row>
    <row r="8" spans="1:13" s="432" customFormat="1" ht="16.5" customHeight="1" thickBot="1">
      <c r="A8" s="3209" t="s">
        <v>213</v>
      </c>
      <c r="B8" s="3210"/>
      <c r="C8" s="2757"/>
      <c r="D8" s="2758">
        <v>884000</v>
      </c>
      <c r="E8" s="2758">
        <v>884000</v>
      </c>
      <c r="F8" s="2758">
        <v>884000</v>
      </c>
      <c r="G8" s="2758">
        <v>884000</v>
      </c>
      <c r="H8" s="2758">
        <v>884000</v>
      </c>
      <c r="I8" s="2758">
        <f>SUM(I5:I7)</f>
        <v>884000</v>
      </c>
      <c r="J8" s="2759">
        <f t="shared" si="0"/>
        <v>0</v>
      </c>
      <c r="K8" s="285">
        <f>'Výdaje kapitol celkem'!R25</f>
        <v>884000</v>
      </c>
      <c r="L8" s="2760">
        <f>+K8-I8</f>
        <v>0</v>
      </c>
      <c r="M8" s="329"/>
    </row>
    <row r="9" spans="1:13" ht="15.75" customHeight="1" outlineLevel="1">
      <c r="A9" s="2747">
        <v>3314</v>
      </c>
      <c r="B9" s="2748">
        <v>5154</v>
      </c>
      <c r="C9" s="2749"/>
      <c r="D9" s="2750">
        <v>230100</v>
      </c>
      <c r="E9" s="2750">
        <v>230100</v>
      </c>
      <c r="F9" s="2750">
        <v>230100</v>
      </c>
      <c r="G9" s="2750">
        <v>230100</v>
      </c>
      <c r="H9" s="2750">
        <v>230100</v>
      </c>
      <c r="I9" s="2750">
        <f>+[6]Knihovna!$B$19</f>
        <v>230100</v>
      </c>
      <c r="J9" s="2751">
        <f t="shared" si="0"/>
        <v>0</v>
      </c>
      <c r="K9" s="2741"/>
      <c r="L9" s="2760"/>
      <c r="M9" s="329"/>
    </row>
    <row r="10" spans="1:13" ht="15.75" customHeight="1" outlineLevel="1">
      <c r="A10" s="2752">
        <v>3314</v>
      </c>
      <c r="B10" s="2753">
        <v>5154</v>
      </c>
      <c r="C10" s="2754"/>
      <c r="D10" s="2755">
        <v>0</v>
      </c>
      <c r="E10" s="2755">
        <v>0</v>
      </c>
      <c r="F10" s="2755">
        <v>0</v>
      </c>
      <c r="G10" s="2755">
        <v>0</v>
      </c>
      <c r="H10" s="2755">
        <v>0</v>
      </c>
      <c r="I10" s="2755">
        <f>+[6]Knihovna!$B$20</f>
        <v>0</v>
      </c>
      <c r="J10" s="2761">
        <f t="shared" si="0"/>
        <v>0</v>
      </c>
      <c r="K10" s="2741"/>
      <c r="L10" s="2760"/>
      <c r="M10" s="329"/>
    </row>
    <row r="11" spans="1:13" s="432" customFormat="1" ht="16.5" customHeight="1" thickBot="1">
      <c r="A11" s="3209" t="s">
        <v>1179</v>
      </c>
      <c r="B11" s="3210"/>
      <c r="C11" s="2757"/>
      <c r="D11" s="2758">
        <v>230100</v>
      </c>
      <c r="E11" s="2758">
        <v>230100</v>
      </c>
      <c r="F11" s="2758">
        <v>230100</v>
      </c>
      <c r="G11" s="2758">
        <v>230100</v>
      </c>
      <c r="H11" s="2758">
        <v>230100</v>
      </c>
      <c r="I11" s="2758">
        <f>SUM(I9:I10)</f>
        <v>230100</v>
      </c>
      <c r="J11" s="2759">
        <f t="shared" si="0"/>
        <v>0</v>
      </c>
      <c r="K11" s="285">
        <f>'Výdaje kapitol celkem'!AC25</f>
        <v>230100</v>
      </c>
      <c r="L11" s="2760">
        <f>+K11-I11</f>
        <v>0</v>
      </c>
      <c r="M11" s="329"/>
    </row>
    <row r="12" spans="1:13" ht="15.75" customHeight="1" outlineLevel="1">
      <c r="A12" s="2747">
        <v>3612</v>
      </c>
      <c r="B12" s="2748">
        <v>5154</v>
      </c>
      <c r="C12" s="2749"/>
      <c r="D12" s="2750">
        <v>195000</v>
      </c>
      <c r="E12" s="2750">
        <v>195000</v>
      </c>
      <c r="F12" s="2750">
        <v>195000</v>
      </c>
      <c r="G12" s="2750">
        <v>195000</v>
      </c>
      <c r="H12" s="2750">
        <v>195000</v>
      </c>
      <c r="I12" s="2750">
        <f>+[6]Byty!$B$19</f>
        <v>195000</v>
      </c>
      <c r="J12" s="2751">
        <f t="shared" si="0"/>
        <v>0</v>
      </c>
      <c r="K12" s="2741"/>
      <c r="L12" s="2760"/>
      <c r="M12" s="329"/>
    </row>
    <row r="13" spans="1:13" ht="15.75" customHeight="1" outlineLevel="1">
      <c r="A13" s="2752">
        <v>3612</v>
      </c>
      <c r="B13" s="2753">
        <v>5154</v>
      </c>
      <c r="C13" s="2754"/>
      <c r="D13" s="2755">
        <v>0</v>
      </c>
      <c r="E13" s="2755">
        <v>0</v>
      </c>
      <c r="F13" s="2755">
        <v>0</v>
      </c>
      <c r="G13" s="2755">
        <v>0</v>
      </c>
      <c r="H13" s="2755">
        <v>0</v>
      </c>
      <c r="I13" s="2755">
        <f>+[6]Byty!$B$20</f>
        <v>0</v>
      </c>
      <c r="J13" s="2756">
        <f t="shared" si="0"/>
        <v>0</v>
      </c>
      <c r="K13" s="2741"/>
      <c r="L13" s="2760"/>
      <c r="M13" s="329"/>
    </row>
    <row r="14" spans="1:13" s="432" customFormat="1" ht="16.5" customHeight="1" thickBot="1">
      <c r="A14" s="3209" t="s">
        <v>200</v>
      </c>
      <c r="B14" s="3210"/>
      <c r="C14" s="2757"/>
      <c r="D14" s="2758">
        <v>195000</v>
      </c>
      <c r="E14" s="2758">
        <v>195000</v>
      </c>
      <c r="F14" s="2758">
        <v>195000</v>
      </c>
      <c r="G14" s="2758">
        <v>195000</v>
      </c>
      <c r="H14" s="2758">
        <v>195000</v>
      </c>
      <c r="I14" s="2758">
        <f>SUM(I12:I13)</f>
        <v>195000</v>
      </c>
      <c r="J14" s="2759">
        <f t="shared" si="0"/>
        <v>0</v>
      </c>
      <c r="K14" s="285">
        <f>'Výdaje kapitol celkem'!AF25</f>
        <v>195000</v>
      </c>
      <c r="L14" s="2760">
        <f>+K14-I14</f>
        <v>0</v>
      </c>
      <c r="M14" s="329"/>
    </row>
    <row r="15" spans="1:13" ht="16.5" customHeight="1" outlineLevel="1">
      <c r="A15" s="2768" t="s">
        <v>199</v>
      </c>
      <c r="B15" s="2764">
        <v>5154</v>
      </c>
      <c r="C15" s="2769"/>
      <c r="D15" s="2770">
        <v>585000</v>
      </c>
      <c r="E15" s="2770">
        <v>585000</v>
      </c>
      <c r="F15" s="2770">
        <v>585000</v>
      </c>
      <c r="G15" s="2770">
        <v>585000</v>
      </c>
      <c r="H15" s="2770">
        <v>585000</v>
      </c>
      <c r="I15" s="2770">
        <f>+[6]DPS!$B$19</f>
        <v>585000</v>
      </c>
      <c r="J15" s="2771">
        <f t="shared" si="0"/>
        <v>0</v>
      </c>
      <c r="K15" s="2741"/>
      <c r="L15" s="2760"/>
      <c r="M15" s="329"/>
    </row>
    <row r="16" spans="1:13" ht="16.5" customHeight="1" outlineLevel="1">
      <c r="A16" s="2768" t="s">
        <v>199</v>
      </c>
      <c r="B16" s="2764">
        <v>5154</v>
      </c>
      <c r="C16" s="2769"/>
      <c r="D16" s="2770">
        <v>0</v>
      </c>
      <c r="E16" s="2770">
        <v>0</v>
      </c>
      <c r="F16" s="2770">
        <v>0</v>
      </c>
      <c r="G16" s="2770">
        <v>0</v>
      </c>
      <c r="H16" s="2770">
        <v>0</v>
      </c>
      <c r="I16" s="2770">
        <f>+[6]DPS!$B$20</f>
        <v>0</v>
      </c>
      <c r="J16" s="2771">
        <f t="shared" si="0"/>
        <v>0</v>
      </c>
      <c r="K16" s="2741"/>
      <c r="L16" s="2760"/>
      <c r="M16" s="329"/>
    </row>
    <row r="17" spans="1:13" ht="16.5" customHeight="1" thickBot="1">
      <c r="A17" s="3209" t="s">
        <v>201</v>
      </c>
      <c r="B17" s="3210"/>
      <c r="C17" s="2757"/>
      <c r="D17" s="2758">
        <v>585000</v>
      </c>
      <c r="E17" s="2758">
        <v>585000</v>
      </c>
      <c r="F17" s="2758">
        <v>585000</v>
      </c>
      <c r="G17" s="2758">
        <v>585000</v>
      </c>
      <c r="H17" s="2758">
        <v>585000</v>
      </c>
      <c r="I17" s="2758">
        <f>SUM(I15:I16)</f>
        <v>585000</v>
      </c>
      <c r="J17" s="2759">
        <f t="shared" si="0"/>
        <v>0</v>
      </c>
      <c r="K17" s="285">
        <f>'Výdaje kapitol celkem'!AI25</f>
        <v>585000</v>
      </c>
      <c r="L17" s="2760">
        <f>+K17-I17</f>
        <v>0</v>
      </c>
      <c r="M17" s="329"/>
    </row>
    <row r="18" spans="1:13" ht="16.5" customHeight="1" outlineLevel="1">
      <c r="A18" s="2752">
        <v>3613</v>
      </c>
      <c r="B18" s="2753">
        <v>5154</v>
      </c>
      <c r="C18" s="2754"/>
      <c r="D18" s="2755">
        <v>0</v>
      </c>
      <c r="E18" s="2755">
        <v>24000</v>
      </c>
      <c r="F18" s="2755">
        <v>24000</v>
      </c>
      <c r="G18" s="2755">
        <v>24000</v>
      </c>
      <c r="H18" s="2755">
        <v>24000</v>
      </c>
      <c r="I18" s="2755">
        <f>+'[6]Hotel Budka'!$B$19</f>
        <v>24000</v>
      </c>
      <c r="J18" s="2761">
        <f t="shared" si="0"/>
        <v>0</v>
      </c>
      <c r="K18" s="2741"/>
      <c r="L18" s="2760"/>
      <c r="M18" s="329"/>
    </row>
    <row r="19" spans="1:13" ht="16.5" customHeight="1" outlineLevel="1">
      <c r="A19" s="2768">
        <v>3613</v>
      </c>
      <c r="B19" s="2764">
        <v>5154</v>
      </c>
      <c r="C19" s="2769"/>
      <c r="D19" s="2770">
        <v>0</v>
      </c>
      <c r="E19" s="2770">
        <v>0</v>
      </c>
      <c r="F19" s="2770">
        <v>0</v>
      </c>
      <c r="G19" s="2770">
        <v>0</v>
      </c>
      <c r="H19" s="2770">
        <v>0</v>
      </c>
      <c r="I19" s="2770">
        <f>+'[6]Hotel Budka'!$B$20</f>
        <v>0</v>
      </c>
      <c r="J19" s="2772">
        <f t="shared" si="0"/>
        <v>0</v>
      </c>
      <c r="K19" s="2741"/>
      <c r="L19" s="2760"/>
      <c r="M19" s="329"/>
    </row>
    <row r="20" spans="1:13" ht="19.5" customHeight="1" thickBot="1">
      <c r="A20" s="3209" t="s">
        <v>1443</v>
      </c>
      <c r="B20" s="3210"/>
      <c r="C20" s="2757"/>
      <c r="D20" s="2758">
        <v>0</v>
      </c>
      <c r="E20" s="2758">
        <v>24000</v>
      </c>
      <c r="F20" s="2758">
        <v>24000</v>
      </c>
      <c r="G20" s="2758">
        <v>24000</v>
      </c>
      <c r="H20" s="2758">
        <v>24000</v>
      </c>
      <c r="I20" s="2758">
        <f>SUM(I18:I19)</f>
        <v>24000</v>
      </c>
      <c r="J20" s="2759">
        <f t="shared" si="0"/>
        <v>0</v>
      </c>
      <c r="K20" s="285">
        <f>'Výdaje kapitol celkem'!AB25</f>
        <v>24000</v>
      </c>
      <c r="L20" s="2760">
        <f>+K20-I20</f>
        <v>0</v>
      </c>
      <c r="M20" s="329"/>
    </row>
    <row r="21" spans="1:13" ht="16.5" customHeight="1" outlineLevel="1">
      <c r="A21" s="2752">
        <v>3613</v>
      </c>
      <c r="B21" s="2753">
        <v>5154</v>
      </c>
      <c r="C21" s="2754"/>
      <c r="D21" s="2755">
        <v>605800</v>
      </c>
      <c r="E21" s="2755">
        <v>605800</v>
      </c>
      <c r="F21" s="2755">
        <v>605800</v>
      </c>
      <c r="G21" s="2755">
        <v>605800</v>
      </c>
      <c r="H21" s="2755">
        <v>605800</v>
      </c>
      <c r="I21" s="2755">
        <f>+[6]Nebyty!$B$19</f>
        <v>605800</v>
      </c>
      <c r="J21" s="2761">
        <f t="shared" si="0"/>
        <v>0</v>
      </c>
      <c r="K21" s="2741"/>
      <c r="L21" s="2760"/>
      <c r="M21" s="329"/>
    </row>
    <row r="22" spans="1:13" ht="16.5" customHeight="1" outlineLevel="1">
      <c r="A22" s="2768">
        <v>3613</v>
      </c>
      <c r="B22" s="2764">
        <v>5154</v>
      </c>
      <c r="C22" s="2769"/>
      <c r="D22" s="2770">
        <v>0</v>
      </c>
      <c r="E22" s="2770">
        <v>0</v>
      </c>
      <c r="F22" s="2770">
        <v>0</v>
      </c>
      <c r="G22" s="2770">
        <v>0</v>
      </c>
      <c r="H22" s="2770">
        <v>0</v>
      </c>
      <c r="I22" s="2770">
        <f>+[6]Nebyty!$B$20</f>
        <v>0</v>
      </c>
      <c r="J22" s="2772">
        <f t="shared" si="0"/>
        <v>0</v>
      </c>
      <c r="K22" s="2741"/>
      <c r="L22" s="2760"/>
      <c r="M22" s="329"/>
    </row>
    <row r="23" spans="1:13" ht="19.5" customHeight="1" thickBot="1">
      <c r="A23" s="3209" t="s">
        <v>202</v>
      </c>
      <c r="B23" s="3210"/>
      <c r="C23" s="2757"/>
      <c r="D23" s="2758">
        <v>605800</v>
      </c>
      <c r="E23" s="2758">
        <v>605800</v>
      </c>
      <c r="F23" s="2758">
        <v>605800</v>
      </c>
      <c r="G23" s="2758">
        <v>605800</v>
      </c>
      <c r="H23" s="2758">
        <v>605800</v>
      </c>
      <c r="I23" s="2758">
        <f>SUM(I21:I22)</f>
        <v>605800</v>
      </c>
      <c r="J23" s="2759">
        <f t="shared" si="0"/>
        <v>0</v>
      </c>
      <c r="K23" s="285">
        <f>'Výdaje kapitol celkem'!AL25</f>
        <v>605800</v>
      </c>
      <c r="L23" s="2760">
        <f>+K23-I23</f>
        <v>0</v>
      </c>
      <c r="M23" s="329"/>
    </row>
    <row r="24" spans="1:13" ht="20.25" customHeight="1" outlineLevel="1">
      <c r="A24" s="2752">
        <v>5512</v>
      </c>
      <c r="B24" s="2753">
        <v>5154</v>
      </c>
      <c r="C24" s="2754"/>
      <c r="D24" s="2755">
        <v>106400</v>
      </c>
      <c r="E24" s="2755">
        <v>106400</v>
      </c>
      <c r="F24" s="2755">
        <v>106400</v>
      </c>
      <c r="G24" s="2755">
        <v>106400</v>
      </c>
      <c r="H24" s="2755">
        <v>106400</v>
      </c>
      <c r="I24" s="2755">
        <f>+[6]Hasiči!$B$19</f>
        <v>106400</v>
      </c>
      <c r="J24" s="2761">
        <f t="shared" si="0"/>
        <v>0</v>
      </c>
      <c r="K24" s="2741"/>
      <c r="L24" s="2760"/>
      <c r="M24" s="329"/>
    </row>
    <row r="25" spans="1:13" ht="20.25" customHeight="1" outlineLevel="1">
      <c r="A25" s="2752">
        <v>5512</v>
      </c>
      <c r="B25" s="2753">
        <v>5154</v>
      </c>
      <c r="C25" s="2754"/>
      <c r="D25" s="2755">
        <v>0</v>
      </c>
      <c r="E25" s="2755">
        <v>0</v>
      </c>
      <c r="F25" s="2755">
        <v>0</v>
      </c>
      <c r="G25" s="2755">
        <v>0</v>
      </c>
      <c r="H25" s="2755">
        <v>0</v>
      </c>
      <c r="I25" s="2755">
        <f>+[6]Hasiči!$B$20</f>
        <v>0</v>
      </c>
      <c r="J25" s="2761">
        <f t="shared" si="0"/>
        <v>0</v>
      </c>
      <c r="K25" s="2741"/>
      <c r="L25" s="2760"/>
      <c r="M25" s="329"/>
    </row>
    <row r="26" spans="1:13" ht="20.25" customHeight="1" thickBot="1">
      <c r="A26" s="3209" t="s">
        <v>203</v>
      </c>
      <c r="B26" s="3210"/>
      <c r="C26" s="2757"/>
      <c r="D26" s="2758">
        <v>106400</v>
      </c>
      <c r="E26" s="2758">
        <v>106400</v>
      </c>
      <c r="F26" s="2758">
        <v>106400</v>
      </c>
      <c r="G26" s="2758">
        <v>106400</v>
      </c>
      <c r="H26" s="2758">
        <v>106400</v>
      </c>
      <c r="I26" s="2758">
        <f>SUM(I24:I25)</f>
        <v>106400</v>
      </c>
      <c r="J26" s="2759">
        <f t="shared" si="0"/>
        <v>0</v>
      </c>
      <c r="K26" s="285">
        <f>'Výdaje kapitol celkem'!AO25</f>
        <v>106400</v>
      </c>
      <c r="L26" s="2760">
        <f>+K26-I26</f>
        <v>0</v>
      </c>
      <c r="M26" s="329"/>
    </row>
    <row r="27" spans="1:13" ht="20.25" hidden="1" customHeight="1" outlineLevel="1">
      <c r="A27" s="2747">
        <v>3429</v>
      </c>
      <c r="B27" s="2748">
        <v>5154</v>
      </c>
      <c r="C27" s="2749"/>
      <c r="D27" s="2750">
        <v>0</v>
      </c>
      <c r="E27" s="2750">
        <v>0</v>
      </c>
      <c r="F27" s="2750">
        <v>0</v>
      </c>
      <c r="G27" s="2750">
        <v>0</v>
      </c>
      <c r="H27" s="2750">
        <v>0</v>
      </c>
      <c r="I27" s="2750">
        <f>+[6]TESKO!$B$5</f>
        <v>0</v>
      </c>
      <c r="J27" s="2751">
        <f t="shared" si="0"/>
        <v>0</v>
      </c>
      <c r="K27" s="2741"/>
      <c r="L27" s="2760"/>
      <c r="M27" s="329"/>
    </row>
    <row r="28" spans="1:13" ht="20.25" hidden="1" customHeight="1" outlineLevel="1">
      <c r="A28" s="2768">
        <v>3429</v>
      </c>
      <c r="B28" s="2764">
        <v>5154</v>
      </c>
      <c r="C28" s="2769"/>
      <c r="D28" s="2773">
        <v>0</v>
      </c>
      <c r="E28" s="2773">
        <v>0</v>
      </c>
      <c r="F28" s="2773">
        <v>0</v>
      </c>
      <c r="G28" s="2773">
        <v>0</v>
      </c>
      <c r="H28" s="2773">
        <v>0</v>
      </c>
      <c r="I28" s="2773">
        <f>+[6]TESKO!$B$6</f>
        <v>0</v>
      </c>
      <c r="J28" s="2772">
        <f t="shared" si="0"/>
        <v>0</v>
      </c>
      <c r="K28" s="2741"/>
      <c r="L28" s="2760"/>
      <c r="M28" s="329"/>
    </row>
    <row r="29" spans="1:13" ht="20.25" customHeight="1" collapsed="1" thickBot="1">
      <c r="A29" s="3209" t="s">
        <v>1173</v>
      </c>
      <c r="B29" s="3210"/>
      <c r="C29" s="2757"/>
      <c r="D29" s="2758">
        <v>0</v>
      </c>
      <c r="E29" s="2758">
        <v>0</v>
      </c>
      <c r="F29" s="2758">
        <v>0</v>
      </c>
      <c r="G29" s="2758">
        <v>0</v>
      </c>
      <c r="H29" s="2758">
        <v>0</v>
      </c>
      <c r="I29" s="2758">
        <f>SUM(I27:I28)</f>
        <v>0</v>
      </c>
      <c r="J29" s="2759">
        <f t="shared" si="0"/>
        <v>0</v>
      </c>
      <c r="K29" s="285">
        <f>'Výdaje kapitol celkem'!AQ25</f>
        <v>0</v>
      </c>
      <c r="L29" s="2760">
        <f>+K29-I29</f>
        <v>0</v>
      </c>
      <c r="M29" s="329"/>
    </row>
    <row r="30" spans="1:13" ht="20.25" hidden="1" customHeight="1" outlineLevel="1">
      <c r="A30" s="2747">
        <v>3412</v>
      </c>
      <c r="B30" s="2748">
        <v>5154</v>
      </c>
      <c r="C30" s="2749"/>
      <c r="D30" s="2750">
        <v>0</v>
      </c>
      <c r="E30" s="2750">
        <v>0</v>
      </c>
      <c r="F30" s="2750">
        <v>0</v>
      </c>
      <c r="G30" s="2750">
        <v>0</v>
      </c>
      <c r="H30" s="2750">
        <v>0</v>
      </c>
      <c r="I30" s="2750">
        <f>+[6]Koupaliště!$B$5</f>
        <v>0</v>
      </c>
      <c r="J30" s="2751">
        <f t="shared" si="0"/>
        <v>0</v>
      </c>
      <c r="K30" s="2741"/>
      <c r="L30" s="2760"/>
      <c r="M30" s="329"/>
    </row>
    <row r="31" spans="1:13" ht="20.25" hidden="1" customHeight="1" outlineLevel="1">
      <c r="A31" s="2768">
        <v>3412</v>
      </c>
      <c r="B31" s="2764">
        <v>5154</v>
      </c>
      <c r="C31" s="2769"/>
      <c r="D31" s="2770">
        <v>0</v>
      </c>
      <c r="E31" s="2770">
        <v>0</v>
      </c>
      <c r="F31" s="2770">
        <v>0</v>
      </c>
      <c r="G31" s="2770">
        <v>0</v>
      </c>
      <c r="H31" s="2770">
        <v>0</v>
      </c>
      <c r="I31" s="2770">
        <f>+[6]Koupaliště!$B$6</f>
        <v>0</v>
      </c>
      <c r="J31" s="2772">
        <f t="shared" si="0"/>
        <v>0</v>
      </c>
      <c r="K31" s="2741"/>
      <c r="L31" s="2760"/>
      <c r="M31" s="329"/>
    </row>
    <row r="32" spans="1:13" ht="20.25" customHeight="1" collapsed="1" thickBot="1">
      <c r="A32" s="3209" t="s">
        <v>625</v>
      </c>
      <c r="B32" s="3210"/>
      <c r="C32" s="2757"/>
      <c r="D32" s="2758">
        <v>0</v>
      </c>
      <c r="E32" s="2758">
        <v>0</v>
      </c>
      <c r="F32" s="2758">
        <v>0</v>
      </c>
      <c r="G32" s="2758">
        <v>0</v>
      </c>
      <c r="H32" s="2758">
        <v>0</v>
      </c>
      <c r="I32" s="2758">
        <f>SUM(I30:I31)</f>
        <v>0</v>
      </c>
      <c r="J32" s="2759">
        <f t="shared" si="0"/>
        <v>0</v>
      </c>
      <c r="K32" s="285">
        <f>'Výdaje kapitol celkem'!AU25</f>
        <v>0</v>
      </c>
      <c r="L32" s="2760">
        <f>+K32-I32</f>
        <v>0</v>
      </c>
      <c r="M32" s="329"/>
    </row>
    <row r="33" spans="1:13" ht="20.25" customHeight="1" outlineLevel="1">
      <c r="A33" s="2747">
        <v>3412</v>
      </c>
      <c r="B33" s="2748">
        <v>5154</v>
      </c>
      <c r="C33" s="2983"/>
      <c r="D33" s="2750">
        <v>60000</v>
      </c>
      <c r="E33" s="2750">
        <v>60000</v>
      </c>
      <c r="F33" s="2750">
        <v>60000</v>
      </c>
      <c r="G33" s="2750">
        <v>60000</v>
      </c>
      <c r="H33" s="2750">
        <v>60000</v>
      </c>
      <c r="I33" s="2750">
        <f>+[6]Hřiště!$B$5</f>
        <v>60000</v>
      </c>
      <c r="J33" s="2751">
        <f t="shared" si="0"/>
        <v>0</v>
      </c>
      <c r="K33" s="2741"/>
      <c r="L33" s="2760"/>
      <c r="M33" s="329"/>
    </row>
    <row r="34" spans="1:13" ht="20.25" customHeight="1" outlineLevel="1">
      <c r="A34" s="2768">
        <v>3412</v>
      </c>
      <c r="B34" s="2764">
        <v>5154</v>
      </c>
      <c r="C34" s="2769"/>
      <c r="D34" s="2770">
        <v>0</v>
      </c>
      <c r="E34" s="2770">
        <v>0</v>
      </c>
      <c r="F34" s="2770">
        <v>0</v>
      </c>
      <c r="G34" s="2770">
        <v>0</v>
      </c>
      <c r="H34" s="2770">
        <v>0</v>
      </c>
      <c r="I34" s="2770">
        <f>+[6]Hřiště!$B$6</f>
        <v>0</v>
      </c>
      <c r="J34" s="2772">
        <f t="shared" si="0"/>
        <v>0</v>
      </c>
      <c r="K34" s="2741"/>
      <c r="L34" s="2760"/>
      <c r="M34" s="329"/>
    </row>
    <row r="35" spans="1:13" ht="20.25" customHeight="1" thickBot="1">
      <c r="A35" s="3209" t="s">
        <v>1187</v>
      </c>
      <c r="B35" s="3210"/>
      <c r="C35" s="2757"/>
      <c r="D35" s="2758">
        <v>60000</v>
      </c>
      <c r="E35" s="2758">
        <v>60000</v>
      </c>
      <c r="F35" s="2758">
        <v>60000</v>
      </c>
      <c r="G35" s="2758">
        <v>60000</v>
      </c>
      <c r="H35" s="2758">
        <v>60000</v>
      </c>
      <c r="I35" s="2758">
        <f>SUM(I33:I34)</f>
        <v>60000</v>
      </c>
      <c r="J35" s="2759">
        <f t="shared" si="0"/>
        <v>0</v>
      </c>
      <c r="K35" s="285">
        <f>'Výdaje kapitol celkem'!AX25</f>
        <v>60000</v>
      </c>
      <c r="L35" s="2760">
        <f>+K35-I35</f>
        <v>0</v>
      </c>
      <c r="M35" s="329"/>
    </row>
    <row r="36" spans="1:13" ht="20.25" customHeight="1" outlineLevel="1">
      <c r="A36" s="2747">
        <v>3113</v>
      </c>
      <c r="B36" s="2748">
        <v>5154</v>
      </c>
      <c r="C36" s="2983"/>
      <c r="D36" s="2750">
        <v>0</v>
      </c>
      <c r="E36" s="2750">
        <v>0</v>
      </c>
      <c r="F36" s="2750">
        <v>0</v>
      </c>
      <c r="G36" s="2750">
        <v>0</v>
      </c>
      <c r="H36" s="2750">
        <v>0</v>
      </c>
      <c r="I36" s="2750">
        <f>+[6]ZŠ!$B$19</f>
        <v>0</v>
      </c>
      <c r="J36" s="2751">
        <f t="shared" si="0"/>
        <v>0</v>
      </c>
      <c r="K36" s="2741"/>
      <c r="L36" s="2760"/>
      <c r="M36" s="329"/>
    </row>
    <row r="37" spans="1:13" ht="20.25" customHeight="1" outlineLevel="1">
      <c r="A37" s="2768">
        <v>3113</v>
      </c>
      <c r="B37" s="2764">
        <v>5154</v>
      </c>
      <c r="C37" s="2983"/>
      <c r="D37" s="2770">
        <v>0</v>
      </c>
      <c r="E37" s="2770">
        <v>0</v>
      </c>
      <c r="F37" s="2770">
        <v>0</v>
      </c>
      <c r="G37" s="2770">
        <v>0</v>
      </c>
      <c r="H37" s="2770">
        <v>0</v>
      </c>
      <c r="I37" s="2770">
        <f>+[6]ZŠ!$B$20</f>
        <v>0</v>
      </c>
      <c r="J37" s="2772">
        <f t="shared" si="0"/>
        <v>0</v>
      </c>
      <c r="K37" s="2741"/>
      <c r="L37" s="2760"/>
      <c r="M37" s="329"/>
    </row>
    <row r="38" spans="1:13" ht="20.25" customHeight="1" thickBot="1">
      <c r="A38" s="3209" t="s">
        <v>1172</v>
      </c>
      <c r="B38" s="3210"/>
      <c r="C38" s="2757"/>
      <c r="D38" s="2758">
        <v>0</v>
      </c>
      <c r="E38" s="2758">
        <v>0</v>
      </c>
      <c r="F38" s="2758">
        <v>0</v>
      </c>
      <c r="G38" s="2758">
        <v>0</v>
      </c>
      <c r="H38" s="2758">
        <v>0</v>
      </c>
      <c r="I38" s="2758">
        <f>SUM(I36:I37)</f>
        <v>0</v>
      </c>
      <c r="J38" s="2759">
        <f t="shared" si="0"/>
        <v>0</v>
      </c>
      <c r="K38" s="285">
        <f>'Výdaje kapitol celkem'!BD25</f>
        <v>0</v>
      </c>
      <c r="L38" s="2760">
        <f>+K38-I38</f>
        <v>0</v>
      </c>
      <c r="M38" s="329"/>
    </row>
    <row r="39" spans="1:13" ht="20.25" customHeight="1" outlineLevel="1">
      <c r="A39" s="2747" t="s">
        <v>1543</v>
      </c>
      <c r="B39" s="2748">
        <v>5154</v>
      </c>
      <c r="C39" s="2749"/>
      <c r="D39" s="2750">
        <v>0</v>
      </c>
      <c r="E39" s="2750">
        <v>0</v>
      </c>
      <c r="F39" s="2750">
        <v>0</v>
      </c>
      <c r="G39" s="2750">
        <v>0</v>
      </c>
      <c r="H39" s="2750">
        <v>0</v>
      </c>
      <c r="I39" s="2750">
        <f>+[6]SŠ!$B$19</f>
        <v>0</v>
      </c>
      <c r="J39" s="2751">
        <f t="shared" si="0"/>
        <v>0</v>
      </c>
      <c r="K39" s="2741"/>
      <c r="L39" s="2760"/>
      <c r="M39" s="329"/>
    </row>
    <row r="40" spans="1:13" ht="20.25" customHeight="1" outlineLevel="1">
      <c r="A40" s="2768" t="s">
        <v>1543</v>
      </c>
      <c r="B40" s="2764">
        <v>5154</v>
      </c>
      <c r="C40" s="2769"/>
      <c r="D40" s="2770">
        <v>0</v>
      </c>
      <c r="E40" s="2770">
        <v>0</v>
      </c>
      <c r="F40" s="2770">
        <v>0</v>
      </c>
      <c r="G40" s="2770">
        <v>0</v>
      </c>
      <c r="H40" s="2770">
        <v>0</v>
      </c>
      <c r="I40" s="2770">
        <f>+[6]SŠ!$B$20</f>
        <v>0</v>
      </c>
      <c r="J40" s="2772">
        <f t="shared" si="0"/>
        <v>0</v>
      </c>
      <c r="K40" s="2741"/>
      <c r="L40" s="2760"/>
      <c r="M40" s="329"/>
    </row>
    <row r="41" spans="1:13" ht="20.25" customHeight="1" thickBot="1">
      <c r="A41" s="3209" t="s">
        <v>1545</v>
      </c>
      <c r="B41" s="3210"/>
      <c r="C41" s="2757"/>
      <c r="D41" s="2758">
        <v>0</v>
      </c>
      <c r="E41" s="2758">
        <v>0</v>
      </c>
      <c r="F41" s="2758">
        <v>0</v>
      </c>
      <c r="G41" s="2758">
        <v>0</v>
      </c>
      <c r="H41" s="2758">
        <v>0</v>
      </c>
      <c r="I41" s="2758">
        <f>SUM(I39:I40)</f>
        <v>0</v>
      </c>
      <c r="J41" s="2759">
        <f t="shared" si="0"/>
        <v>0</v>
      </c>
      <c r="K41" s="285"/>
      <c r="L41" s="2760">
        <f>+K41-I41</f>
        <v>0</v>
      </c>
      <c r="M41" s="329"/>
    </row>
    <row r="42" spans="1:13" ht="20.25" customHeight="1" outlineLevel="1">
      <c r="A42" s="2747">
        <v>3114</v>
      </c>
      <c r="B42" s="2748">
        <v>5154</v>
      </c>
      <c r="C42" s="2749"/>
      <c r="D42" s="2750">
        <v>195000</v>
      </c>
      <c r="E42" s="2750">
        <v>195000</v>
      </c>
      <c r="F42" s="2750">
        <v>195000</v>
      </c>
      <c r="G42" s="2750">
        <v>195000</v>
      </c>
      <c r="H42" s="2750">
        <v>195000</v>
      </c>
      <c r="I42" s="2750">
        <f>+[6]č.p.65!$B$19</f>
        <v>195000</v>
      </c>
      <c r="J42" s="2751">
        <f t="shared" si="0"/>
        <v>0</v>
      </c>
      <c r="K42" s="2741"/>
      <c r="L42" s="2760"/>
      <c r="M42" s="329"/>
    </row>
    <row r="43" spans="1:13" ht="20.25" customHeight="1" outlineLevel="1">
      <c r="A43" s="2768">
        <v>3114</v>
      </c>
      <c r="B43" s="2764">
        <v>5154</v>
      </c>
      <c r="C43" s="2769"/>
      <c r="D43" s="2770">
        <v>0</v>
      </c>
      <c r="E43" s="2770">
        <v>0</v>
      </c>
      <c r="F43" s="2770">
        <v>0</v>
      </c>
      <c r="G43" s="2770">
        <v>0</v>
      </c>
      <c r="H43" s="2770">
        <v>0</v>
      </c>
      <c r="I43" s="2770">
        <f>+[6]č.p.65!$B$20</f>
        <v>0</v>
      </c>
      <c r="J43" s="2772">
        <f t="shared" si="0"/>
        <v>0</v>
      </c>
      <c r="K43" s="2741"/>
      <c r="L43" s="2760"/>
      <c r="M43" s="329"/>
    </row>
    <row r="44" spans="1:13" ht="20.25" customHeight="1" thickBot="1">
      <c r="A44" s="3209" t="s">
        <v>212</v>
      </c>
      <c r="B44" s="3210"/>
      <c r="C44" s="2757"/>
      <c r="D44" s="2758">
        <v>195000</v>
      </c>
      <c r="E44" s="2758">
        <v>195000</v>
      </c>
      <c r="F44" s="2758">
        <v>195000</v>
      </c>
      <c r="G44" s="2758">
        <v>195000</v>
      </c>
      <c r="H44" s="2758">
        <v>195000</v>
      </c>
      <c r="I44" s="2758">
        <f>SUM(I42:I43)</f>
        <v>195000</v>
      </c>
      <c r="J44" s="2759">
        <f t="shared" si="0"/>
        <v>0</v>
      </c>
      <c r="K44" s="2811">
        <f>'Výdaje kapitol celkem'!BJ25</f>
        <v>195000</v>
      </c>
      <c r="L44" s="2812">
        <f>+K44-I44</f>
        <v>0</v>
      </c>
      <c r="M44" s="329"/>
    </row>
    <row r="45" spans="1:13" ht="20.25" customHeight="1" outlineLevel="1">
      <c r="A45" s="2747">
        <v>3631</v>
      </c>
      <c r="B45" s="2748">
        <v>5154</v>
      </c>
      <c r="C45" s="2749" t="s">
        <v>2433</v>
      </c>
      <c r="D45" s="2750">
        <v>2000000</v>
      </c>
      <c r="E45" s="2750">
        <v>2000000</v>
      </c>
      <c r="F45" s="2750">
        <v>2000000</v>
      </c>
      <c r="G45" s="2750">
        <v>2000000</v>
      </c>
      <c r="H45" s="2750">
        <v>2000000</v>
      </c>
      <c r="I45" s="2750">
        <f>+[3]VO!$B$13</f>
        <v>2000000</v>
      </c>
      <c r="J45" s="2751">
        <f t="shared" si="0"/>
        <v>0</v>
      </c>
      <c r="K45" s="2741"/>
      <c r="L45" s="2760"/>
      <c r="M45" s="329"/>
    </row>
    <row r="46" spans="1:13" ht="20.25" customHeight="1" outlineLevel="1">
      <c r="A46" s="2768">
        <v>3631</v>
      </c>
      <c r="B46" s="2764">
        <v>5154</v>
      </c>
      <c r="C46" s="2769" t="s">
        <v>2434</v>
      </c>
      <c r="D46" s="2770">
        <v>30000</v>
      </c>
      <c r="E46" s="2770">
        <v>30000</v>
      </c>
      <c r="F46" s="2770">
        <v>30000</v>
      </c>
      <c r="G46" s="2770">
        <v>30000</v>
      </c>
      <c r="H46" s="2770">
        <v>30000</v>
      </c>
      <c r="I46" s="2770">
        <f>+[3]VO!$B$14</f>
        <v>30000</v>
      </c>
      <c r="J46" s="2772">
        <f t="shared" si="0"/>
        <v>0</v>
      </c>
      <c r="K46" s="2741"/>
      <c r="L46" s="2760"/>
      <c r="M46" s="329"/>
    </row>
    <row r="47" spans="1:13" ht="20.25" customHeight="1" outlineLevel="1">
      <c r="A47" s="2768">
        <v>3631</v>
      </c>
      <c r="B47" s="2764">
        <v>5154</v>
      </c>
      <c r="C47" s="2769"/>
      <c r="D47" s="2773">
        <v>0</v>
      </c>
      <c r="E47" s="2773">
        <v>0</v>
      </c>
      <c r="F47" s="2773">
        <v>0</v>
      </c>
      <c r="G47" s="2773">
        <v>0</v>
      </c>
      <c r="H47" s="2773">
        <v>0</v>
      </c>
      <c r="I47" s="2773">
        <f>+[3]VO!$B$15</f>
        <v>0</v>
      </c>
      <c r="J47" s="2772">
        <f t="shared" si="0"/>
        <v>0</v>
      </c>
      <c r="K47" s="2741"/>
      <c r="L47" s="2760"/>
      <c r="M47" s="329"/>
    </row>
    <row r="48" spans="1:13" ht="20.25" customHeight="1" thickBot="1">
      <c r="A48" s="3209" t="s">
        <v>1174</v>
      </c>
      <c r="B48" s="3210"/>
      <c r="C48" s="2757"/>
      <c r="D48" s="2758">
        <v>2030000</v>
      </c>
      <c r="E48" s="2758">
        <v>2030000</v>
      </c>
      <c r="F48" s="2758">
        <v>2030000</v>
      </c>
      <c r="G48" s="2758">
        <v>2030000</v>
      </c>
      <c r="H48" s="2758">
        <v>2030000</v>
      </c>
      <c r="I48" s="2758">
        <f>SUM(I45:I47)</f>
        <v>2030000</v>
      </c>
      <c r="J48" s="2759">
        <f t="shared" si="0"/>
        <v>0</v>
      </c>
      <c r="K48" s="285">
        <f>'Výdaje kapitol celkem'!CD25</f>
        <v>2030000</v>
      </c>
      <c r="L48" s="2760">
        <f>+K48-I48</f>
        <v>0</v>
      </c>
      <c r="M48" s="329"/>
    </row>
    <row r="49" spans="1:13" ht="20.25" customHeight="1" outlineLevel="1">
      <c r="A49" s="2747">
        <v>2212</v>
      </c>
      <c r="B49" s="2748">
        <v>5154</v>
      </c>
      <c r="C49" s="2749" t="s">
        <v>2223</v>
      </c>
      <c r="D49" s="2750">
        <v>80000</v>
      </c>
      <c r="E49" s="2750">
        <v>80000</v>
      </c>
      <c r="F49" s="2750">
        <v>80000</v>
      </c>
      <c r="G49" s="2750">
        <v>80000</v>
      </c>
      <c r="H49" s="2750">
        <v>80000</v>
      </c>
      <c r="I49" s="2750">
        <f>+[3]Silnice!$B$12</f>
        <v>80000</v>
      </c>
      <c r="J49" s="2751">
        <f t="shared" si="0"/>
        <v>0</v>
      </c>
      <c r="K49" s="2741"/>
      <c r="L49" s="2760"/>
      <c r="M49" s="329"/>
    </row>
    <row r="50" spans="1:13" ht="20.25" customHeight="1" outlineLevel="1">
      <c r="A50" s="2768">
        <v>2212</v>
      </c>
      <c r="B50" s="2764">
        <v>5154</v>
      </c>
      <c r="C50" s="2769" t="s">
        <v>2224</v>
      </c>
      <c r="D50" s="2773">
        <v>100000</v>
      </c>
      <c r="E50" s="2773">
        <v>100000</v>
      </c>
      <c r="F50" s="2773">
        <v>100000</v>
      </c>
      <c r="G50" s="2773">
        <v>100000</v>
      </c>
      <c r="H50" s="2773">
        <v>100000</v>
      </c>
      <c r="I50" s="2773">
        <f>+[3]Silnice!$B$13</f>
        <v>100000</v>
      </c>
      <c r="J50" s="2772">
        <f t="shared" si="0"/>
        <v>0</v>
      </c>
      <c r="K50" s="2741"/>
      <c r="L50" s="2760"/>
      <c r="M50" s="329"/>
    </row>
    <row r="51" spans="1:13" ht="20.25" customHeight="1" outlineLevel="1">
      <c r="A51" s="2768">
        <v>2212</v>
      </c>
      <c r="B51" s="2764">
        <v>5154</v>
      </c>
      <c r="C51" s="2769" t="s">
        <v>2225</v>
      </c>
      <c r="D51" s="2773">
        <v>25000</v>
      </c>
      <c r="E51" s="2773">
        <v>25000</v>
      </c>
      <c r="F51" s="2773">
        <v>25000</v>
      </c>
      <c r="G51" s="2773">
        <v>25000</v>
      </c>
      <c r="H51" s="2773">
        <v>25000</v>
      </c>
      <c r="I51" s="2773">
        <f>+[3]Silnice!$B$14</f>
        <v>25000</v>
      </c>
      <c r="J51" s="2772">
        <f t="shared" si="0"/>
        <v>0</v>
      </c>
      <c r="K51" s="2741"/>
      <c r="L51" s="2760"/>
      <c r="M51" s="329"/>
    </row>
    <row r="52" spans="1:13" ht="20.25" customHeight="1" thickBot="1">
      <c r="A52" s="3209" t="s">
        <v>1175</v>
      </c>
      <c r="B52" s="3210"/>
      <c r="C52" s="2757"/>
      <c r="D52" s="2758">
        <v>205000</v>
      </c>
      <c r="E52" s="2758">
        <v>205000</v>
      </c>
      <c r="F52" s="2758">
        <v>205000</v>
      </c>
      <c r="G52" s="2758">
        <v>205000</v>
      </c>
      <c r="H52" s="2758">
        <v>205000</v>
      </c>
      <c r="I52" s="2758">
        <f>SUM(I49:I51)</f>
        <v>205000</v>
      </c>
      <c r="J52" s="2759">
        <f t="shared" si="0"/>
        <v>0</v>
      </c>
      <c r="K52" s="285">
        <f>'Výdaje kapitol celkem'!CG25</f>
        <v>205000</v>
      </c>
      <c r="L52" s="2760">
        <f>+K52-I52</f>
        <v>0</v>
      </c>
      <c r="M52" s="329"/>
    </row>
    <row r="53" spans="1:13" ht="20.25" customHeight="1" outlineLevel="1">
      <c r="A53" s="2747">
        <v>2221</v>
      </c>
      <c r="B53" s="2748">
        <v>5154</v>
      </c>
      <c r="C53" s="2749" t="s">
        <v>2436</v>
      </c>
      <c r="D53" s="2750">
        <v>50000</v>
      </c>
      <c r="E53" s="2750">
        <v>50000</v>
      </c>
      <c r="F53" s="2750">
        <v>50000</v>
      </c>
      <c r="G53" s="2750">
        <v>50000</v>
      </c>
      <c r="H53" s="2750">
        <v>50000</v>
      </c>
      <c r="I53" s="2750">
        <f>+[4]Doprava!$B$5</f>
        <v>50000</v>
      </c>
      <c r="J53" s="2751">
        <f t="shared" si="0"/>
        <v>0</v>
      </c>
      <c r="K53" s="2741"/>
      <c r="L53" s="2760"/>
      <c r="M53" s="329"/>
    </row>
    <row r="54" spans="1:13" ht="20.25" customHeight="1" outlineLevel="1">
      <c r="A54" s="2768">
        <v>2221</v>
      </c>
      <c r="B54" s="2764">
        <v>5154</v>
      </c>
      <c r="C54" s="2769"/>
      <c r="D54" s="2773">
        <v>0</v>
      </c>
      <c r="E54" s="2773">
        <v>0</v>
      </c>
      <c r="F54" s="2773">
        <v>0</v>
      </c>
      <c r="G54" s="2773">
        <v>0</v>
      </c>
      <c r="H54" s="2773">
        <v>0</v>
      </c>
      <c r="I54" s="2773">
        <f>+[4]Doprava!$B$6</f>
        <v>0</v>
      </c>
      <c r="J54" s="2772">
        <f t="shared" si="0"/>
        <v>0</v>
      </c>
      <c r="K54" s="2741"/>
      <c r="L54" s="2760"/>
      <c r="M54" s="329"/>
    </row>
    <row r="55" spans="1:13" ht="20.25" customHeight="1" thickBot="1">
      <c r="A55" s="3209" t="s">
        <v>1576</v>
      </c>
      <c r="B55" s="3210"/>
      <c r="C55" s="2757"/>
      <c r="D55" s="2758">
        <v>50000</v>
      </c>
      <c r="E55" s="2758">
        <v>50000</v>
      </c>
      <c r="F55" s="2758">
        <v>50000</v>
      </c>
      <c r="G55" s="2758">
        <v>50000</v>
      </c>
      <c r="H55" s="2758">
        <v>50000</v>
      </c>
      <c r="I55" s="2758">
        <f>SUM(I53:I54)</f>
        <v>50000</v>
      </c>
      <c r="J55" s="2759">
        <f t="shared" si="0"/>
        <v>0</v>
      </c>
      <c r="K55" s="285">
        <f>'Výdaje kapitol celkem'!CJ25</f>
        <v>50000</v>
      </c>
      <c r="L55" s="2760">
        <f>+K55-I55</f>
        <v>0</v>
      </c>
      <c r="M55" s="329"/>
    </row>
    <row r="56" spans="1:13" ht="20.25" customHeight="1" outlineLevel="1">
      <c r="A56" s="2747">
        <v>2310</v>
      </c>
      <c r="B56" s="2748">
        <v>5154</v>
      </c>
      <c r="C56" s="2749" t="s">
        <v>2435</v>
      </c>
      <c r="D56" s="2750">
        <v>430000</v>
      </c>
      <c r="E56" s="2750">
        <v>430000</v>
      </c>
      <c r="F56" s="2750">
        <v>430000</v>
      </c>
      <c r="G56" s="2750">
        <v>430000</v>
      </c>
      <c r="H56" s="2750">
        <v>430000</v>
      </c>
      <c r="I56" s="2750">
        <f>+[3]Vodovod!$B$5</f>
        <v>430000</v>
      </c>
      <c r="J56" s="2751">
        <f t="shared" si="0"/>
        <v>0</v>
      </c>
      <c r="K56" s="2741"/>
      <c r="L56" s="2760"/>
      <c r="M56" s="329"/>
    </row>
    <row r="57" spans="1:13" ht="20.25" customHeight="1" outlineLevel="1">
      <c r="A57" s="2768">
        <v>2310</v>
      </c>
      <c r="B57" s="2764">
        <v>5154</v>
      </c>
      <c r="C57" s="2769"/>
      <c r="D57" s="2773">
        <v>0</v>
      </c>
      <c r="E57" s="2773">
        <v>0</v>
      </c>
      <c r="F57" s="2773">
        <v>0</v>
      </c>
      <c r="G57" s="2773">
        <v>0</v>
      </c>
      <c r="H57" s="2773">
        <v>0</v>
      </c>
      <c r="I57" s="2773">
        <f>+[3]Vodovod!$B$6</f>
        <v>0</v>
      </c>
      <c r="J57" s="2772">
        <f t="shared" si="0"/>
        <v>0</v>
      </c>
      <c r="K57" s="2741"/>
      <c r="L57" s="2760"/>
      <c r="M57" s="329"/>
    </row>
    <row r="58" spans="1:13" ht="20.25" customHeight="1" thickBot="1">
      <c r="A58" s="3209" t="s">
        <v>211</v>
      </c>
      <c r="B58" s="3210"/>
      <c r="C58" s="2757"/>
      <c r="D58" s="2758">
        <v>430000</v>
      </c>
      <c r="E58" s="2758">
        <v>430000</v>
      </c>
      <c r="F58" s="2758">
        <v>430000</v>
      </c>
      <c r="G58" s="2758">
        <v>430000</v>
      </c>
      <c r="H58" s="2758">
        <v>430000</v>
      </c>
      <c r="I58" s="2758">
        <f>SUM(I56:I57)</f>
        <v>430000</v>
      </c>
      <c r="J58" s="2759">
        <f t="shared" si="0"/>
        <v>0</v>
      </c>
      <c r="K58" s="285">
        <f>'Výdaje kapitol celkem'!CK25</f>
        <v>430000</v>
      </c>
      <c r="L58" s="2760">
        <f>+K58-I58</f>
        <v>0</v>
      </c>
      <c r="M58" s="329"/>
    </row>
    <row r="59" spans="1:13" ht="20.25" customHeight="1" outlineLevel="1">
      <c r="A59" s="2747" t="s">
        <v>179</v>
      </c>
      <c r="B59" s="2748">
        <v>5154</v>
      </c>
      <c r="C59" s="2749" t="s">
        <v>2233</v>
      </c>
      <c r="D59" s="2750">
        <v>80000</v>
      </c>
      <c r="E59" s="2750">
        <v>80000</v>
      </c>
      <c r="F59" s="2750">
        <v>80000</v>
      </c>
      <c r="G59" s="2750">
        <v>80000</v>
      </c>
      <c r="H59" s="2750">
        <v>80000</v>
      </c>
      <c r="I59" s="2750">
        <f>+[3]Kanalizace!$B$5</f>
        <v>80000</v>
      </c>
      <c r="J59" s="2751">
        <f t="shared" si="0"/>
        <v>0</v>
      </c>
      <c r="K59" s="2741"/>
      <c r="L59" s="2760"/>
      <c r="M59" s="329"/>
    </row>
    <row r="60" spans="1:13" ht="20.25" customHeight="1" outlineLevel="1">
      <c r="A60" s="2768" t="s">
        <v>179</v>
      </c>
      <c r="B60" s="2764">
        <v>5154</v>
      </c>
      <c r="C60" s="2769"/>
      <c r="D60" s="2773">
        <v>0</v>
      </c>
      <c r="E60" s="2773">
        <v>0</v>
      </c>
      <c r="F60" s="2773">
        <v>0</v>
      </c>
      <c r="G60" s="2773">
        <v>0</v>
      </c>
      <c r="H60" s="2773">
        <v>0</v>
      </c>
      <c r="I60" s="2773">
        <f>+[3]Kanalizace!$B$6</f>
        <v>0</v>
      </c>
      <c r="J60" s="2772">
        <f t="shared" si="0"/>
        <v>0</v>
      </c>
      <c r="K60" s="2741"/>
      <c r="L60" s="2760"/>
      <c r="M60" s="329"/>
    </row>
    <row r="61" spans="1:13" ht="20.25" customHeight="1" outlineLevel="1">
      <c r="A61" s="2768" t="s">
        <v>179</v>
      </c>
      <c r="B61" s="2764">
        <v>5154</v>
      </c>
      <c r="C61" s="2769"/>
      <c r="D61" s="2773"/>
      <c r="E61" s="2773"/>
      <c r="F61" s="2773"/>
      <c r="G61" s="2773"/>
      <c r="H61" s="2773"/>
      <c r="I61" s="2773"/>
      <c r="J61" s="2772">
        <f t="shared" si="0"/>
        <v>0</v>
      </c>
      <c r="K61" s="2741"/>
      <c r="L61" s="2760"/>
      <c r="M61" s="329"/>
    </row>
    <row r="62" spans="1:13" ht="13.9" thickBot="1">
      <c r="A62" s="3209" t="s">
        <v>1217</v>
      </c>
      <c r="B62" s="3210"/>
      <c r="C62" s="2757"/>
      <c r="D62" s="2758">
        <v>80000</v>
      </c>
      <c r="E62" s="2758">
        <v>80000</v>
      </c>
      <c r="F62" s="2758">
        <v>80000</v>
      </c>
      <c r="G62" s="2758">
        <v>80000</v>
      </c>
      <c r="H62" s="2758">
        <v>80000</v>
      </c>
      <c r="I62" s="2758">
        <f>SUM(I59:I61)</f>
        <v>80000</v>
      </c>
      <c r="J62" s="2759">
        <f t="shared" si="0"/>
        <v>0</v>
      </c>
      <c r="K62" s="285">
        <f>'Výdaje kapitol celkem'!CQ25</f>
        <v>80000</v>
      </c>
      <c r="L62" s="2760">
        <f>+K62-I62</f>
        <v>0</v>
      </c>
      <c r="M62" s="329"/>
    </row>
    <row r="63" spans="1:13" ht="20.25" hidden="1" customHeight="1" outlineLevel="1">
      <c r="A63" s="2747" t="s">
        <v>182</v>
      </c>
      <c r="B63" s="2748">
        <v>5154</v>
      </c>
      <c r="C63" s="2749"/>
      <c r="D63" s="2750">
        <v>0</v>
      </c>
      <c r="E63" s="2750">
        <v>0</v>
      </c>
      <c r="F63" s="2750">
        <v>0</v>
      </c>
      <c r="G63" s="2750">
        <v>0</v>
      </c>
      <c r="H63" s="2750">
        <v>0</v>
      </c>
      <c r="I63" s="2750">
        <v>0</v>
      </c>
      <c r="J63" s="2751">
        <f t="shared" si="0"/>
        <v>0</v>
      </c>
      <c r="K63" s="2741"/>
      <c r="L63" s="2760"/>
      <c r="M63" s="329"/>
    </row>
    <row r="64" spans="1:13" ht="20.25" hidden="1" customHeight="1" outlineLevel="1">
      <c r="A64" s="2768" t="s">
        <v>182</v>
      </c>
      <c r="B64" s="2764">
        <v>5154</v>
      </c>
      <c r="C64" s="2769"/>
      <c r="D64" s="2773"/>
      <c r="E64" s="2773"/>
      <c r="F64" s="2773"/>
      <c r="G64" s="2773"/>
      <c r="H64" s="2773"/>
      <c r="I64" s="2773"/>
      <c r="J64" s="2772">
        <f t="shared" si="0"/>
        <v>0</v>
      </c>
      <c r="K64" s="2741"/>
      <c r="L64" s="2760"/>
      <c r="M64" s="329"/>
    </row>
    <row r="65" spans="1:13" ht="20.25" customHeight="1" collapsed="1" thickBot="1">
      <c r="A65" s="3209" t="s">
        <v>1176</v>
      </c>
      <c r="B65" s="3210"/>
      <c r="C65" s="2757"/>
      <c r="D65" s="2758">
        <v>0</v>
      </c>
      <c r="E65" s="2758">
        <v>0</v>
      </c>
      <c r="F65" s="2758">
        <v>0</v>
      </c>
      <c r="G65" s="2758">
        <v>0</v>
      </c>
      <c r="H65" s="2758">
        <v>0</v>
      </c>
      <c r="I65" s="2758">
        <f>SUM(I63:I64)</f>
        <v>0</v>
      </c>
      <c r="J65" s="2759">
        <f t="shared" si="0"/>
        <v>0</v>
      </c>
      <c r="K65" s="285">
        <f>'Výdaje kapitol celkem'!DV25</f>
        <v>0</v>
      </c>
      <c r="L65" s="2760">
        <f>+K65-I65</f>
        <v>0</v>
      </c>
      <c r="M65" s="329"/>
    </row>
    <row r="66" spans="1:13" s="281" customFormat="1" ht="16.5" thickBot="1">
      <c r="A66" s="3213" t="s">
        <v>1170</v>
      </c>
      <c r="B66" s="3214"/>
      <c r="C66" s="3214"/>
      <c r="D66" s="2813">
        <v>5656300</v>
      </c>
      <c r="E66" s="2813">
        <v>5680300</v>
      </c>
      <c r="F66" s="2813">
        <v>5680300</v>
      </c>
      <c r="G66" s="2813">
        <v>5680300</v>
      </c>
      <c r="H66" s="2813">
        <v>5680300</v>
      </c>
      <c r="I66" s="2813">
        <f>+I65+I62+I58+I55+I52+I48+I41+I38+I32+I29+I26+I23+I17+I14+I11+I8+I35+I20+I44</f>
        <v>5680300</v>
      </c>
      <c r="J66" s="2814">
        <f t="shared" si="0"/>
        <v>0</v>
      </c>
      <c r="K66" s="2776"/>
      <c r="L66" s="2777"/>
      <c r="M66" s="329"/>
    </row>
    <row r="67" spans="1:13">
      <c r="A67" s="109"/>
      <c r="B67" s="109"/>
      <c r="C67" s="109"/>
      <c r="D67" s="190">
        <v>5656300</v>
      </c>
      <c r="E67" s="190">
        <v>5680300</v>
      </c>
      <c r="F67" s="190">
        <v>5680300</v>
      </c>
      <c r="G67" s="190">
        <v>5680300</v>
      </c>
      <c r="H67" s="190">
        <v>5680300</v>
      </c>
      <c r="I67" s="190">
        <f>'Výdaje kapitol celkem'!I25</f>
        <v>5680300</v>
      </c>
      <c r="J67" s="284"/>
      <c r="K67" s="2741"/>
      <c r="L67" s="1916"/>
    </row>
    <row r="68" spans="1:13" s="323" customFormat="1">
      <c r="A68" s="180"/>
      <c r="B68" s="180"/>
      <c r="C68" s="180" t="s">
        <v>217</v>
      </c>
      <c r="D68" s="180">
        <v>0</v>
      </c>
      <c r="E68" s="180">
        <v>0</v>
      </c>
      <c r="F68" s="180">
        <v>0</v>
      </c>
      <c r="G68" s="180">
        <v>0</v>
      </c>
      <c r="H68" s="180">
        <v>0</v>
      </c>
      <c r="I68" s="284">
        <f>+I67-I66</f>
        <v>0</v>
      </c>
      <c r="J68" s="284"/>
      <c r="K68" s="2741"/>
      <c r="L68" s="1916"/>
    </row>
    <row r="69" spans="1:13">
      <c r="A69" s="2723" t="s">
        <v>545</v>
      </c>
      <c r="B69" s="109"/>
      <c r="C69" s="109"/>
      <c r="D69" s="109"/>
      <c r="E69" s="109"/>
      <c r="F69" s="109"/>
      <c r="G69" s="109"/>
      <c r="H69" s="109"/>
      <c r="I69" s="190"/>
      <c r="J69" s="284"/>
      <c r="K69" s="2741"/>
      <c r="L69" s="1916"/>
    </row>
  </sheetData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K14"/>
  <sheetViews>
    <sheetView workbookViewId="0">
      <selection activeCell="J6" sqref="J6:J11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7.73046875" style="316" bestFit="1" customWidth="1"/>
    <col min="4" max="6" width="10.59765625" style="316" hidden="1" customWidth="1"/>
    <col min="7" max="8" width="10.59765625" style="316" customWidth="1"/>
    <col min="9" max="9" width="10.59765625" style="316" bestFit="1" customWidth="1"/>
    <col min="10" max="10" width="12.265625" style="316" customWidth="1"/>
    <col min="11" max="11" width="23.73046875" style="316" customWidth="1"/>
    <col min="12" max="16384" width="9" style="316"/>
  </cols>
  <sheetData>
    <row r="1" spans="1:11" ht="16.149999999999999">
      <c r="A1" s="108" t="s">
        <v>2376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1" ht="13.5">
      <c r="A2" s="2793" t="s">
        <v>2389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ht="13.9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1:11" s="2798" customFormat="1" ht="40.9" thickBot="1">
      <c r="A4" s="2742" t="s">
        <v>1</v>
      </c>
      <c r="B4" s="2743" t="s">
        <v>63</v>
      </c>
      <c r="C4" s="2794" t="s">
        <v>6</v>
      </c>
      <c r="D4" s="2795" t="s">
        <v>2378</v>
      </c>
      <c r="E4" s="2795" t="s">
        <v>1953</v>
      </c>
      <c r="F4" s="2795" t="s">
        <v>2687</v>
      </c>
      <c r="G4" s="2795" t="s">
        <v>2810</v>
      </c>
      <c r="H4" s="2795" t="s">
        <v>2128</v>
      </c>
      <c r="I4" s="2795" t="s">
        <v>2878</v>
      </c>
      <c r="J4" s="2796" t="s">
        <v>5</v>
      </c>
      <c r="K4" s="2797" t="s">
        <v>548</v>
      </c>
    </row>
    <row r="5" spans="1:11" s="2490" customFormat="1">
      <c r="A5" s="2799">
        <v>6310</v>
      </c>
      <c r="B5" s="2800">
        <v>5141</v>
      </c>
      <c r="C5" s="2801" t="s">
        <v>2390</v>
      </c>
      <c r="D5" s="2802">
        <v>0</v>
      </c>
      <c r="E5" s="2802">
        <v>0</v>
      </c>
      <c r="F5" s="2802">
        <v>0</v>
      </c>
      <c r="G5" s="2802">
        <v>0</v>
      </c>
      <c r="H5" s="2802">
        <v>0</v>
      </c>
      <c r="I5" s="2802">
        <f>+[6]Úroky!$B$5</f>
        <v>0</v>
      </c>
      <c r="J5" s="2803">
        <f>+I5-H5</f>
        <v>0</v>
      </c>
      <c r="K5" s="2797"/>
    </row>
    <row r="6" spans="1:11">
      <c r="A6" s="2752">
        <v>6310</v>
      </c>
      <c r="B6" s="2753">
        <v>5141</v>
      </c>
      <c r="C6" s="2782" t="s">
        <v>2391</v>
      </c>
      <c r="D6" s="2804">
        <v>454401.98510000017</v>
      </c>
      <c r="E6" s="2804">
        <v>454401.98510000017</v>
      </c>
      <c r="F6" s="2804">
        <v>454401.98510000017</v>
      </c>
      <c r="G6" s="2804">
        <v>454401.98510000017</v>
      </c>
      <c r="H6" s="2804">
        <v>454401.98510000017</v>
      </c>
      <c r="I6" s="2804">
        <f>+[6]Úroky!$B$6</f>
        <v>454401.98510000017</v>
      </c>
      <c r="J6" s="2805">
        <f t="shared" ref="J6:J11" si="0">+I6-H6</f>
        <v>0</v>
      </c>
      <c r="K6" s="2134"/>
    </row>
    <row r="7" spans="1:11">
      <c r="A7" s="2752">
        <v>6310</v>
      </c>
      <c r="B7" s="2753">
        <v>5141</v>
      </c>
      <c r="C7" s="2782" t="s">
        <v>2392</v>
      </c>
      <c r="D7" s="2804">
        <v>477508.68</v>
      </c>
      <c r="E7" s="2804">
        <v>477508.68</v>
      </c>
      <c r="F7" s="2804">
        <v>477508.68</v>
      </c>
      <c r="G7" s="2804">
        <v>477508.68</v>
      </c>
      <c r="H7" s="2804">
        <v>477508.68</v>
      </c>
      <c r="I7" s="2804">
        <f>+[6]Úroky!$B$7</f>
        <v>477508.68</v>
      </c>
      <c r="J7" s="2805">
        <f t="shared" si="0"/>
        <v>0</v>
      </c>
      <c r="K7" s="2741"/>
    </row>
    <row r="8" spans="1:11">
      <c r="A8" s="2752">
        <v>6310</v>
      </c>
      <c r="B8" s="2753">
        <v>5141</v>
      </c>
      <c r="C8" s="2782" t="s">
        <v>2393</v>
      </c>
      <c r="D8" s="2804">
        <v>748461.43799999997</v>
      </c>
      <c r="E8" s="2804">
        <v>748461.43799999997</v>
      </c>
      <c r="F8" s="2804">
        <v>748461.43799999997</v>
      </c>
      <c r="G8" s="2804">
        <v>748461.43799999997</v>
      </c>
      <c r="H8" s="2804">
        <v>748461.43799999997</v>
      </c>
      <c r="I8" s="2804">
        <f>+[6]Úroky!$B$8</f>
        <v>748461.43799999997</v>
      </c>
      <c r="J8" s="2805">
        <f t="shared" si="0"/>
        <v>0</v>
      </c>
      <c r="K8" s="109"/>
    </row>
    <row r="9" spans="1:11">
      <c r="A9" s="2752">
        <v>6310</v>
      </c>
      <c r="B9" s="2753">
        <v>5141</v>
      </c>
      <c r="C9" s="2782" t="s">
        <v>2394</v>
      </c>
      <c r="D9" s="2804">
        <v>647385.82860000001</v>
      </c>
      <c r="E9" s="2804">
        <v>647385.82860000001</v>
      </c>
      <c r="F9" s="2804">
        <v>647385.82860000001</v>
      </c>
      <c r="G9" s="2804">
        <v>647385.82860000001</v>
      </c>
      <c r="H9" s="2804">
        <v>647385.82860000001</v>
      </c>
      <c r="I9" s="2804">
        <f>+[6]Úroky!$B$9</f>
        <v>647385.82860000001</v>
      </c>
      <c r="J9" s="2805">
        <f t="shared" si="0"/>
        <v>0</v>
      </c>
      <c r="K9" s="109"/>
    </row>
    <row r="10" spans="1:11">
      <c r="A10" s="2763">
        <v>6310</v>
      </c>
      <c r="B10" s="2764">
        <v>5141</v>
      </c>
      <c r="C10" s="2784" t="s">
        <v>2396</v>
      </c>
      <c r="D10" s="2806">
        <v>0</v>
      </c>
      <c r="E10" s="2806">
        <v>0</v>
      </c>
      <c r="F10" s="2806">
        <v>0</v>
      </c>
      <c r="G10" s="2806">
        <v>0</v>
      </c>
      <c r="H10" s="2806">
        <v>0</v>
      </c>
      <c r="I10" s="2806">
        <f>+[6]Úroky!$B$10</f>
        <v>0</v>
      </c>
      <c r="J10" s="2807">
        <f t="shared" si="0"/>
        <v>0</v>
      </c>
      <c r="K10" s="109"/>
    </row>
    <row r="11" spans="1:11" ht="19.5" customHeight="1" thickBot="1">
      <c r="A11" s="3215" t="s">
        <v>2395</v>
      </c>
      <c r="B11" s="3216"/>
      <c r="C11" s="2808"/>
      <c r="D11" s="2809">
        <v>2327757.9317000001</v>
      </c>
      <c r="E11" s="2809">
        <v>2327757.9317000001</v>
      </c>
      <c r="F11" s="2809">
        <v>2327757.9317000001</v>
      </c>
      <c r="G11" s="2809">
        <v>2327757.9317000001</v>
      </c>
      <c r="H11" s="2809">
        <v>2327757.9317000001</v>
      </c>
      <c r="I11" s="2809">
        <f>SUM(I5:I10)</f>
        <v>2327757.9317000001</v>
      </c>
      <c r="J11" s="2810">
        <f t="shared" si="0"/>
        <v>0</v>
      </c>
      <c r="K11" s="109"/>
    </row>
    <row r="12" spans="1:11">
      <c r="A12" s="109"/>
      <c r="B12" s="109"/>
      <c r="C12" s="109"/>
      <c r="D12" s="190">
        <v>2327757.9317000001</v>
      </c>
      <c r="E12" s="190">
        <v>2327757.9317000001</v>
      </c>
      <c r="F12" s="190">
        <v>2327757.9317000001</v>
      </c>
      <c r="G12" s="190">
        <v>2327757.9317000001</v>
      </c>
      <c r="H12" s="190">
        <v>2327757.9317000001</v>
      </c>
      <c r="I12" s="190">
        <f>+'Výdaje kapitol celkem'!I53</f>
        <v>2327757.9317000001</v>
      </c>
      <c r="J12" s="109"/>
      <c r="K12" s="109"/>
    </row>
    <row r="13" spans="1:11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f>+I12-I11</f>
        <v>0</v>
      </c>
      <c r="J13" s="180"/>
      <c r="K13" s="180"/>
    </row>
    <row r="14" spans="1:11" s="323" customFormat="1">
      <c r="A14" s="2723" t="s">
        <v>545</v>
      </c>
      <c r="B14" s="180"/>
      <c r="C14" s="180"/>
      <c r="D14" s="284"/>
      <c r="E14" s="284"/>
      <c r="F14" s="284"/>
      <c r="G14" s="284"/>
      <c r="H14" s="284"/>
      <c r="I14" s="284"/>
      <c r="J14" s="180"/>
      <c r="K14" s="180"/>
    </row>
  </sheetData>
  <mergeCells count="1">
    <mergeCell ref="A11:B1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M18"/>
  <sheetViews>
    <sheetView workbookViewId="0">
      <selection activeCell="J6" sqref="J6:J15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4" width="16.86328125" style="316" hidden="1" customWidth="1"/>
    <col min="5" max="6" width="13.265625" style="316" hidden="1" customWidth="1"/>
    <col min="7" max="8" width="13.265625" style="316" customWidth="1"/>
    <col min="9" max="9" width="13.265625" style="318" bestFit="1" customWidth="1"/>
    <col min="10" max="10" width="10.86328125" style="319" customWidth="1"/>
    <col min="11" max="11" width="11.73046875" style="2778" bestFit="1" customWidth="1"/>
    <col min="12" max="12" width="10.59765625" style="2779" bestFit="1" customWidth="1"/>
    <col min="13" max="16384" width="9" style="316"/>
  </cols>
  <sheetData>
    <row r="1" spans="1:13" s="2735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20.25" customHeight="1">
      <c r="A2" s="3211" t="s">
        <v>2380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80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/>
      <c r="L4" s="1916" t="s">
        <v>707</v>
      </c>
    </row>
    <row r="5" spans="1:13" ht="15.75" customHeight="1" outlineLevel="1">
      <c r="A5" s="2747"/>
      <c r="B5" s="2748" t="s">
        <v>164</v>
      </c>
      <c r="C5" s="2781" t="s">
        <v>83</v>
      </c>
      <c r="D5" s="2750">
        <v>80000</v>
      </c>
      <c r="E5" s="2750">
        <v>80000</v>
      </c>
      <c r="F5" s="2750">
        <v>80000</v>
      </c>
      <c r="G5" s="2750">
        <v>80000</v>
      </c>
      <c r="H5" s="2750">
        <v>80000</v>
      </c>
      <c r="I5" s="2750">
        <f>+[6]Úroky!$B$22</f>
        <v>80000</v>
      </c>
      <c r="J5" s="2751">
        <f>+I5-H5</f>
        <v>0</v>
      </c>
      <c r="K5" s="2741"/>
      <c r="L5" s="1916"/>
    </row>
    <row r="6" spans="1:13" ht="15.75" customHeight="1" outlineLevel="1">
      <c r="A6" s="2752"/>
      <c r="B6" s="2753">
        <v>6310</v>
      </c>
      <c r="C6" s="2782"/>
      <c r="D6" s="2755">
        <v>0</v>
      </c>
      <c r="E6" s="2755">
        <v>0</v>
      </c>
      <c r="F6" s="2755">
        <v>0</v>
      </c>
      <c r="G6" s="2755">
        <v>0</v>
      </c>
      <c r="H6" s="2755">
        <v>0</v>
      </c>
      <c r="I6" s="2755">
        <f>+[6]Úroky!$B$23</f>
        <v>0</v>
      </c>
      <c r="J6" s="2756">
        <f t="shared" ref="J6:J15" si="0">+I6-H6</f>
        <v>0</v>
      </c>
      <c r="K6" s="2741"/>
      <c r="L6" s="1916"/>
    </row>
    <row r="7" spans="1:13" ht="15.75" hidden="1" customHeight="1" outlineLevel="1">
      <c r="A7" s="2752"/>
      <c r="B7" s="2753"/>
      <c r="C7" s="2782"/>
      <c r="D7" s="2755"/>
      <c r="E7" s="2755"/>
      <c r="F7" s="2755"/>
      <c r="G7" s="2755"/>
      <c r="H7" s="2755"/>
      <c r="I7" s="2755"/>
      <c r="J7" s="2756">
        <f t="shared" si="0"/>
        <v>0</v>
      </c>
      <c r="K7" s="2741"/>
      <c r="L7" s="1916"/>
    </row>
    <row r="8" spans="1:13" s="432" customFormat="1" ht="16.5" customHeight="1" thickBot="1">
      <c r="A8" s="3218" t="s">
        <v>7</v>
      </c>
      <c r="B8" s="3219"/>
      <c r="C8" s="2783"/>
      <c r="D8" s="2758">
        <v>80000</v>
      </c>
      <c r="E8" s="2758">
        <v>80000</v>
      </c>
      <c r="F8" s="2758">
        <v>80000</v>
      </c>
      <c r="G8" s="2758">
        <v>80000</v>
      </c>
      <c r="H8" s="2758">
        <v>80000</v>
      </c>
      <c r="I8" s="2758">
        <f>SUM(I5:I7)</f>
        <v>80000</v>
      </c>
      <c r="J8" s="2759">
        <f t="shared" si="0"/>
        <v>0</v>
      </c>
      <c r="K8" s="285">
        <f>+'Výdaje kapitol celkem'!J29</f>
        <v>80000</v>
      </c>
      <c r="L8" s="2760">
        <f>+K8-I8</f>
        <v>0</v>
      </c>
      <c r="M8" s="329"/>
    </row>
    <row r="9" spans="1:13" ht="15.75" customHeight="1" outlineLevel="1">
      <c r="A9" s="2747">
        <v>6409</v>
      </c>
      <c r="B9" s="2748">
        <v>5163</v>
      </c>
      <c r="C9" s="2781" t="s">
        <v>2383</v>
      </c>
      <c r="D9" s="2750">
        <v>670000</v>
      </c>
      <c r="E9" s="2750">
        <v>670000</v>
      </c>
      <c r="F9" s="2750">
        <v>735912</v>
      </c>
      <c r="G9" s="2750">
        <v>735912</v>
      </c>
      <c r="H9" s="2750">
        <v>735912</v>
      </c>
      <c r="I9" s="2750">
        <f>+'[3]Všeob. pokladna'!$B$5</f>
        <v>735912</v>
      </c>
      <c r="J9" s="2751">
        <f t="shared" si="0"/>
        <v>0</v>
      </c>
      <c r="K9" s="2741"/>
      <c r="L9" s="2760"/>
      <c r="M9" s="329"/>
    </row>
    <row r="10" spans="1:13" ht="15.75" customHeight="1" outlineLevel="1">
      <c r="A10" s="2752">
        <v>6409</v>
      </c>
      <c r="B10" s="2753">
        <v>5163</v>
      </c>
      <c r="C10" s="2782" t="s">
        <v>2384</v>
      </c>
      <c r="D10" s="2755">
        <v>440000</v>
      </c>
      <c r="E10" s="2755">
        <v>440000</v>
      </c>
      <c r="F10" s="2755">
        <v>462078</v>
      </c>
      <c r="G10" s="2755">
        <v>462078</v>
      </c>
      <c r="H10" s="2755">
        <v>462078</v>
      </c>
      <c r="I10" s="2755">
        <f>+'[3]Všeob. pokladna'!$B$6</f>
        <v>462078</v>
      </c>
      <c r="J10" s="2761">
        <f t="shared" si="0"/>
        <v>0</v>
      </c>
      <c r="K10" s="2741"/>
      <c r="L10" s="2760"/>
      <c r="M10" s="329"/>
    </row>
    <row r="11" spans="1:13" s="432" customFormat="1" ht="16.5" customHeight="1" thickBot="1">
      <c r="A11" s="3218" t="s">
        <v>2382</v>
      </c>
      <c r="B11" s="3219"/>
      <c r="C11" s="2783"/>
      <c r="D11" s="2758">
        <v>1110000</v>
      </c>
      <c r="E11" s="2758">
        <v>1110000</v>
      </c>
      <c r="F11" s="2758">
        <v>1197990</v>
      </c>
      <c r="G11" s="2758">
        <v>1197990</v>
      </c>
      <c r="H11" s="2758">
        <v>1197990</v>
      </c>
      <c r="I11" s="2758">
        <f>SUM(I9:I10)</f>
        <v>1197990</v>
      </c>
      <c r="J11" s="2759">
        <f t="shared" si="0"/>
        <v>0</v>
      </c>
      <c r="K11" s="285">
        <f>+'Výdaje kapitol celkem'!N29</f>
        <v>1197990</v>
      </c>
      <c r="L11" s="2760">
        <f>+K11-I11</f>
        <v>0</v>
      </c>
      <c r="M11" s="329"/>
    </row>
    <row r="12" spans="1:13" ht="20.25" customHeight="1" outlineLevel="1">
      <c r="A12" s="2752">
        <v>5512</v>
      </c>
      <c r="B12" s="2753">
        <v>5163</v>
      </c>
      <c r="C12" s="2782"/>
      <c r="D12" s="2755">
        <v>30000</v>
      </c>
      <c r="E12" s="2755">
        <v>30000</v>
      </c>
      <c r="F12" s="2755">
        <v>30000</v>
      </c>
      <c r="G12" s="2755">
        <v>30000</v>
      </c>
      <c r="H12" s="2755">
        <v>30000</v>
      </c>
      <c r="I12" s="2755">
        <f>+[2]Hasiči!$B$41</f>
        <v>30000</v>
      </c>
      <c r="J12" s="2761">
        <f t="shared" si="0"/>
        <v>0</v>
      </c>
      <c r="K12" s="2741"/>
      <c r="L12" s="2760"/>
      <c r="M12" s="329"/>
    </row>
    <row r="13" spans="1:13" ht="20.25" customHeight="1" outlineLevel="1">
      <c r="A13" s="2752">
        <v>5512</v>
      </c>
      <c r="B13" s="2753">
        <v>5163</v>
      </c>
      <c r="C13" s="2782"/>
      <c r="D13" s="2755">
        <v>0</v>
      </c>
      <c r="E13" s="2755">
        <v>0</v>
      </c>
      <c r="F13" s="2755">
        <v>0</v>
      </c>
      <c r="G13" s="2755">
        <v>0</v>
      </c>
      <c r="H13" s="2755">
        <v>0</v>
      </c>
      <c r="I13" s="2755">
        <f>+[2]Hasiči!$B$42</f>
        <v>0</v>
      </c>
      <c r="J13" s="2761">
        <f t="shared" si="0"/>
        <v>0</v>
      </c>
      <c r="K13" s="2741"/>
      <c r="L13" s="2760"/>
      <c r="M13" s="329"/>
    </row>
    <row r="14" spans="1:13" ht="20.25" customHeight="1" thickBot="1">
      <c r="A14" s="3218" t="s">
        <v>203</v>
      </c>
      <c r="B14" s="3219"/>
      <c r="C14" s="2783"/>
      <c r="D14" s="2758">
        <v>30000</v>
      </c>
      <c r="E14" s="2758">
        <v>30000</v>
      </c>
      <c r="F14" s="2758">
        <v>30000</v>
      </c>
      <c r="G14" s="2758">
        <v>30000</v>
      </c>
      <c r="H14" s="2758">
        <v>30000</v>
      </c>
      <c r="I14" s="2758">
        <f>SUM(I12:I13)</f>
        <v>30000</v>
      </c>
      <c r="J14" s="2759">
        <f t="shared" si="0"/>
        <v>0</v>
      </c>
      <c r="K14" s="285">
        <f>+'Výdaje kapitol celkem'!AO29</f>
        <v>30000</v>
      </c>
      <c r="L14" s="2760">
        <f>+K14-I14</f>
        <v>0</v>
      </c>
      <c r="M14" s="329"/>
    </row>
    <row r="15" spans="1:13" s="281" customFormat="1" ht="16.5" thickBot="1">
      <c r="A15" s="3213" t="s">
        <v>2381</v>
      </c>
      <c r="B15" s="3214"/>
      <c r="C15" s="3217"/>
      <c r="D15" s="2813">
        <v>1220000</v>
      </c>
      <c r="E15" s="2813">
        <v>1220000</v>
      </c>
      <c r="F15" s="2813">
        <v>1307990</v>
      </c>
      <c r="G15" s="2813">
        <v>1307990</v>
      </c>
      <c r="H15" s="2813">
        <v>1307990</v>
      </c>
      <c r="I15" s="2813">
        <f>+I8+I11+I14</f>
        <v>1307990</v>
      </c>
      <c r="J15" s="2814">
        <f t="shared" si="0"/>
        <v>0</v>
      </c>
      <c r="K15" s="2776"/>
      <c r="L15" s="2777"/>
      <c r="M15" s="329"/>
    </row>
    <row r="16" spans="1:13">
      <c r="A16" s="109"/>
      <c r="B16" s="109"/>
      <c r="C16" s="109"/>
      <c r="D16" s="190">
        <v>1220000</v>
      </c>
      <c r="E16" s="190">
        <v>1220000</v>
      </c>
      <c r="F16" s="190">
        <v>1307990</v>
      </c>
      <c r="G16" s="190">
        <v>1307990</v>
      </c>
      <c r="H16" s="190">
        <v>1307990</v>
      </c>
      <c r="I16" s="190">
        <f>+'Výdaje kapitol celkem'!I29</f>
        <v>1307990</v>
      </c>
      <c r="J16" s="284"/>
      <c r="K16" s="2741"/>
      <c r="L16" s="1916"/>
    </row>
    <row r="17" spans="1:12" s="323" customFormat="1">
      <c r="A17" s="180"/>
      <c r="B17" s="180"/>
      <c r="C17" s="180" t="s">
        <v>217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284">
        <f>+I16-I15</f>
        <v>0</v>
      </c>
      <c r="J17" s="284"/>
      <c r="K17" s="2741"/>
      <c r="L17" s="1916"/>
    </row>
    <row r="18" spans="1:12">
      <c r="A18" s="2723" t="s">
        <v>545</v>
      </c>
      <c r="B18" s="109"/>
      <c r="C18" s="109"/>
      <c r="D18" s="109"/>
      <c r="E18" s="109"/>
      <c r="F18" s="109"/>
      <c r="G18" s="109"/>
      <c r="H18" s="109"/>
      <c r="I18" s="190"/>
      <c r="J18" s="284"/>
      <c r="K18" s="2741"/>
      <c r="L18" s="1916"/>
    </row>
  </sheetData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66"/>
  <sheetViews>
    <sheetView workbookViewId="0">
      <selection activeCell="J6" sqref="J6:J62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40" style="316" customWidth="1"/>
    <col min="4" max="4" width="14.265625" style="316" hidden="1" customWidth="1"/>
    <col min="5" max="6" width="10" style="316" hidden="1" customWidth="1"/>
    <col min="7" max="8" width="10" style="316" customWidth="1"/>
    <col min="9" max="9" width="11" style="318" bestFit="1" customWidth="1"/>
    <col min="10" max="10" width="10" style="319" customWidth="1"/>
    <col min="11" max="11" width="9.265625" style="2846" bestFit="1" customWidth="1"/>
    <col min="12" max="12" width="10" style="2779" bestFit="1" customWidth="1"/>
    <col min="13" max="16384" width="9" style="316"/>
  </cols>
  <sheetData>
    <row r="1" spans="1:13" s="2735" customFormat="1" ht="25.5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815"/>
      <c r="L1" s="2734"/>
    </row>
    <row r="2" spans="1:13" s="2740" customFormat="1" ht="25.5" customHeight="1">
      <c r="A2" s="3211" t="s">
        <v>712</v>
      </c>
      <c r="B2" s="3211"/>
      <c r="C2" s="3212"/>
      <c r="D2" s="2979"/>
      <c r="E2" s="2979"/>
      <c r="F2" s="2979"/>
      <c r="G2" s="2979"/>
      <c r="H2" s="2979"/>
      <c r="I2" s="2736"/>
      <c r="J2" s="2737"/>
      <c r="K2" s="2816"/>
      <c r="L2" s="2739"/>
    </row>
    <row r="3" spans="1:13" ht="25.5" customHeight="1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817"/>
      <c r="L3" s="1916"/>
    </row>
    <row r="4" spans="1:13" ht="24.4" thickBot="1">
      <c r="A4" s="2818" t="s">
        <v>1</v>
      </c>
      <c r="B4" s="2819" t="s">
        <v>63</v>
      </c>
      <c r="C4" s="2820" t="s">
        <v>6</v>
      </c>
      <c r="D4" s="2821" t="s">
        <v>2378</v>
      </c>
      <c r="E4" s="2821" t="s">
        <v>1953</v>
      </c>
      <c r="F4" s="2821" t="s">
        <v>2687</v>
      </c>
      <c r="G4" s="2821" t="s">
        <v>2810</v>
      </c>
      <c r="H4" s="2821" t="s">
        <v>2128</v>
      </c>
      <c r="I4" s="2821" t="s">
        <v>2878</v>
      </c>
      <c r="J4" s="2822" t="s">
        <v>5</v>
      </c>
      <c r="K4" s="2817" t="s">
        <v>763</v>
      </c>
      <c r="L4" s="1916" t="s">
        <v>707</v>
      </c>
    </row>
    <row r="5" spans="1:13" ht="15" customHeight="1" outlineLevel="1">
      <c r="A5" s="2823">
        <v>6409</v>
      </c>
      <c r="B5" s="2824">
        <v>5164</v>
      </c>
      <c r="C5" s="2825" t="s">
        <v>1699</v>
      </c>
      <c r="D5" s="2826"/>
      <c r="E5" s="2826"/>
      <c r="F5" s="2826"/>
      <c r="G5" s="2826"/>
      <c r="H5" s="2826"/>
      <c r="I5" s="2826"/>
      <c r="J5" s="2827">
        <f>+I5-H5</f>
        <v>0</v>
      </c>
      <c r="K5" s="2817"/>
      <c r="L5" s="1916"/>
    </row>
    <row r="6" spans="1:13" ht="15" customHeight="1" outlineLevel="1">
      <c r="A6" s="2828">
        <v>6409</v>
      </c>
      <c r="B6" s="2829">
        <f>+B5</f>
        <v>5164</v>
      </c>
      <c r="C6" s="2830" t="s">
        <v>2610</v>
      </c>
      <c r="D6" s="2831">
        <v>7000</v>
      </c>
      <c r="E6" s="2831">
        <v>7000</v>
      </c>
      <c r="F6" s="2831">
        <v>7000</v>
      </c>
      <c r="G6" s="2831">
        <v>7000</v>
      </c>
      <c r="H6" s="2831">
        <v>7000</v>
      </c>
      <c r="I6" s="2831">
        <f>+'[3]Všeob. pokladna'!$B$12</f>
        <v>7000</v>
      </c>
      <c r="J6" s="2832">
        <f t="shared" ref="J6:J62" si="0">+I6-H6</f>
        <v>0</v>
      </c>
      <c r="K6" s="2817"/>
      <c r="L6" s="1916"/>
    </row>
    <row r="7" spans="1:13" s="432" customFormat="1" ht="15" customHeight="1" thickBot="1">
      <c r="A7" s="3223" t="s">
        <v>1218</v>
      </c>
      <c r="B7" s="3224"/>
      <c r="C7" s="2833"/>
      <c r="D7" s="2834">
        <v>7000</v>
      </c>
      <c r="E7" s="2834">
        <v>7000</v>
      </c>
      <c r="F7" s="2834">
        <v>7000</v>
      </c>
      <c r="G7" s="2834">
        <v>7000</v>
      </c>
      <c r="H7" s="2834">
        <v>7000</v>
      </c>
      <c r="I7" s="2834">
        <f t="shared" ref="I7" si="1">SUM(I5:I6)</f>
        <v>7000</v>
      </c>
      <c r="J7" s="2835">
        <f t="shared" si="0"/>
        <v>0</v>
      </c>
      <c r="K7" s="2836">
        <f>'Výdaje kapitol celkem'!N30</f>
        <v>7000</v>
      </c>
      <c r="L7" s="2760">
        <f>+K7-I7</f>
        <v>0</v>
      </c>
      <c r="M7" s="329"/>
    </row>
    <row r="8" spans="1:13" ht="15" customHeight="1" outlineLevel="1">
      <c r="A8" s="2823">
        <v>6112</v>
      </c>
      <c r="B8" s="2824">
        <f>+B31</f>
        <v>5164</v>
      </c>
      <c r="C8" s="2825" t="s">
        <v>2364</v>
      </c>
      <c r="D8" s="2826">
        <v>17000</v>
      </c>
      <c r="E8" s="2826">
        <v>17000</v>
      </c>
      <c r="F8" s="2826">
        <v>17000</v>
      </c>
      <c r="G8" s="2826">
        <v>17000</v>
      </c>
      <c r="H8" s="2826">
        <v>17000</v>
      </c>
      <c r="I8" s="2826">
        <f>+[2]Zastupitelé!$B$38</f>
        <v>17000</v>
      </c>
      <c r="J8" s="2827">
        <f t="shared" si="0"/>
        <v>0</v>
      </c>
      <c r="K8" s="2817"/>
      <c r="L8" s="2760"/>
    </row>
    <row r="9" spans="1:13" ht="15" customHeight="1" outlineLevel="1">
      <c r="A9" s="2828">
        <v>6112</v>
      </c>
      <c r="B9" s="2829">
        <f>+B8</f>
        <v>5164</v>
      </c>
      <c r="C9" s="2830"/>
      <c r="D9" s="2831">
        <v>0</v>
      </c>
      <c r="E9" s="2831">
        <v>0</v>
      </c>
      <c r="F9" s="2831">
        <v>0</v>
      </c>
      <c r="G9" s="2831">
        <v>0</v>
      </c>
      <c r="H9" s="2831">
        <v>0</v>
      </c>
      <c r="I9" s="2831">
        <f>+[2]Zastupitelé!$B$39</f>
        <v>0</v>
      </c>
      <c r="J9" s="2832">
        <f t="shared" si="0"/>
        <v>0</v>
      </c>
      <c r="K9" s="2817"/>
      <c r="L9" s="2760"/>
    </row>
    <row r="10" spans="1:13" s="432" customFormat="1" ht="15" customHeight="1" thickBot="1">
      <c r="A10" s="3223" t="s">
        <v>1207</v>
      </c>
      <c r="B10" s="3224"/>
      <c r="C10" s="2833"/>
      <c r="D10" s="2834">
        <v>17000</v>
      </c>
      <c r="E10" s="2834">
        <v>17000</v>
      </c>
      <c r="F10" s="2834">
        <v>17000</v>
      </c>
      <c r="G10" s="2834">
        <v>17000</v>
      </c>
      <c r="H10" s="2834">
        <v>17000</v>
      </c>
      <c r="I10" s="2834">
        <f t="shared" ref="I10" si="2">SUM(I8:I9)</f>
        <v>17000</v>
      </c>
      <c r="J10" s="2835">
        <f t="shared" si="0"/>
        <v>0</v>
      </c>
      <c r="K10" s="2836">
        <f>'Výdaje kapitol celkem'!P30</f>
        <v>17000</v>
      </c>
      <c r="L10" s="2760">
        <f>+K10-I10</f>
        <v>0</v>
      </c>
      <c r="M10" s="329"/>
    </row>
    <row r="11" spans="1:13" ht="15" customHeight="1" outlineLevel="1">
      <c r="A11" s="2823">
        <v>3314</v>
      </c>
      <c r="B11" s="2824">
        <f>+B30</f>
        <v>5164</v>
      </c>
      <c r="C11" s="2825"/>
      <c r="D11" s="2826">
        <v>192000</v>
      </c>
      <c r="E11" s="2826">
        <v>192000</v>
      </c>
      <c r="F11" s="2826">
        <v>192000</v>
      </c>
      <c r="G11" s="2826">
        <v>192000</v>
      </c>
      <c r="H11" s="2826">
        <v>192000</v>
      </c>
      <c r="I11" s="2826">
        <f>+[2]Knihovna!$B$41</f>
        <v>192000</v>
      </c>
      <c r="J11" s="2827">
        <f t="shared" si="0"/>
        <v>0</v>
      </c>
      <c r="K11" s="2817"/>
      <c r="L11" s="2760"/>
    </row>
    <row r="12" spans="1:13" ht="15" customHeight="1" outlineLevel="1">
      <c r="A12" s="2828">
        <v>3314</v>
      </c>
      <c r="B12" s="2829">
        <v>5164</v>
      </c>
      <c r="C12" s="2830"/>
      <c r="D12" s="2831">
        <v>0</v>
      </c>
      <c r="E12" s="2831">
        <v>0</v>
      </c>
      <c r="F12" s="2831">
        <v>0</v>
      </c>
      <c r="G12" s="2831">
        <v>0</v>
      </c>
      <c r="H12" s="2831">
        <v>0</v>
      </c>
      <c r="I12" s="2831">
        <f>+[2]Knihovna!$B$42</f>
        <v>0</v>
      </c>
      <c r="J12" s="2832">
        <f t="shared" si="0"/>
        <v>0</v>
      </c>
      <c r="K12" s="2817"/>
      <c r="L12" s="2760"/>
    </row>
    <row r="13" spans="1:13" s="432" customFormat="1" ht="15" customHeight="1" thickBot="1">
      <c r="A13" s="3223" t="s">
        <v>1179</v>
      </c>
      <c r="B13" s="3224"/>
      <c r="C13" s="2833"/>
      <c r="D13" s="2834">
        <v>192000</v>
      </c>
      <c r="E13" s="2834">
        <v>192000</v>
      </c>
      <c r="F13" s="2834">
        <v>192000</v>
      </c>
      <c r="G13" s="2834">
        <v>192000</v>
      </c>
      <c r="H13" s="2834">
        <v>192000</v>
      </c>
      <c r="I13" s="2834">
        <f t="shared" ref="I13" si="3">SUM(I11:I12)</f>
        <v>192000</v>
      </c>
      <c r="J13" s="2835">
        <f t="shared" si="0"/>
        <v>0</v>
      </c>
      <c r="K13" s="2836">
        <f>'Výdaje kapitol celkem'!AC30</f>
        <v>192000</v>
      </c>
      <c r="L13" s="2760">
        <f>+K13-I13</f>
        <v>0</v>
      </c>
      <c r="M13" s="329"/>
    </row>
    <row r="14" spans="1:13" ht="15" customHeight="1" outlineLevel="1">
      <c r="A14" s="2823">
        <v>3399</v>
      </c>
      <c r="B14" s="2824">
        <f>+B9</f>
        <v>5164</v>
      </c>
      <c r="C14" s="2825" t="s">
        <v>2365</v>
      </c>
      <c r="D14" s="2826">
        <v>0</v>
      </c>
      <c r="E14" s="2826">
        <v>0</v>
      </c>
      <c r="F14" s="2826">
        <v>0</v>
      </c>
      <c r="G14" s="2826">
        <v>0</v>
      </c>
      <c r="H14" s="2826">
        <v>0</v>
      </c>
      <c r="I14" s="2826">
        <f>+[2]Kultura!$B$22</f>
        <v>0</v>
      </c>
      <c r="J14" s="2827">
        <f t="shared" si="0"/>
        <v>0</v>
      </c>
      <c r="K14" s="2817"/>
      <c r="L14" s="2760"/>
    </row>
    <row r="15" spans="1:13" ht="15" customHeight="1" outlineLevel="1">
      <c r="A15" s="2828">
        <v>3399</v>
      </c>
      <c r="B15" s="2829">
        <f>+B14</f>
        <v>5164</v>
      </c>
      <c r="C15" s="2830" t="s">
        <v>2249</v>
      </c>
      <c r="D15" s="2831">
        <v>80000</v>
      </c>
      <c r="E15" s="2831">
        <v>80000</v>
      </c>
      <c r="F15" s="2831">
        <v>80000</v>
      </c>
      <c r="G15" s="2831">
        <v>80000</v>
      </c>
      <c r="H15" s="2831">
        <v>80000</v>
      </c>
      <c r="I15" s="2831">
        <f>+[2]Kultura!$B$23</f>
        <v>80000</v>
      </c>
      <c r="J15" s="2832">
        <f t="shared" si="0"/>
        <v>0</v>
      </c>
      <c r="K15" s="2817"/>
      <c r="L15" s="2760"/>
    </row>
    <row r="16" spans="1:13" ht="15" customHeight="1" outlineLevel="1">
      <c r="A16" s="2828">
        <v>3399</v>
      </c>
      <c r="B16" s="2829">
        <f>+B15</f>
        <v>5164</v>
      </c>
      <c r="C16" s="2830"/>
      <c r="D16" s="2831"/>
      <c r="E16" s="2831"/>
      <c r="F16" s="2831"/>
      <c r="G16" s="2831"/>
      <c r="H16" s="2831"/>
      <c r="I16" s="2831"/>
      <c r="J16" s="2832">
        <f t="shared" si="0"/>
        <v>0</v>
      </c>
      <c r="K16" s="2817"/>
      <c r="L16" s="2760"/>
    </row>
    <row r="17" spans="1:13" s="432" customFormat="1" ht="15" customHeight="1" thickBot="1">
      <c r="A17" s="3223" t="s">
        <v>1204</v>
      </c>
      <c r="B17" s="3224"/>
      <c r="C17" s="2833"/>
      <c r="D17" s="2834">
        <v>80000</v>
      </c>
      <c r="E17" s="2834">
        <v>80000</v>
      </c>
      <c r="F17" s="2834">
        <v>80000</v>
      </c>
      <c r="G17" s="2834">
        <v>80000</v>
      </c>
      <c r="H17" s="2834">
        <v>80000</v>
      </c>
      <c r="I17" s="2834">
        <f t="shared" ref="I17" si="4">SUM(I14:I16)</f>
        <v>80000</v>
      </c>
      <c r="J17" s="2835">
        <f t="shared" si="0"/>
        <v>0</v>
      </c>
      <c r="K17" s="2836">
        <f>'Výdaje kapitol celkem'!AE30</f>
        <v>80000</v>
      </c>
      <c r="L17" s="2760">
        <f>+K17-I17</f>
        <v>0</v>
      </c>
      <c r="M17" s="329"/>
    </row>
    <row r="18" spans="1:13" ht="15" customHeight="1" outlineLevel="1">
      <c r="A18" s="2823">
        <v>3612</v>
      </c>
      <c r="B18" s="2824">
        <f>+B16</f>
        <v>5164</v>
      </c>
      <c r="C18" s="2825" t="s">
        <v>1700</v>
      </c>
      <c r="D18" s="2826"/>
      <c r="E18" s="2826"/>
      <c r="F18" s="2826"/>
      <c r="G18" s="2826"/>
      <c r="H18" s="2826"/>
      <c r="I18" s="2826"/>
      <c r="J18" s="2827">
        <f t="shared" si="0"/>
        <v>0</v>
      </c>
      <c r="K18" s="2817"/>
      <c r="L18" s="2760"/>
      <c r="M18" s="329"/>
    </row>
    <row r="19" spans="1:13" ht="15" customHeight="1" outlineLevel="1">
      <c r="A19" s="2828">
        <v>3612</v>
      </c>
      <c r="B19" s="2829">
        <f>+B18</f>
        <v>5164</v>
      </c>
      <c r="C19" s="2830"/>
      <c r="D19" s="2831">
        <v>0</v>
      </c>
      <c r="E19" s="2831">
        <v>0</v>
      </c>
      <c r="F19" s="2831">
        <v>0</v>
      </c>
      <c r="G19" s="2831">
        <v>0</v>
      </c>
      <c r="H19" s="2831">
        <v>0</v>
      </c>
      <c r="I19" s="2831">
        <f>+[3]Byty!$B$19</f>
        <v>0</v>
      </c>
      <c r="J19" s="2832">
        <f t="shared" si="0"/>
        <v>0</v>
      </c>
      <c r="K19" s="2817"/>
      <c r="L19" s="2760"/>
      <c r="M19" s="329"/>
    </row>
    <row r="20" spans="1:13" s="432" customFormat="1" ht="15" customHeight="1" thickBot="1">
      <c r="A20" s="3223" t="s">
        <v>1219</v>
      </c>
      <c r="B20" s="3224"/>
      <c r="C20" s="2833"/>
      <c r="D20" s="2834">
        <v>0</v>
      </c>
      <c r="E20" s="2834">
        <v>0</v>
      </c>
      <c r="F20" s="2834">
        <v>0</v>
      </c>
      <c r="G20" s="2834">
        <v>0</v>
      </c>
      <c r="H20" s="2834">
        <v>0</v>
      </c>
      <c r="I20" s="2834">
        <f t="shared" ref="I20" si="5">SUM(I18:I19)</f>
        <v>0</v>
      </c>
      <c r="J20" s="2835">
        <f t="shared" si="0"/>
        <v>0</v>
      </c>
      <c r="K20" s="2836">
        <f>'Výdaje kapitol celkem'!AF30</f>
        <v>0</v>
      </c>
      <c r="L20" s="2760">
        <f>+K20-I20</f>
        <v>0</v>
      </c>
      <c r="M20" s="329"/>
    </row>
    <row r="21" spans="1:13" ht="15" customHeight="1" outlineLevel="1">
      <c r="A21" s="2823">
        <v>3412</v>
      </c>
      <c r="B21" s="2824">
        <f>+B11</f>
        <v>5164</v>
      </c>
      <c r="C21" s="2825" t="s">
        <v>1701</v>
      </c>
      <c r="D21" s="2826">
        <v>100000</v>
      </c>
      <c r="E21" s="2826">
        <v>100000</v>
      </c>
      <c r="F21" s="2826">
        <v>0</v>
      </c>
      <c r="G21" s="2826">
        <v>0</v>
      </c>
      <c r="H21" s="2826">
        <v>0</v>
      </c>
      <c r="I21" s="2826">
        <f>+[3]koupaliště!$B$13</f>
        <v>0</v>
      </c>
      <c r="J21" s="2827">
        <f t="shared" si="0"/>
        <v>0</v>
      </c>
      <c r="K21" s="2817"/>
      <c r="L21" s="2760"/>
      <c r="M21" s="329"/>
    </row>
    <row r="22" spans="1:13" ht="15" customHeight="1" outlineLevel="1">
      <c r="A22" s="2828">
        <v>3412</v>
      </c>
      <c r="B22" s="2829">
        <f>+B21</f>
        <v>5164</v>
      </c>
      <c r="C22" s="2830"/>
      <c r="D22" s="2831">
        <v>0</v>
      </c>
      <c r="E22" s="2831">
        <v>0</v>
      </c>
      <c r="F22" s="2831">
        <v>0</v>
      </c>
      <c r="G22" s="2831">
        <v>0</v>
      </c>
      <c r="H22" s="2831">
        <v>0</v>
      </c>
      <c r="I22" s="2831">
        <f>+[3]koupaliště!$B$14</f>
        <v>0</v>
      </c>
      <c r="J22" s="2832">
        <f t="shared" si="0"/>
        <v>0</v>
      </c>
      <c r="K22" s="2817"/>
      <c r="L22" s="2760"/>
      <c r="M22" s="329"/>
    </row>
    <row r="23" spans="1:13" s="432" customFormat="1" ht="15" customHeight="1" thickBot="1">
      <c r="A23" s="3223" t="s">
        <v>1182</v>
      </c>
      <c r="B23" s="3224"/>
      <c r="C23" s="2833"/>
      <c r="D23" s="2834">
        <v>100000</v>
      </c>
      <c r="E23" s="2834">
        <v>100000</v>
      </c>
      <c r="F23" s="2834">
        <v>0</v>
      </c>
      <c r="G23" s="2834">
        <v>0</v>
      </c>
      <c r="H23" s="2834">
        <v>0</v>
      </c>
      <c r="I23" s="2834">
        <f t="shared" ref="I23" si="6">SUM(I21:I22)</f>
        <v>0</v>
      </c>
      <c r="J23" s="2835">
        <f t="shared" si="0"/>
        <v>0</v>
      </c>
      <c r="K23" s="2836">
        <f>'Výdaje kapitol celkem'!AU30</f>
        <v>0</v>
      </c>
      <c r="L23" s="2760">
        <f>+K23-I23</f>
        <v>0</v>
      </c>
      <c r="M23" s="329"/>
    </row>
    <row r="24" spans="1:13" ht="15" customHeight="1" outlineLevel="1">
      <c r="A24" s="2823" t="s">
        <v>1183</v>
      </c>
      <c r="B24" s="2824">
        <f>+B14</f>
        <v>5164</v>
      </c>
      <c r="C24" s="2825"/>
      <c r="D24" s="2826">
        <v>0</v>
      </c>
      <c r="E24" s="2826">
        <v>0</v>
      </c>
      <c r="F24" s="2826">
        <v>0</v>
      </c>
      <c r="G24" s="2826">
        <v>0</v>
      </c>
      <c r="H24" s="2826">
        <v>0</v>
      </c>
      <c r="I24" s="2826">
        <f>+[3]Hřiště!$B$5</f>
        <v>0</v>
      </c>
      <c r="J24" s="2827">
        <f t="shared" si="0"/>
        <v>0</v>
      </c>
      <c r="K24" s="2817"/>
      <c r="L24" s="2760"/>
    </row>
    <row r="25" spans="1:13" ht="15" customHeight="1" outlineLevel="1">
      <c r="A25" s="2828" t="s">
        <v>1183</v>
      </c>
      <c r="B25" s="2829">
        <f>+B24</f>
        <v>5164</v>
      </c>
      <c r="C25" s="2830"/>
      <c r="D25" s="2831">
        <v>0</v>
      </c>
      <c r="E25" s="2831">
        <v>0</v>
      </c>
      <c r="F25" s="2831">
        <v>0</v>
      </c>
      <c r="G25" s="2831">
        <v>0</v>
      </c>
      <c r="H25" s="2831">
        <v>0</v>
      </c>
      <c r="I25" s="2831">
        <f>+[3]Hřiště!$B$6</f>
        <v>0</v>
      </c>
      <c r="J25" s="2832">
        <f t="shared" si="0"/>
        <v>0</v>
      </c>
      <c r="K25" s="2817"/>
      <c r="L25" s="2760">
        <f>+K25-I25</f>
        <v>0</v>
      </c>
    </row>
    <row r="26" spans="1:13" s="432" customFormat="1" ht="15" customHeight="1" thickBot="1">
      <c r="A26" s="3223" t="s">
        <v>1184</v>
      </c>
      <c r="B26" s="3224"/>
      <c r="C26" s="2833"/>
      <c r="D26" s="2834">
        <v>0</v>
      </c>
      <c r="E26" s="2834">
        <v>0</v>
      </c>
      <c r="F26" s="2834">
        <v>0</v>
      </c>
      <c r="G26" s="2834">
        <v>0</v>
      </c>
      <c r="H26" s="2834">
        <v>0</v>
      </c>
      <c r="I26" s="2834">
        <f t="shared" ref="I26" si="7">SUM(I24:I25)</f>
        <v>0</v>
      </c>
      <c r="J26" s="2835">
        <f t="shared" si="0"/>
        <v>0</v>
      </c>
      <c r="K26" s="2836">
        <f>'Výdaje kapitol celkem'!AX30</f>
        <v>0</v>
      </c>
      <c r="L26" s="2760">
        <f>+K26-I26</f>
        <v>0</v>
      </c>
      <c r="M26" s="329"/>
    </row>
    <row r="27" spans="1:13" ht="15" customHeight="1" outlineLevel="1">
      <c r="A27" s="2823" t="s">
        <v>1185</v>
      </c>
      <c r="B27" s="2824">
        <v>5164</v>
      </c>
      <c r="C27" s="2825" t="s">
        <v>1702</v>
      </c>
      <c r="D27" s="2826">
        <v>16208</v>
      </c>
      <c r="E27" s="2826">
        <v>0</v>
      </c>
      <c r="F27" s="2826">
        <v>0</v>
      </c>
      <c r="G27" s="2826">
        <v>0</v>
      </c>
      <c r="H27" s="2826">
        <v>0</v>
      </c>
      <c r="I27" s="2826">
        <f>+[3]Spolky!$B$5</f>
        <v>0</v>
      </c>
      <c r="J27" s="2827">
        <f t="shared" si="0"/>
        <v>0</v>
      </c>
      <c r="K27" s="2817"/>
      <c r="L27" s="2760"/>
      <c r="M27" s="329"/>
    </row>
    <row r="28" spans="1:13" ht="15" customHeight="1" outlineLevel="1">
      <c r="A28" s="2828" t="s">
        <v>1185</v>
      </c>
      <c r="B28" s="2829">
        <f>+B27</f>
        <v>5164</v>
      </c>
      <c r="C28" s="2830"/>
      <c r="D28" s="2831">
        <v>0</v>
      </c>
      <c r="E28" s="2831">
        <v>0</v>
      </c>
      <c r="F28" s="2831">
        <v>0</v>
      </c>
      <c r="G28" s="2831">
        <v>0</v>
      </c>
      <c r="H28" s="2831">
        <v>0</v>
      </c>
      <c r="I28" s="2831">
        <f>+[3]Spolky!$B$6</f>
        <v>0</v>
      </c>
      <c r="J28" s="2832">
        <f t="shared" si="0"/>
        <v>0</v>
      </c>
      <c r="K28" s="2817"/>
      <c r="L28" s="2760"/>
      <c r="M28" s="329"/>
    </row>
    <row r="29" spans="1:13" s="432" customFormat="1" ht="15" customHeight="1" thickBot="1">
      <c r="A29" s="3223" t="s">
        <v>1186</v>
      </c>
      <c r="B29" s="3224"/>
      <c r="C29" s="2833"/>
      <c r="D29" s="2834">
        <v>16208</v>
      </c>
      <c r="E29" s="2834">
        <v>0</v>
      </c>
      <c r="F29" s="2834">
        <v>0</v>
      </c>
      <c r="G29" s="2834">
        <v>0</v>
      </c>
      <c r="H29" s="2834">
        <v>0</v>
      </c>
      <c r="I29" s="2834">
        <f t="shared" ref="I29" si="8">SUM(I27:I28)</f>
        <v>0</v>
      </c>
      <c r="J29" s="2835">
        <f t="shared" si="0"/>
        <v>0</v>
      </c>
      <c r="K29" s="2836">
        <f>'Výdaje kapitol celkem'!BA30</f>
        <v>0</v>
      </c>
      <c r="L29" s="2760">
        <f>+K29-I29</f>
        <v>0</v>
      </c>
      <c r="M29" s="329"/>
    </row>
    <row r="30" spans="1:13" ht="15" customHeight="1" outlineLevel="1">
      <c r="A30" s="2823">
        <v>3113</v>
      </c>
      <c r="B30" s="2824">
        <v>5164</v>
      </c>
      <c r="C30" s="2825" t="s">
        <v>1944</v>
      </c>
      <c r="D30" s="2826">
        <v>900000</v>
      </c>
      <c r="E30" s="2826">
        <v>900000</v>
      </c>
      <c r="F30" s="2826">
        <v>900000</v>
      </c>
      <c r="G30" s="2826">
        <v>900000</v>
      </c>
      <c r="H30" s="2826">
        <v>900000</v>
      </c>
      <c r="I30" s="2826">
        <f>+[6]ZŠ!$B$26</f>
        <v>900000</v>
      </c>
      <c r="J30" s="2827">
        <f t="shared" si="0"/>
        <v>0</v>
      </c>
      <c r="K30" s="2817"/>
      <c r="L30" s="2760"/>
      <c r="M30" s="329"/>
    </row>
    <row r="31" spans="1:13" ht="15" customHeight="1" outlineLevel="1">
      <c r="A31" s="2828">
        <v>3113</v>
      </c>
      <c r="B31" s="2829">
        <f>+B30</f>
        <v>5164</v>
      </c>
      <c r="C31" s="2830"/>
      <c r="D31" s="2831">
        <v>0</v>
      </c>
      <c r="E31" s="2831">
        <v>0</v>
      </c>
      <c r="F31" s="2831">
        <v>0</v>
      </c>
      <c r="G31" s="2831">
        <v>0</v>
      </c>
      <c r="H31" s="2831">
        <v>0</v>
      </c>
      <c r="I31" s="2831">
        <f>+[6]ZŠ!$B$27</f>
        <v>0</v>
      </c>
      <c r="J31" s="2832">
        <f t="shared" si="0"/>
        <v>0</v>
      </c>
      <c r="K31" s="2817"/>
      <c r="L31" s="2760"/>
      <c r="M31" s="329"/>
    </row>
    <row r="32" spans="1:13" s="432" customFormat="1" ht="15" customHeight="1" thickBot="1">
      <c r="A32" s="3223" t="s">
        <v>205</v>
      </c>
      <c r="B32" s="3224"/>
      <c r="C32" s="2833"/>
      <c r="D32" s="2834">
        <v>900000</v>
      </c>
      <c r="E32" s="2834">
        <v>900000</v>
      </c>
      <c r="F32" s="2834">
        <v>900000</v>
      </c>
      <c r="G32" s="2834">
        <v>900000</v>
      </c>
      <c r="H32" s="2834">
        <v>900000</v>
      </c>
      <c r="I32" s="2834">
        <f t="shared" ref="I32" si="9">SUM(I30:I31)</f>
        <v>900000</v>
      </c>
      <c r="J32" s="2835">
        <f t="shared" si="0"/>
        <v>0</v>
      </c>
      <c r="K32" s="2836">
        <f>'Výdaje kapitol celkem'!BD30</f>
        <v>900000</v>
      </c>
      <c r="L32" s="2760">
        <f>+K32-I32</f>
        <v>0</v>
      </c>
      <c r="M32" s="329"/>
    </row>
    <row r="33" spans="1:13" s="432" customFormat="1" ht="15" customHeight="1" outlineLevel="1">
      <c r="A33" s="2823" t="s">
        <v>1543</v>
      </c>
      <c r="B33" s="2824">
        <v>5164</v>
      </c>
      <c r="C33" s="2825"/>
      <c r="D33" s="2826">
        <v>0</v>
      </c>
      <c r="E33" s="2826">
        <v>0</v>
      </c>
      <c r="F33" s="2826">
        <v>0</v>
      </c>
      <c r="G33" s="2826">
        <v>0</v>
      </c>
      <c r="H33" s="2826">
        <v>0</v>
      </c>
      <c r="I33" s="2826">
        <f>+[3]Sv.Š!$B$12</f>
        <v>0</v>
      </c>
      <c r="J33" s="2827">
        <f t="shared" si="0"/>
        <v>0</v>
      </c>
      <c r="K33" s="2817"/>
      <c r="L33" s="2760"/>
      <c r="M33" s="329"/>
    </row>
    <row r="34" spans="1:13" s="432" customFormat="1" ht="15" customHeight="1" outlineLevel="1">
      <c r="A34" s="2828" t="s">
        <v>1543</v>
      </c>
      <c r="B34" s="2829">
        <f>+B33</f>
        <v>5164</v>
      </c>
      <c r="C34" s="2830"/>
      <c r="D34" s="2831">
        <v>0</v>
      </c>
      <c r="E34" s="2831">
        <v>0</v>
      </c>
      <c r="F34" s="2831">
        <v>0</v>
      </c>
      <c r="G34" s="2831">
        <v>0</v>
      </c>
      <c r="H34" s="2831">
        <v>0</v>
      </c>
      <c r="I34" s="2831">
        <f>+[3]Sv.Š!$B$13</f>
        <v>0</v>
      </c>
      <c r="J34" s="2832">
        <f t="shared" si="0"/>
        <v>0</v>
      </c>
      <c r="K34" s="2817"/>
      <c r="L34" s="2760"/>
      <c r="M34" s="329"/>
    </row>
    <row r="35" spans="1:13" s="432" customFormat="1" ht="15" customHeight="1" thickBot="1">
      <c r="A35" s="3223" t="s">
        <v>2660</v>
      </c>
      <c r="B35" s="3224"/>
      <c r="C35" s="2833"/>
      <c r="D35" s="2834">
        <v>0</v>
      </c>
      <c r="E35" s="2834">
        <v>0</v>
      </c>
      <c r="F35" s="2834">
        <v>0</v>
      </c>
      <c r="G35" s="2834">
        <v>0</v>
      </c>
      <c r="H35" s="2834">
        <v>0</v>
      </c>
      <c r="I35" s="2834">
        <f t="shared" ref="I35" si="10">SUM(I33:I34)</f>
        <v>0</v>
      </c>
      <c r="J35" s="2835">
        <f t="shared" si="0"/>
        <v>0</v>
      </c>
      <c r="K35" s="2836">
        <f>'Výdaje kapitol celkem'!BD33</f>
        <v>0</v>
      </c>
      <c r="L35" s="2760">
        <f>+K35-I35</f>
        <v>0</v>
      </c>
      <c r="M35" s="329"/>
    </row>
    <row r="36" spans="1:13" ht="15" customHeight="1" outlineLevel="1">
      <c r="A36" s="2823">
        <v>3631</v>
      </c>
      <c r="B36" s="2824">
        <f>+B16</f>
        <v>5164</v>
      </c>
      <c r="C36" s="2825" t="s">
        <v>1703</v>
      </c>
      <c r="D36" s="2826"/>
      <c r="E36" s="2826"/>
      <c r="F36" s="2826"/>
      <c r="G36" s="2826"/>
      <c r="H36" s="2826"/>
      <c r="I36" s="2826"/>
      <c r="J36" s="2827">
        <f t="shared" si="0"/>
        <v>0</v>
      </c>
      <c r="K36" s="2817"/>
      <c r="L36" s="2760"/>
      <c r="M36" s="329"/>
    </row>
    <row r="37" spans="1:13" ht="15" customHeight="1" outlineLevel="1">
      <c r="A37" s="2828">
        <v>3631</v>
      </c>
      <c r="B37" s="2829">
        <f>+B36</f>
        <v>5164</v>
      </c>
      <c r="C37" s="2830"/>
      <c r="D37" s="2837"/>
      <c r="E37" s="2837"/>
      <c r="F37" s="2837"/>
      <c r="G37" s="2837"/>
      <c r="H37" s="2837"/>
      <c r="I37" s="2837"/>
      <c r="J37" s="2838">
        <f t="shared" si="0"/>
        <v>0</v>
      </c>
      <c r="K37" s="2817"/>
      <c r="L37" s="2760"/>
      <c r="M37" s="329"/>
    </row>
    <row r="38" spans="1:13" ht="15" customHeight="1" thickBot="1">
      <c r="A38" s="3223" t="s">
        <v>630</v>
      </c>
      <c r="B38" s="3224"/>
      <c r="C38" s="2833"/>
      <c r="D38" s="2834">
        <v>0</v>
      </c>
      <c r="E38" s="2834">
        <v>0</v>
      </c>
      <c r="F38" s="2834">
        <v>0</v>
      </c>
      <c r="G38" s="2834">
        <v>0</v>
      </c>
      <c r="H38" s="2834">
        <v>0</v>
      </c>
      <c r="I38" s="2834">
        <f>SUM(I36:I37)</f>
        <v>0</v>
      </c>
      <c r="J38" s="2835">
        <f t="shared" si="0"/>
        <v>0</v>
      </c>
      <c r="K38" s="2836">
        <f>+'Výdaje kapitol celkem'!CD30</f>
        <v>0</v>
      </c>
      <c r="L38" s="2760">
        <f>+K38-I38</f>
        <v>0</v>
      </c>
      <c r="M38" s="329"/>
    </row>
    <row r="39" spans="1:13" ht="15" customHeight="1" outlineLevel="1">
      <c r="A39" s="2823" t="s">
        <v>714</v>
      </c>
      <c r="B39" s="2824">
        <f>+B19</f>
        <v>5164</v>
      </c>
      <c r="C39" s="2825"/>
      <c r="D39" s="2826"/>
      <c r="E39" s="2826"/>
      <c r="F39" s="2826"/>
      <c r="G39" s="2826"/>
      <c r="H39" s="2826"/>
      <c r="I39" s="2826"/>
      <c r="J39" s="2827">
        <f t="shared" si="0"/>
        <v>0</v>
      </c>
      <c r="K39" s="2817"/>
      <c r="L39" s="2760"/>
      <c r="M39" s="329"/>
    </row>
    <row r="40" spans="1:13" ht="15" customHeight="1" outlineLevel="1">
      <c r="A40" s="2828" t="s">
        <v>714</v>
      </c>
      <c r="B40" s="2829">
        <f>+B39</f>
        <v>5164</v>
      </c>
      <c r="C40" s="2830"/>
      <c r="D40" s="2837"/>
      <c r="E40" s="2837"/>
      <c r="F40" s="2837"/>
      <c r="G40" s="2837"/>
      <c r="H40" s="2837"/>
      <c r="I40" s="2837"/>
      <c r="J40" s="2838">
        <f t="shared" si="0"/>
        <v>0</v>
      </c>
      <c r="K40" s="2817"/>
      <c r="L40" s="2760"/>
      <c r="M40" s="329"/>
    </row>
    <row r="41" spans="1:13" ht="15" customHeight="1" thickBot="1">
      <c r="A41" s="3223" t="s">
        <v>1220</v>
      </c>
      <c r="B41" s="3224"/>
      <c r="C41" s="2833"/>
      <c r="D41" s="2834">
        <v>0</v>
      </c>
      <c r="E41" s="2834">
        <v>0</v>
      </c>
      <c r="F41" s="2834">
        <v>0</v>
      </c>
      <c r="G41" s="2834">
        <v>0</v>
      </c>
      <c r="H41" s="2834">
        <v>0</v>
      </c>
      <c r="I41" s="2834">
        <f t="shared" ref="I41" si="11">SUM(I39:I40)</f>
        <v>0</v>
      </c>
      <c r="J41" s="2835">
        <f t="shared" si="0"/>
        <v>0</v>
      </c>
      <c r="K41" s="2836"/>
      <c r="L41" s="2760">
        <f>+K41-I41</f>
        <v>0</v>
      </c>
      <c r="M41" s="329"/>
    </row>
    <row r="42" spans="1:13" ht="15" customHeight="1" outlineLevel="1">
      <c r="A42" s="2823">
        <v>2212</v>
      </c>
      <c r="B42" s="2824">
        <f>+B40</f>
        <v>5164</v>
      </c>
      <c r="C42" s="1418" t="s">
        <v>2366</v>
      </c>
      <c r="D42" s="2826">
        <v>1500</v>
      </c>
      <c r="E42" s="2826">
        <v>1500</v>
      </c>
      <c r="F42" s="2826">
        <v>1500</v>
      </c>
      <c r="G42" s="2826">
        <v>1500</v>
      </c>
      <c r="H42" s="2826">
        <v>1500</v>
      </c>
      <c r="I42" s="2826">
        <f>+'[4]Silnice-nájem'!$B$5</f>
        <v>1500</v>
      </c>
      <c r="J42" s="2827">
        <f t="shared" si="0"/>
        <v>0</v>
      </c>
      <c r="K42" s="2817"/>
      <c r="L42" s="2760"/>
      <c r="M42" s="329"/>
    </row>
    <row r="43" spans="1:13" ht="15" customHeight="1" outlineLevel="1">
      <c r="A43" s="2828">
        <v>2212</v>
      </c>
      <c r="B43" s="2829">
        <v>5164</v>
      </c>
      <c r="C43" s="1419" t="s">
        <v>1705</v>
      </c>
      <c r="D43" s="2839">
        <v>1500</v>
      </c>
      <c r="E43" s="2839">
        <v>1500</v>
      </c>
      <c r="F43" s="2839">
        <v>1500</v>
      </c>
      <c r="G43" s="2839">
        <v>1500</v>
      </c>
      <c r="H43" s="2839">
        <v>1500</v>
      </c>
      <c r="I43" s="2839">
        <f>+'[4]Silnice-nájem'!$B$6</f>
        <v>1500</v>
      </c>
      <c r="J43" s="2832">
        <f t="shared" si="0"/>
        <v>0</v>
      </c>
      <c r="K43" s="2817"/>
      <c r="L43" s="2760"/>
      <c r="M43" s="329"/>
    </row>
    <row r="44" spans="1:13" ht="15" customHeight="1" outlineLevel="1">
      <c r="A44" s="2828">
        <v>2212</v>
      </c>
      <c r="B44" s="2829">
        <v>5164</v>
      </c>
      <c r="C44" s="1419" t="s">
        <v>2367</v>
      </c>
      <c r="D44" s="2831">
        <v>3500</v>
      </c>
      <c r="E44" s="2831">
        <v>3500</v>
      </c>
      <c r="F44" s="2831">
        <v>3500</v>
      </c>
      <c r="G44" s="2831">
        <v>3500</v>
      </c>
      <c r="H44" s="2831">
        <v>3500</v>
      </c>
      <c r="I44" s="2831">
        <f>+'[4]Silnice-nájem'!$B$7</f>
        <v>3500</v>
      </c>
      <c r="J44" s="2832">
        <f t="shared" si="0"/>
        <v>0</v>
      </c>
      <c r="K44" s="2817"/>
      <c r="L44" s="2760"/>
      <c r="M44" s="329"/>
    </row>
    <row r="45" spans="1:13" ht="15" customHeight="1" outlineLevel="1">
      <c r="A45" s="2828">
        <v>2212</v>
      </c>
      <c r="B45" s="2829">
        <v>5164</v>
      </c>
      <c r="C45" s="1419" t="s">
        <v>1706</v>
      </c>
      <c r="D45" s="2831">
        <v>1210</v>
      </c>
      <c r="E45" s="2831">
        <v>1210</v>
      </c>
      <c r="F45" s="2831">
        <v>1210</v>
      </c>
      <c r="G45" s="2831">
        <v>1210</v>
      </c>
      <c r="H45" s="2831">
        <v>1210</v>
      </c>
      <c r="I45" s="2831">
        <f>+'[4]Silnice-nájem'!$B$8</f>
        <v>1210</v>
      </c>
      <c r="J45" s="2832">
        <f t="shared" si="0"/>
        <v>0</v>
      </c>
      <c r="K45" s="2817"/>
      <c r="L45" s="2760"/>
      <c r="M45" s="329"/>
    </row>
    <row r="46" spans="1:13" ht="15" customHeight="1" outlineLevel="1">
      <c r="A46" s="2828">
        <v>2212</v>
      </c>
      <c r="B46" s="2829">
        <v>5164</v>
      </c>
      <c r="C46" s="1419" t="s">
        <v>1707</v>
      </c>
      <c r="D46" s="2831">
        <v>17332</v>
      </c>
      <c r="E46" s="2831">
        <v>17332</v>
      </c>
      <c r="F46" s="2831">
        <v>17332</v>
      </c>
      <c r="G46" s="2831">
        <v>17332</v>
      </c>
      <c r="H46" s="2831">
        <v>17332</v>
      </c>
      <c r="I46" s="2831">
        <f>+'[4]Silnice-nájem'!$B$9</f>
        <v>17332</v>
      </c>
      <c r="J46" s="2832">
        <f t="shared" si="0"/>
        <v>0</v>
      </c>
      <c r="K46" s="2817"/>
      <c r="L46" s="2760"/>
      <c r="M46" s="329"/>
    </row>
    <row r="47" spans="1:13" ht="15" customHeight="1" outlineLevel="1">
      <c r="A47" s="2828">
        <v>2212</v>
      </c>
      <c r="B47" s="2829">
        <v>5164</v>
      </c>
      <c r="C47" s="1419" t="s">
        <v>1708</v>
      </c>
      <c r="D47" s="2831">
        <v>225</v>
      </c>
      <c r="E47" s="2831">
        <v>225</v>
      </c>
      <c r="F47" s="2831">
        <v>225</v>
      </c>
      <c r="G47" s="2831">
        <v>225</v>
      </c>
      <c r="H47" s="2831">
        <v>225</v>
      </c>
      <c r="I47" s="2831">
        <f>+'[4]Silnice-nájem'!$B$10</f>
        <v>225</v>
      </c>
      <c r="J47" s="2832">
        <f t="shared" si="0"/>
        <v>0</v>
      </c>
      <c r="K47" s="2817"/>
      <c r="L47" s="2760"/>
      <c r="M47" s="329"/>
    </row>
    <row r="48" spans="1:13" s="432" customFormat="1" ht="15" customHeight="1" outlineLevel="1">
      <c r="A48" s="2828">
        <v>2212</v>
      </c>
      <c r="B48" s="2829">
        <v>5164</v>
      </c>
      <c r="C48" s="1419" t="s">
        <v>1709</v>
      </c>
      <c r="D48" s="2831">
        <v>10176</v>
      </c>
      <c r="E48" s="2831">
        <v>10176</v>
      </c>
      <c r="F48" s="2831">
        <v>10176</v>
      </c>
      <c r="G48" s="2831">
        <v>10176</v>
      </c>
      <c r="H48" s="2831">
        <v>10176</v>
      </c>
      <c r="I48" s="2831">
        <f>+'[4]Silnice-nájem'!$B$11</f>
        <v>10176</v>
      </c>
      <c r="J48" s="2832">
        <f t="shared" si="0"/>
        <v>0</v>
      </c>
      <c r="K48" s="2817"/>
      <c r="L48" s="2760"/>
      <c r="M48" s="329"/>
    </row>
    <row r="49" spans="1:13" ht="15" customHeight="1" outlineLevel="1">
      <c r="A49" s="2828">
        <v>2212</v>
      </c>
      <c r="B49" s="2829">
        <v>5164</v>
      </c>
      <c r="C49" s="1419" t="s">
        <v>1710</v>
      </c>
      <c r="D49" s="2831"/>
      <c r="E49" s="2831"/>
      <c r="F49" s="2831"/>
      <c r="G49" s="2831"/>
      <c r="H49" s="2831"/>
      <c r="I49" s="2831"/>
      <c r="J49" s="2832">
        <f t="shared" si="0"/>
        <v>0</v>
      </c>
      <c r="K49" s="2817"/>
      <c r="L49" s="2760"/>
      <c r="M49" s="329"/>
    </row>
    <row r="50" spans="1:13" ht="15" customHeight="1" outlineLevel="1">
      <c r="A50" s="2828">
        <v>2212</v>
      </c>
      <c r="B50" s="2829">
        <v>5164</v>
      </c>
      <c r="C50" s="1419" t="s">
        <v>1711</v>
      </c>
      <c r="D50" s="2831"/>
      <c r="E50" s="2831"/>
      <c r="F50" s="2831"/>
      <c r="G50" s="2831"/>
      <c r="H50" s="2831"/>
      <c r="I50" s="2831"/>
      <c r="J50" s="2832">
        <f t="shared" si="0"/>
        <v>0</v>
      </c>
      <c r="K50" s="2817"/>
      <c r="L50" s="2760"/>
      <c r="M50" s="329"/>
    </row>
    <row r="51" spans="1:13" s="432" customFormat="1" ht="15" customHeight="1" outlineLevel="1">
      <c r="A51" s="2828">
        <v>2212</v>
      </c>
      <c r="B51" s="2829">
        <v>5164</v>
      </c>
      <c r="C51" s="1419" t="s">
        <v>1712</v>
      </c>
      <c r="D51" s="2831">
        <v>12</v>
      </c>
      <c r="E51" s="2831">
        <v>12</v>
      </c>
      <c r="F51" s="2831">
        <v>12</v>
      </c>
      <c r="G51" s="2831">
        <v>12</v>
      </c>
      <c r="H51" s="2831">
        <v>12</v>
      </c>
      <c r="I51" s="2831">
        <f>+'[4]Silnice-nájem'!$B$12</f>
        <v>12</v>
      </c>
      <c r="J51" s="2832">
        <f t="shared" si="0"/>
        <v>0</v>
      </c>
      <c r="K51" s="2817"/>
      <c r="L51" s="2760"/>
      <c r="M51" s="329"/>
    </row>
    <row r="52" spans="1:13" s="281" customFormat="1" ht="15" customHeight="1" outlineLevel="1">
      <c r="A52" s="2828">
        <v>2212</v>
      </c>
      <c r="B52" s="2829">
        <v>5164</v>
      </c>
      <c r="C52" s="1419" t="s">
        <v>1703</v>
      </c>
      <c r="D52" s="2831">
        <v>400</v>
      </c>
      <c r="E52" s="2831">
        <v>400</v>
      </c>
      <c r="F52" s="2831">
        <v>400</v>
      </c>
      <c r="G52" s="2831">
        <v>400</v>
      </c>
      <c r="H52" s="2831">
        <v>400</v>
      </c>
      <c r="I52" s="2831">
        <f>+[3]Silnice!$B$20</f>
        <v>400</v>
      </c>
      <c r="J52" s="2832">
        <f t="shared" si="0"/>
        <v>0</v>
      </c>
      <c r="K52" s="2817"/>
      <c r="L52" s="2760"/>
      <c r="M52" s="329"/>
    </row>
    <row r="53" spans="1:13" ht="15" customHeight="1" outlineLevel="1">
      <c r="A53" s="2828">
        <v>2212</v>
      </c>
      <c r="B53" s="2829">
        <v>5164</v>
      </c>
      <c r="C53" s="1419" t="s">
        <v>2848</v>
      </c>
      <c r="D53" s="2831">
        <v>0</v>
      </c>
      <c r="E53" s="2831">
        <v>0</v>
      </c>
      <c r="F53" s="2831">
        <v>0</v>
      </c>
      <c r="G53" s="2831">
        <v>0</v>
      </c>
      <c r="H53" s="2831">
        <v>40000</v>
      </c>
      <c r="I53" s="2831">
        <f>+[3]Silnice!$B$21</f>
        <v>40000</v>
      </c>
      <c r="J53" s="2832">
        <f t="shared" si="0"/>
        <v>0</v>
      </c>
      <c r="K53" s="2817"/>
      <c r="L53" s="2760"/>
    </row>
    <row r="54" spans="1:13" ht="15" customHeight="1" outlineLevel="1">
      <c r="A54" s="2828"/>
      <c r="B54" s="2829"/>
      <c r="C54" s="2840"/>
      <c r="D54" s="2841"/>
      <c r="E54" s="2841"/>
      <c r="F54" s="2841"/>
      <c r="G54" s="2841"/>
      <c r="H54" s="2841"/>
      <c r="I54" s="2841"/>
      <c r="J54" s="2842">
        <f t="shared" si="0"/>
        <v>0</v>
      </c>
      <c r="K54" s="2817"/>
      <c r="L54" s="2760"/>
    </row>
    <row r="55" spans="1:13" s="323" customFormat="1" ht="15" customHeight="1" thickBot="1">
      <c r="A55" s="3223" t="s">
        <v>631</v>
      </c>
      <c r="B55" s="3224"/>
      <c r="C55" s="2833"/>
      <c r="D55" s="2834">
        <v>35855</v>
      </c>
      <c r="E55" s="2834">
        <v>35855</v>
      </c>
      <c r="F55" s="2834">
        <v>35855</v>
      </c>
      <c r="G55" s="2834">
        <v>35855</v>
      </c>
      <c r="H55" s="2834">
        <v>75855</v>
      </c>
      <c r="I55" s="2834">
        <f>SUM(I42:I54)</f>
        <v>75855</v>
      </c>
      <c r="J55" s="2835">
        <f t="shared" si="0"/>
        <v>0</v>
      </c>
      <c r="K55" s="2836">
        <f>'Výdaje kapitol celkem'!CG30</f>
        <v>75855</v>
      </c>
      <c r="L55" s="2760">
        <f>+K55-I55</f>
        <v>0</v>
      </c>
    </row>
    <row r="56" spans="1:13" ht="15" customHeight="1" outlineLevel="1">
      <c r="A56" s="2823" t="s">
        <v>296</v>
      </c>
      <c r="B56" s="2824">
        <f>+B53</f>
        <v>5164</v>
      </c>
      <c r="C56" s="2825" t="s">
        <v>1704</v>
      </c>
      <c r="D56" s="2826">
        <v>1500</v>
      </c>
      <c r="E56" s="2826">
        <v>1500</v>
      </c>
      <c r="F56" s="2826">
        <v>1500</v>
      </c>
      <c r="G56" s="2826">
        <v>1500</v>
      </c>
      <c r="H56" s="2826">
        <v>1500</v>
      </c>
      <c r="I56" s="2826">
        <f>+[4]Rybníky!$B$5</f>
        <v>1500</v>
      </c>
      <c r="J56" s="2827">
        <f t="shared" si="0"/>
        <v>0</v>
      </c>
      <c r="K56" s="2817"/>
      <c r="L56" s="2760"/>
    </row>
    <row r="57" spans="1:13" ht="15" customHeight="1" outlineLevel="1">
      <c r="A57" s="2828" t="s">
        <v>296</v>
      </c>
      <c r="B57" s="2829">
        <f>+B56</f>
        <v>5164</v>
      </c>
      <c r="C57" s="2830"/>
      <c r="D57" s="2831">
        <v>0</v>
      </c>
      <c r="E57" s="2831">
        <v>0</v>
      </c>
      <c r="F57" s="2831">
        <v>0</v>
      </c>
      <c r="G57" s="2831">
        <v>0</v>
      </c>
      <c r="H57" s="2831">
        <v>0</v>
      </c>
      <c r="I57" s="2831">
        <f>+[4]Rybníky!$B$6</f>
        <v>0</v>
      </c>
      <c r="J57" s="2838">
        <f t="shared" si="0"/>
        <v>0</v>
      </c>
      <c r="K57" s="2817"/>
      <c r="L57" s="2760"/>
    </row>
    <row r="58" spans="1:13" ht="15" customHeight="1" outlineLevel="1">
      <c r="A58" s="2828" t="s">
        <v>296</v>
      </c>
      <c r="B58" s="2829">
        <f>+B57</f>
        <v>5164</v>
      </c>
      <c r="C58" s="2830"/>
      <c r="D58" s="2831">
        <v>0</v>
      </c>
      <c r="E58" s="2831">
        <v>0</v>
      </c>
      <c r="F58" s="2831">
        <v>0</v>
      </c>
      <c r="G58" s="2831">
        <v>0</v>
      </c>
      <c r="H58" s="2831">
        <v>0</v>
      </c>
      <c r="I58" s="2831">
        <f>+'[7]Rybníky 3749-2'!$B$15</f>
        <v>0</v>
      </c>
      <c r="J58" s="2838">
        <f t="shared" si="0"/>
        <v>0</v>
      </c>
      <c r="K58" s="2817"/>
      <c r="L58" s="2760"/>
    </row>
    <row r="59" spans="1:13" ht="15" customHeight="1" outlineLevel="1">
      <c r="A59" s="2828" t="s">
        <v>296</v>
      </c>
      <c r="B59" s="2829">
        <f>+B58</f>
        <v>5164</v>
      </c>
      <c r="C59" s="2830" t="s">
        <v>2430</v>
      </c>
      <c r="D59" s="2831">
        <v>350000</v>
      </c>
      <c r="E59" s="2831">
        <v>350000</v>
      </c>
      <c r="F59" s="2831">
        <v>350000</v>
      </c>
      <c r="G59" s="2831">
        <v>350000</v>
      </c>
      <c r="H59" s="2831">
        <v>350000</v>
      </c>
      <c r="I59" s="2831">
        <f>+'[7]Rybníky 3749-2'!$B$16</f>
        <v>350000</v>
      </c>
      <c r="J59" s="2838">
        <f t="shared" si="0"/>
        <v>0</v>
      </c>
      <c r="K59" s="2817"/>
      <c r="L59" s="2760"/>
    </row>
    <row r="60" spans="1:13" ht="15" customHeight="1" outlineLevel="1">
      <c r="A60" s="2828" t="s">
        <v>296</v>
      </c>
      <c r="B60" s="2829">
        <f>+B58</f>
        <v>5164</v>
      </c>
      <c r="C60" s="2830"/>
      <c r="D60" s="2831"/>
      <c r="E60" s="2831"/>
      <c r="F60" s="2831"/>
      <c r="G60" s="2831"/>
      <c r="H60" s="2831"/>
      <c r="I60" s="2831"/>
      <c r="J60" s="2838">
        <f t="shared" si="0"/>
        <v>0</v>
      </c>
      <c r="K60" s="2817"/>
      <c r="L60" s="2760"/>
    </row>
    <row r="61" spans="1:13" ht="15" customHeight="1" outlineLevel="1" thickBot="1">
      <c r="A61" s="3223" t="s">
        <v>1197</v>
      </c>
      <c r="B61" s="3224"/>
      <c r="C61" s="2833"/>
      <c r="D61" s="2834">
        <v>351500</v>
      </c>
      <c r="E61" s="2834">
        <v>351500</v>
      </c>
      <c r="F61" s="2834">
        <v>351500</v>
      </c>
      <c r="G61" s="2834">
        <v>351500</v>
      </c>
      <c r="H61" s="2834">
        <v>351500</v>
      </c>
      <c r="I61" s="2834">
        <f>SUM(I56:I60)</f>
        <v>351500</v>
      </c>
      <c r="J61" s="2835">
        <f t="shared" si="0"/>
        <v>0</v>
      </c>
      <c r="K61" s="2836">
        <f>'Výdaje kapitol celkem'!DO30</f>
        <v>351500</v>
      </c>
      <c r="L61" s="2760">
        <f>+K61-I61</f>
        <v>0</v>
      </c>
    </row>
    <row r="62" spans="1:13" ht="15" customHeight="1" thickBot="1">
      <c r="A62" s="3220" t="s">
        <v>732</v>
      </c>
      <c r="B62" s="3221"/>
      <c r="C62" s="3222"/>
      <c r="D62" s="2843">
        <v>1699563</v>
      </c>
      <c r="E62" s="2843">
        <v>1683355</v>
      </c>
      <c r="F62" s="2843">
        <v>1583355</v>
      </c>
      <c r="G62" s="2843">
        <v>1583355</v>
      </c>
      <c r="H62" s="2843">
        <v>1623355</v>
      </c>
      <c r="I62" s="2843">
        <f>+I61+I55+I41+I20+I17+I10+I32+I13+I7+I23+I38+I26+I29+I35</f>
        <v>1623355</v>
      </c>
      <c r="J62" s="2844">
        <f t="shared" si="0"/>
        <v>0</v>
      </c>
      <c r="K62" s="2817"/>
      <c r="L62" s="1916"/>
    </row>
    <row r="63" spans="1:13" ht="13.15">
      <c r="A63" s="2845"/>
      <c r="B63" s="2845"/>
      <c r="C63" s="2845"/>
      <c r="D63" s="109">
        <v>1699563</v>
      </c>
      <c r="E63" s="109">
        <v>1683355</v>
      </c>
      <c r="F63" s="109">
        <v>1583355</v>
      </c>
      <c r="G63" s="109">
        <v>1583355</v>
      </c>
      <c r="H63" s="109">
        <v>1623355</v>
      </c>
      <c r="I63" s="190">
        <f>+'Výdaje kapitol celkem'!I30</f>
        <v>1623355</v>
      </c>
      <c r="J63" s="284"/>
      <c r="K63" s="2817"/>
      <c r="L63" s="1916"/>
    </row>
    <row r="64" spans="1:13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180">
        <v>0</v>
      </c>
      <c r="G64" s="180">
        <v>0</v>
      </c>
      <c r="H64" s="180">
        <v>0</v>
      </c>
      <c r="I64" s="284">
        <f>+I63-I62</f>
        <v>0</v>
      </c>
      <c r="J64" s="284"/>
      <c r="K64" s="2741"/>
      <c r="L64" s="1916"/>
    </row>
    <row r="65" spans="1:12" ht="25.5" customHeight="1">
      <c r="A65" s="2723" t="s">
        <v>545</v>
      </c>
      <c r="B65" s="109"/>
      <c r="C65" s="109"/>
      <c r="D65" s="109"/>
      <c r="E65" s="109"/>
      <c r="F65" s="109"/>
      <c r="G65" s="109"/>
      <c r="H65" s="109"/>
      <c r="I65" s="190"/>
      <c r="J65" s="284"/>
      <c r="K65" s="2741"/>
      <c r="L65" s="1916"/>
    </row>
    <row r="66" spans="1:12" ht="25.5" customHeight="1">
      <c r="K66" s="319"/>
    </row>
  </sheetData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M216"/>
  <sheetViews>
    <sheetView zoomScale="85" zoomScaleNormal="85" workbookViewId="0">
      <pane xSplit="6" ySplit="4" topLeftCell="G130" activePane="bottomRight" state="frozen"/>
      <selection pane="topRight" activeCell="G1" sqref="G1"/>
      <selection pane="bottomLeft" activeCell="A5" sqref="A5"/>
      <selection pane="bottomRight" activeCell="J6" sqref="J6:J213"/>
    </sheetView>
  </sheetViews>
  <sheetFormatPr defaultColWidth="9" defaultRowHeight="12" outlineLevelRow="1"/>
  <cols>
    <col min="1" max="1" width="14.265625" style="2862" customWidth="1"/>
    <col min="2" max="2" width="9.265625" style="2862" customWidth="1"/>
    <col min="3" max="3" width="64.86328125" style="2862" bestFit="1" customWidth="1"/>
    <col min="4" max="4" width="14" style="2862" hidden="1" customWidth="1"/>
    <col min="5" max="6" width="10.86328125" style="2862" hidden="1" customWidth="1"/>
    <col min="7" max="8" width="10.86328125" style="2862" customWidth="1"/>
    <col min="9" max="9" width="10.86328125" style="2901" bestFit="1" customWidth="1"/>
    <col min="10" max="10" width="10.73046875" style="2902" customWidth="1"/>
    <col min="11" max="11" width="11.59765625" style="2903" bestFit="1" customWidth="1"/>
    <col min="12" max="12" width="20.59765625" style="2904" bestFit="1" customWidth="1"/>
    <col min="13" max="16384" width="9" style="2862"/>
  </cols>
  <sheetData>
    <row r="1" spans="1:13" s="2851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847"/>
      <c r="J1" s="2848"/>
      <c r="K1" s="2849"/>
      <c r="L1" s="2850"/>
    </row>
    <row r="2" spans="1:13" s="2856" customFormat="1" ht="20.25" customHeight="1">
      <c r="A2" s="3211" t="s">
        <v>710</v>
      </c>
      <c r="B2" s="3211"/>
      <c r="C2" s="3212"/>
      <c r="D2" s="2979"/>
      <c r="E2" s="2979"/>
      <c r="F2" s="2979"/>
      <c r="G2" s="2979"/>
      <c r="H2" s="2979"/>
      <c r="I2" s="2852"/>
      <c r="J2" s="2853"/>
      <c r="K2" s="2854"/>
      <c r="L2" s="2855"/>
    </row>
    <row r="3" spans="1:13" ht="12.4" thickBot="1">
      <c r="A3" s="2857"/>
      <c r="B3" s="2857"/>
      <c r="C3" s="2857"/>
      <c r="D3" s="2857"/>
      <c r="E3" s="2857"/>
      <c r="F3" s="2857"/>
      <c r="G3" s="2857"/>
      <c r="H3" s="2857"/>
      <c r="I3" s="2858"/>
      <c r="J3" s="2859"/>
      <c r="K3" s="2860"/>
      <c r="L3" s="2861"/>
    </row>
    <row r="4" spans="1:13" ht="24.4" thickBot="1">
      <c r="A4" s="2818" t="s">
        <v>1</v>
      </c>
      <c r="B4" s="2819" t="s">
        <v>63</v>
      </c>
      <c r="C4" s="2820" t="s">
        <v>6</v>
      </c>
      <c r="D4" s="2821" t="s">
        <v>2378</v>
      </c>
      <c r="E4" s="2821" t="s">
        <v>1953</v>
      </c>
      <c r="F4" s="2821" t="s">
        <v>2687</v>
      </c>
      <c r="G4" s="2821" t="s">
        <v>2810</v>
      </c>
      <c r="H4" s="2821" t="s">
        <v>2128</v>
      </c>
      <c r="I4" s="2821" t="s">
        <v>2878</v>
      </c>
      <c r="J4" s="2822" t="s">
        <v>5</v>
      </c>
      <c r="K4" s="2817" t="s">
        <v>763</v>
      </c>
      <c r="L4" s="2861" t="s">
        <v>707</v>
      </c>
    </row>
    <row r="5" spans="1:13" ht="15.75" customHeight="1" outlineLevel="1">
      <c r="A5" s="2823">
        <v>6409</v>
      </c>
      <c r="B5" s="2824">
        <v>5169</v>
      </c>
      <c r="C5" s="2825" t="s">
        <v>2368</v>
      </c>
      <c r="D5" s="2826">
        <v>50000</v>
      </c>
      <c r="E5" s="2826">
        <v>50000</v>
      </c>
      <c r="F5" s="2826">
        <v>50000</v>
      </c>
      <c r="G5" s="2826">
        <v>50000</v>
      </c>
      <c r="H5" s="2826">
        <v>50000</v>
      </c>
      <c r="I5" s="2826">
        <f>+'[3]Všeob. pokladna'!$B$26</f>
        <v>50000</v>
      </c>
      <c r="J5" s="2827">
        <f>+I5-H5</f>
        <v>0</v>
      </c>
      <c r="K5" s="2860"/>
      <c r="L5" s="2861"/>
    </row>
    <row r="6" spans="1:13" ht="15.75" customHeight="1" outlineLevel="1">
      <c r="A6" s="2828">
        <v>6409</v>
      </c>
      <c r="B6" s="2829">
        <v>5169</v>
      </c>
      <c r="C6" s="2830" t="s">
        <v>2369</v>
      </c>
      <c r="D6" s="2831">
        <v>200000</v>
      </c>
      <c r="E6" s="2831">
        <v>200000</v>
      </c>
      <c r="F6" s="2831">
        <v>200000</v>
      </c>
      <c r="G6" s="2831">
        <v>200000</v>
      </c>
      <c r="H6" s="2831">
        <v>200000</v>
      </c>
      <c r="I6" s="2831">
        <f>+'[3]Všeob. pokladna'!$B$27</f>
        <v>200000</v>
      </c>
      <c r="J6" s="2832">
        <f t="shared" ref="J6:J69" si="0">+I6-H6</f>
        <v>0</v>
      </c>
      <c r="K6" s="2860"/>
      <c r="L6" s="2861"/>
    </row>
    <row r="7" spans="1:13" s="2868" customFormat="1" ht="16.5" customHeight="1" thickBot="1">
      <c r="A7" s="3225" t="s">
        <v>1208</v>
      </c>
      <c r="B7" s="3226"/>
      <c r="C7" s="2863"/>
      <c r="D7" s="2864">
        <v>250000</v>
      </c>
      <c r="E7" s="2864">
        <v>250000</v>
      </c>
      <c r="F7" s="2864">
        <v>250000</v>
      </c>
      <c r="G7" s="2864">
        <v>250000</v>
      </c>
      <c r="H7" s="2864">
        <v>250000</v>
      </c>
      <c r="I7" s="2864">
        <f t="shared" ref="I7" si="1">SUM(I5:I6)</f>
        <v>250000</v>
      </c>
      <c r="J7" s="2865">
        <f t="shared" si="0"/>
        <v>0</v>
      </c>
      <c r="K7" s="2866">
        <f>'Výdaje kapitol celkem'!N34</f>
        <v>250000</v>
      </c>
      <c r="L7" s="2867">
        <f>+K7-I7</f>
        <v>0</v>
      </c>
      <c r="M7" s="2168"/>
    </row>
    <row r="8" spans="1:13" ht="15.75" customHeight="1" outlineLevel="1">
      <c r="A8" s="2823">
        <v>6112</v>
      </c>
      <c r="B8" s="2824">
        <v>5169</v>
      </c>
      <c r="C8" s="2825" t="s">
        <v>1800</v>
      </c>
      <c r="D8" s="2826">
        <v>0</v>
      </c>
      <c r="E8" s="2826">
        <v>0</v>
      </c>
      <c r="F8" s="2826">
        <v>0</v>
      </c>
      <c r="G8" s="2826">
        <v>0</v>
      </c>
      <c r="H8" s="2826">
        <v>0</v>
      </c>
      <c r="I8" s="2826">
        <f>+[2]Zastupitelé!$B$52</f>
        <v>0</v>
      </c>
      <c r="J8" s="2827">
        <f t="shared" si="0"/>
        <v>0</v>
      </c>
      <c r="K8" s="2860"/>
      <c r="L8" s="2867"/>
    </row>
    <row r="9" spans="1:13" ht="15.75" customHeight="1" outlineLevel="1">
      <c r="A9" s="2828">
        <v>6112</v>
      </c>
      <c r="B9" s="2829">
        <v>5169</v>
      </c>
      <c r="C9" s="2830" t="s">
        <v>1801</v>
      </c>
      <c r="D9" s="2831">
        <v>50000</v>
      </c>
      <c r="E9" s="2831">
        <v>50000</v>
      </c>
      <c r="F9" s="2831">
        <v>50000</v>
      </c>
      <c r="G9" s="2831">
        <v>50000</v>
      </c>
      <c r="H9" s="2831">
        <v>50000</v>
      </c>
      <c r="I9" s="2831">
        <f>+[2]Zastupitelé!$B$53</f>
        <v>50000</v>
      </c>
      <c r="J9" s="2832">
        <f t="shared" si="0"/>
        <v>0</v>
      </c>
      <c r="K9" s="2860"/>
      <c r="L9" s="2867"/>
    </row>
    <row r="10" spans="1:13" s="2868" customFormat="1" ht="16.5" customHeight="1" thickBot="1">
      <c r="A10" s="3225" t="s">
        <v>1207</v>
      </c>
      <c r="B10" s="3226"/>
      <c r="C10" s="2863"/>
      <c r="D10" s="2864">
        <v>50000</v>
      </c>
      <c r="E10" s="2864">
        <v>50000</v>
      </c>
      <c r="F10" s="2864">
        <v>50000</v>
      </c>
      <c r="G10" s="2864">
        <v>50000</v>
      </c>
      <c r="H10" s="2864">
        <v>50000</v>
      </c>
      <c r="I10" s="2864">
        <f t="shared" ref="I10" si="2">SUM(I8:I9)</f>
        <v>50000</v>
      </c>
      <c r="J10" s="2865">
        <f t="shared" si="0"/>
        <v>0</v>
      </c>
      <c r="K10" s="2866">
        <f>'Výdaje kapitol celkem'!P34</f>
        <v>50000</v>
      </c>
      <c r="L10" s="2867">
        <f>+K10-I10</f>
        <v>0</v>
      </c>
      <c r="M10" s="2168"/>
    </row>
    <row r="11" spans="1:13" ht="15.75" hidden="1" customHeight="1" outlineLevel="1">
      <c r="A11" s="2823">
        <v>6117</v>
      </c>
      <c r="B11" s="2824">
        <v>5169</v>
      </c>
      <c r="C11" s="2825"/>
      <c r="D11" s="2826">
        <v>0</v>
      </c>
      <c r="E11" s="2826">
        <v>0</v>
      </c>
      <c r="F11" s="2826">
        <v>0</v>
      </c>
      <c r="G11" s="2826">
        <v>0</v>
      </c>
      <c r="H11" s="2826">
        <v>0</v>
      </c>
      <c r="I11" s="2826">
        <v>0</v>
      </c>
      <c r="J11" s="2827">
        <f t="shared" si="0"/>
        <v>0</v>
      </c>
      <c r="K11" s="2860"/>
      <c r="L11" s="2867"/>
    </row>
    <row r="12" spans="1:13" ht="15.75" hidden="1" customHeight="1" outlineLevel="1">
      <c r="A12" s="2828">
        <v>6117</v>
      </c>
      <c r="B12" s="2829">
        <v>5169</v>
      </c>
      <c r="C12" s="2830"/>
      <c r="D12" s="2831">
        <v>0</v>
      </c>
      <c r="E12" s="2831">
        <v>0</v>
      </c>
      <c r="F12" s="2831">
        <v>0</v>
      </c>
      <c r="G12" s="2831">
        <v>0</v>
      </c>
      <c r="H12" s="2831">
        <v>0</v>
      </c>
      <c r="I12" s="2831">
        <v>0</v>
      </c>
      <c r="J12" s="2832">
        <f t="shared" si="0"/>
        <v>0</v>
      </c>
      <c r="K12" s="2860"/>
      <c r="L12" s="2867"/>
    </row>
    <row r="13" spans="1:13" ht="15.75" hidden="1" customHeight="1" outlineLevel="1">
      <c r="A13" s="2828">
        <v>6117</v>
      </c>
      <c r="B13" s="2829">
        <v>5169</v>
      </c>
      <c r="C13" s="2830"/>
      <c r="D13" s="2831"/>
      <c r="E13" s="2831"/>
      <c r="F13" s="2831"/>
      <c r="G13" s="2831"/>
      <c r="H13" s="2831"/>
      <c r="I13" s="2831"/>
      <c r="J13" s="2832">
        <f t="shared" si="0"/>
        <v>0</v>
      </c>
      <c r="K13" s="2860"/>
      <c r="L13" s="2867"/>
    </row>
    <row r="14" spans="1:13" s="2868" customFormat="1" ht="16.5" customHeight="1" collapsed="1" thickBot="1">
      <c r="A14" s="3225" t="s">
        <v>1206</v>
      </c>
      <c r="B14" s="3226"/>
      <c r="C14" s="2863"/>
      <c r="D14" s="2864">
        <v>0</v>
      </c>
      <c r="E14" s="2864">
        <v>0</v>
      </c>
      <c r="F14" s="2864">
        <v>0</v>
      </c>
      <c r="G14" s="2864">
        <v>0</v>
      </c>
      <c r="H14" s="2864">
        <v>0</v>
      </c>
      <c r="I14" s="2864">
        <f t="shared" ref="I14" si="3">SUM(I11:I13)</f>
        <v>0</v>
      </c>
      <c r="J14" s="2865">
        <f t="shared" si="0"/>
        <v>0</v>
      </c>
      <c r="K14" s="2866">
        <f>'Výdaje kapitol celkem'!Q34</f>
        <v>0</v>
      </c>
      <c r="L14" s="2867">
        <f>+K14-I14</f>
        <v>0</v>
      </c>
      <c r="M14" s="2168"/>
    </row>
    <row r="15" spans="1:13" ht="16.5" customHeight="1" outlineLevel="1">
      <c r="A15" s="2823">
        <v>6171</v>
      </c>
      <c r="B15" s="2824">
        <v>5169</v>
      </c>
      <c r="C15" s="2825" t="s">
        <v>1786</v>
      </c>
      <c r="D15" s="2826">
        <v>5000</v>
      </c>
      <c r="E15" s="2826">
        <v>5000</v>
      </c>
      <c r="F15" s="2826">
        <v>5000</v>
      </c>
      <c r="G15" s="2826">
        <v>5000</v>
      </c>
      <c r="H15" s="2826">
        <v>5000</v>
      </c>
      <c r="I15" s="2826">
        <f>+[3]Správa!$B$6</f>
        <v>5000</v>
      </c>
      <c r="J15" s="2827">
        <f t="shared" si="0"/>
        <v>0</v>
      </c>
      <c r="K15" s="2860"/>
      <c r="L15" s="2867"/>
    </row>
    <row r="16" spans="1:13" ht="36" outlineLevel="1">
      <c r="A16" s="2869">
        <v>6171</v>
      </c>
      <c r="B16" s="2870">
        <v>5169</v>
      </c>
      <c r="C16" s="2871" t="s">
        <v>1802</v>
      </c>
      <c r="D16" s="2831">
        <v>800000</v>
      </c>
      <c r="E16" s="2831">
        <v>800000</v>
      </c>
      <c r="F16" s="2831">
        <v>800000</v>
      </c>
      <c r="G16" s="2831">
        <v>800000</v>
      </c>
      <c r="H16" s="2831">
        <v>800000</v>
      </c>
      <c r="I16" s="2831">
        <f>+[2]Správa!$B$61</f>
        <v>800000</v>
      </c>
      <c r="J16" s="2832">
        <f t="shared" si="0"/>
        <v>0</v>
      </c>
      <c r="K16" s="2860"/>
      <c r="L16" s="2867"/>
    </row>
    <row r="17" spans="1:13" ht="16.5" customHeight="1" outlineLevel="1">
      <c r="A17" s="2828">
        <v>6171</v>
      </c>
      <c r="B17" s="2829">
        <v>5169</v>
      </c>
      <c r="C17" s="2830" t="s">
        <v>1803</v>
      </c>
      <c r="D17" s="2831">
        <v>200000</v>
      </c>
      <c r="E17" s="2831">
        <v>200000</v>
      </c>
      <c r="F17" s="2831">
        <v>200000</v>
      </c>
      <c r="G17" s="2831">
        <v>200000</v>
      </c>
      <c r="H17" s="2831">
        <v>200000</v>
      </c>
      <c r="I17" s="2831">
        <f>+[2]Správa!$B$62</f>
        <v>200000</v>
      </c>
      <c r="J17" s="2832">
        <f t="shared" si="0"/>
        <v>0</v>
      </c>
      <c r="K17" s="2860"/>
      <c r="L17" s="2867"/>
    </row>
    <row r="18" spans="1:13" ht="15.75" customHeight="1" outlineLevel="1">
      <c r="A18" s="2828">
        <v>6171</v>
      </c>
      <c r="B18" s="2829">
        <v>5169</v>
      </c>
      <c r="C18" s="2830" t="s">
        <v>1804</v>
      </c>
      <c r="D18" s="2831">
        <v>660000</v>
      </c>
      <c r="E18" s="2831">
        <v>660000</v>
      </c>
      <c r="F18" s="2831">
        <v>660000</v>
      </c>
      <c r="G18" s="2831">
        <v>660000</v>
      </c>
      <c r="H18" s="2831">
        <v>660000</v>
      </c>
      <c r="I18" s="2831">
        <f>+[2]Správa!$B$63</f>
        <v>660000</v>
      </c>
      <c r="J18" s="2832">
        <f t="shared" si="0"/>
        <v>0</v>
      </c>
      <c r="K18" s="2860"/>
      <c r="L18" s="2867"/>
    </row>
    <row r="19" spans="1:13" ht="15.75" customHeight="1" outlineLevel="1">
      <c r="A19" s="2828">
        <v>6171</v>
      </c>
      <c r="B19" s="2829">
        <v>5169</v>
      </c>
      <c r="C19" s="2830"/>
      <c r="D19" s="2831"/>
      <c r="E19" s="2831"/>
      <c r="F19" s="2831"/>
      <c r="G19" s="2831"/>
      <c r="H19" s="2831"/>
      <c r="I19" s="2831"/>
      <c r="J19" s="2832">
        <f t="shared" si="0"/>
        <v>0</v>
      </c>
      <c r="K19" s="2860"/>
      <c r="L19" s="2867"/>
    </row>
    <row r="20" spans="1:13" s="2868" customFormat="1" ht="16.5" customHeight="1" thickBot="1">
      <c r="A20" s="3225" t="s">
        <v>213</v>
      </c>
      <c r="B20" s="3226"/>
      <c r="C20" s="2863"/>
      <c r="D20" s="2864">
        <v>1665000</v>
      </c>
      <c r="E20" s="2864">
        <v>1665000</v>
      </c>
      <c r="F20" s="2864">
        <v>1665000</v>
      </c>
      <c r="G20" s="2864">
        <v>1665000</v>
      </c>
      <c r="H20" s="2864">
        <v>1665000</v>
      </c>
      <c r="I20" s="2864">
        <f t="shared" ref="I20" si="4">SUM(I15:I19)</f>
        <v>1665000</v>
      </c>
      <c r="J20" s="2865">
        <f t="shared" si="0"/>
        <v>0</v>
      </c>
      <c r="K20" s="2866">
        <f>'Výdaje kapitol celkem'!R34</f>
        <v>1665000</v>
      </c>
      <c r="L20" s="2867">
        <f>+K20-I20</f>
        <v>0</v>
      </c>
      <c r="M20" s="2168"/>
    </row>
    <row r="21" spans="1:13" ht="15.75" customHeight="1" outlineLevel="1">
      <c r="A21" s="2823">
        <v>4351</v>
      </c>
      <c r="B21" s="2824">
        <v>5169</v>
      </c>
      <c r="C21" s="2825"/>
      <c r="D21" s="2826">
        <v>30000</v>
      </c>
      <c r="E21" s="2826">
        <v>30000</v>
      </c>
      <c r="F21" s="2826">
        <v>30000</v>
      </c>
      <c r="G21" s="2826">
        <v>30000</v>
      </c>
      <c r="H21" s="2826">
        <v>30000</v>
      </c>
      <c r="I21" s="2826">
        <f>+'[2]Pečovatelská služba'!$B$53</f>
        <v>30000</v>
      </c>
      <c r="J21" s="2827">
        <f t="shared" si="0"/>
        <v>0</v>
      </c>
      <c r="K21" s="2860"/>
      <c r="L21" s="2867"/>
      <c r="M21" s="2168"/>
    </row>
    <row r="22" spans="1:13" ht="15.75" customHeight="1" outlineLevel="1">
      <c r="A22" s="2828">
        <v>4351</v>
      </c>
      <c r="B22" s="2829">
        <v>5169</v>
      </c>
      <c r="C22" s="2830"/>
      <c r="D22" s="2831">
        <v>0</v>
      </c>
      <c r="E22" s="2831">
        <v>0</v>
      </c>
      <c r="F22" s="2831">
        <v>0</v>
      </c>
      <c r="G22" s="2831">
        <v>0</v>
      </c>
      <c r="H22" s="2831">
        <v>0</v>
      </c>
      <c r="I22" s="2831">
        <f>+'[2]Pečovatelská služba'!$B$54</f>
        <v>0</v>
      </c>
      <c r="J22" s="2838">
        <f t="shared" si="0"/>
        <v>0</v>
      </c>
      <c r="K22" s="2860"/>
      <c r="L22" s="2867"/>
      <c r="M22" s="2168"/>
    </row>
    <row r="23" spans="1:13" s="2868" customFormat="1" ht="16.5" customHeight="1" thickBot="1">
      <c r="A23" s="3225" t="s">
        <v>214</v>
      </c>
      <c r="B23" s="3226"/>
      <c r="C23" s="2863"/>
      <c r="D23" s="2864">
        <v>30000</v>
      </c>
      <c r="E23" s="2864">
        <v>30000</v>
      </c>
      <c r="F23" s="2864">
        <v>30000</v>
      </c>
      <c r="G23" s="2864">
        <v>30000</v>
      </c>
      <c r="H23" s="2864">
        <v>30000</v>
      </c>
      <c r="I23" s="2864">
        <f t="shared" ref="I23" si="5">SUM(I21:I22)</f>
        <v>30000</v>
      </c>
      <c r="J23" s="2865">
        <f t="shared" si="0"/>
        <v>0</v>
      </c>
      <c r="K23" s="2866">
        <f>'Výdaje kapitol celkem'!W34</f>
        <v>30000</v>
      </c>
      <c r="L23" s="2867">
        <f>+K23-I23</f>
        <v>0</v>
      </c>
      <c r="M23" s="2168"/>
    </row>
    <row r="24" spans="1:13" ht="15.75" customHeight="1" outlineLevel="1">
      <c r="A24" s="2823" t="s">
        <v>2299</v>
      </c>
      <c r="B24" s="2824">
        <v>5169</v>
      </c>
      <c r="C24" s="2825"/>
      <c r="D24" s="2826">
        <v>600000</v>
      </c>
      <c r="E24" s="2826">
        <v>600000</v>
      </c>
      <c r="F24" s="2826">
        <v>600000</v>
      </c>
      <c r="G24" s="2826">
        <v>600000</v>
      </c>
      <c r="H24" s="2826">
        <v>600000</v>
      </c>
      <c r="I24" s="2826">
        <f>+'[2]Senior taxi'!$B$5</f>
        <v>600000</v>
      </c>
      <c r="J24" s="2827">
        <f t="shared" si="0"/>
        <v>0</v>
      </c>
      <c r="K24" s="2860"/>
      <c r="L24" s="2867"/>
      <c r="M24" s="2168"/>
    </row>
    <row r="25" spans="1:13" ht="15.75" customHeight="1" outlineLevel="1">
      <c r="A25" s="2828" t="s">
        <v>2299</v>
      </c>
      <c r="B25" s="2829">
        <v>5169</v>
      </c>
      <c r="C25" s="2830"/>
      <c r="D25" s="2831">
        <v>0</v>
      </c>
      <c r="E25" s="2831">
        <v>0</v>
      </c>
      <c r="F25" s="2831">
        <v>0</v>
      </c>
      <c r="G25" s="2831">
        <v>0</v>
      </c>
      <c r="H25" s="2831">
        <v>0</v>
      </c>
      <c r="I25" s="2831">
        <f>+'[2]Senior taxi'!$B$6</f>
        <v>0</v>
      </c>
      <c r="J25" s="2838">
        <f t="shared" si="0"/>
        <v>0</v>
      </c>
      <c r="K25" s="2860"/>
      <c r="L25" s="2867"/>
      <c r="M25" s="2168"/>
    </row>
    <row r="26" spans="1:13" s="2868" customFormat="1" ht="16.5" customHeight="1" thickBot="1">
      <c r="A26" s="3225" t="s">
        <v>2298</v>
      </c>
      <c r="B26" s="3226"/>
      <c r="C26" s="2863"/>
      <c r="D26" s="2864">
        <v>600000</v>
      </c>
      <c r="E26" s="2864">
        <v>600000</v>
      </c>
      <c r="F26" s="2864">
        <v>600000</v>
      </c>
      <c r="G26" s="2864">
        <v>600000</v>
      </c>
      <c r="H26" s="2864">
        <v>600000</v>
      </c>
      <c r="I26" s="2864">
        <f t="shared" ref="I26" si="6">SUM(I24:I25)</f>
        <v>600000</v>
      </c>
      <c r="J26" s="2865">
        <f t="shared" si="0"/>
        <v>0</v>
      </c>
      <c r="K26" s="2866">
        <f>+'Výdaje kapitol celkem'!X34</f>
        <v>600000</v>
      </c>
      <c r="L26" s="2867">
        <f>+K26-I26</f>
        <v>0</v>
      </c>
      <c r="M26" s="2168"/>
    </row>
    <row r="27" spans="1:13" ht="15.75" customHeight="1" outlineLevel="1">
      <c r="A27" s="2823">
        <v>5311</v>
      </c>
      <c r="B27" s="2824">
        <v>5169</v>
      </c>
      <c r="C27" s="2825"/>
      <c r="D27" s="2826">
        <v>300000</v>
      </c>
      <c r="E27" s="2826">
        <v>300000</v>
      </c>
      <c r="F27" s="2826">
        <v>300000</v>
      </c>
      <c r="G27" s="2826">
        <v>300000</v>
      </c>
      <c r="H27" s="2826">
        <v>300000</v>
      </c>
      <c r="I27" s="2826">
        <f>+'[2]Agentura SCSA'!$B$5</f>
        <v>300000</v>
      </c>
      <c r="J27" s="2827">
        <f t="shared" si="0"/>
        <v>0</v>
      </c>
      <c r="K27" s="2860"/>
      <c r="L27" s="2867"/>
      <c r="M27" s="2168"/>
    </row>
    <row r="28" spans="1:13" ht="15.75" customHeight="1" outlineLevel="1">
      <c r="A28" s="2828">
        <v>5311</v>
      </c>
      <c r="B28" s="2829">
        <v>5169</v>
      </c>
      <c r="C28" s="2830"/>
      <c r="D28" s="2831">
        <v>0</v>
      </c>
      <c r="E28" s="2831">
        <v>0</v>
      </c>
      <c r="F28" s="2831">
        <v>0</v>
      </c>
      <c r="G28" s="2831">
        <v>0</v>
      </c>
      <c r="H28" s="2831">
        <v>0</v>
      </c>
      <c r="I28" s="2831">
        <f>+'[2]Agentura SCSA'!$B$6</f>
        <v>0</v>
      </c>
      <c r="J28" s="2838">
        <f t="shared" si="0"/>
        <v>0</v>
      </c>
      <c r="K28" s="2860"/>
      <c r="L28" s="2867"/>
      <c r="M28" s="2168"/>
    </row>
    <row r="29" spans="1:13" s="2868" customFormat="1" ht="21.75" customHeight="1" thickBot="1">
      <c r="A29" s="3225" t="s">
        <v>1209</v>
      </c>
      <c r="B29" s="3226"/>
      <c r="C29" s="2863"/>
      <c r="D29" s="2864">
        <v>300000</v>
      </c>
      <c r="E29" s="2864">
        <v>300000</v>
      </c>
      <c r="F29" s="2864">
        <v>300000</v>
      </c>
      <c r="G29" s="2864">
        <v>300000</v>
      </c>
      <c r="H29" s="2864">
        <v>300000</v>
      </c>
      <c r="I29" s="2864">
        <f t="shared" ref="I29" si="7">SUM(I27:I28)</f>
        <v>300000</v>
      </c>
      <c r="J29" s="2865">
        <f t="shared" si="0"/>
        <v>0</v>
      </c>
      <c r="K29" s="2866">
        <f>'Výdaje kapitol celkem'!Y34</f>
        <v>300000</v>
      </c>
      <c r="L29" s="2867">
        <f>+K29-I29</f>
        <v>0</v>
      </c>
      <c r="M29" s="2168"/>
    </row>
    <row r="30" spans="1:13" ht="15.75" customHeight="1" outlineLevel="1">
      <c r="A30" s="2823" t="s">
        <v>197</v>
      </c>
      <c r="B30" s="2824">
        <v>5169</v>
      </c>
      <c r="C30" s="2825" t="s">
        <v>2241</v>
      </c>
      <c r="D30" s="2826">
        <v>40000</v>
      </c>
      <c r="E30" s="2826">
        <v>40000</v>
      </c>
      <c r="F30" s="2826">
        <v>40000</v>
      </c>
      <c r="G30" s="2826">
        <v>40000</v>
      </c>
      <c r="H30" s="2826">
        <v>40000</v>
      </c>
      <c r="I30" s="2826">
        <f>+'[2]Městská policie'!$B$78</f>
        <v>40000</v>
      </c>
      <c r="J30" s="2827">
        <f t="shared" si="0"/>
        <v>0</v>
      </c>
      <c r="K30" s="2860"/>
      <c r="L30" s="2867"/>
      <c r="M30" s="2168"/>
    </row>
    <row r="31" spans="1:13" ht="15.75" customHeight="1" outlineLevel="1">
      <c r="A31" s="2828" t="s">
        <v>197</v>
      </c>
      <c r="B31" s="2829">
        <v>5169</v>
      </c>
      <c r="C31" s="2830" t="s">
        <v>2242</v>
      </c>
      <c r="D31" s="2831">
        <v>50000</v>
      </c>
      <c r="E31" s="2831">
        <v>50000</v>
      </c>
      <c r="F31" s="2831">
        <v>50000</v>
      </c>
      <c r="G31" s="2831">
        <v>50000</v>
      </c>
      <c r="H31" s="2831">
        <v>50000</v>
      </c>
      <c r="I31" s="2831">
        <f>+'[2]Městská policie'!$B$79</f>
        <v>50000</v>
      </c>
      <c r="J31" s="2832">
        <f t="shared" si="0"/>
        <v>0</v>
      </c>
      <c r="K31" s="2860"/>
      <c r="L31" s="2867"/>
      <c r="M31" s="2168"/>
    </row>
    <row r="32" spans="1:13" ht="15.75" customHeight="1" outlineLevel="1">
      <c r="A32" s="2828" t="s">
        <v>197</v>
      </c>
      <c r="B32" s="2829">
        <v>5169</v>
      </c>
      <c r="C32" s="2830" t="s">
        <v>1805</v>
      </c>
      <c r="D32" s="2831">
        <v>80000</v>
      </c>
      <c r="E32" s="2831">
        <v>80000</v>
      </c>
      <c r="F32" s="2831">
        <v>80000</v>
      </c>
      <c r="G32" s="2831">
        <v>80000</v>
      </c>
      <c r="H32" s="2831">
        <v>80000</v>
      </c>
      <c r="I32" s="2831">
        <f>+'[2]Městská policie'!$B$80</f>
        <v>80000</v>
      </c>
      <c r="J32" s="2838">
        <f t="shared" si="0"/>
        <v>0</v>
      </c>
      <c r="K32" s="2860"/>
      <c r="L32" s="2867"/>
      <c r="M32" s="2168"/>
    </row>
    <row r="33" spans="1:13" s="2868" customFormat="1" ht="22.5" customHeight="1" thickBot="1">
      <c r="A33" s="3225" t="s">
        <v>1178</v>
      </c>
      <c r="B33" s="3226"/>
      <c r="C33" s="2863"/>
      <c r="D33" s="2864">
        <v>170000</v>
      </c>
      <c r="E33" s="2864">
        <v>170000</v>
      </c>
      <c r="F33" s="2864">
        <v>170000</v>
      </c>
      <c r="G33" s="2864">
        <v>170000</v>
      </c>
      <c r="H33" s="2864">
        <v>170000</v>
      </c>
      <c r="I33" s="2864">
        <f t="shared" ref="I33" si="8">SUM(I30:I32)</f>
        <v>170000</v>
      </c>
      <c r="J33" s="2865">
        <f t="shared" si="0"/>
        <v>0</v>
      </c>
      <c r="K33" s="2866">
        <f>'Výdaje kapitol celkem'!Z34</f>
        <v>170000</v>
      </c>
      <c r="L33" s="2867">
        <f>+K33-I33</f>
        <v>0</v>
      </c>
      <c r="M33" s="2168"/>
    </row>
    <row r="34" spans="1:13" ht="15.75" customHeight="1" outlineLevel="1">
      <c r="A34" s="2823">
        <v>3319</v>
      </c>
      <c r="B34" s="2824">
        <v>5169</v>
      </c>
      <c r="C34" s="2825" t="s">
        <v>1806</v>
      </c>
      <c r="D34" s="2826">
        <v>50000</v>
      </c>
      <c r="E34" s="2826">
        <v>50000</v>
      </c>
      <c r="F34" s="2826">
        <v>50000</v>
      </c>
      <c r="G34" s="2826">
        <v>50000</v>
      </c>
      <c r="H34" s="2826">
        <v>50000</v>
      </c>
      <c r="I34" s="2826">
        <f>+[2]Kronika!$B$19</f>
        <v>50000</v>
      </c>
      <c r="J34" s="2827">
        <f t="shared" si="0"/>
        <v>0</v>
      </c>
      <c r="K34" s="2860"/>
      <c r="L34" s="2867"/>
      <c r="M34" s="2168"/>
    </row>
    <row r="35" spans="1:13" ht="15.75" customHeight="1" outlineLevel="1">
      <c r="A35" s="2828">
        <v>3319</v>
      </c>
      <c r="B35" s="2829">
        <v>5169</v>
      </c>
      <c r="C35" s="2830" t="s">
        <v>1807</v>
      </c>
      <c r="D35" s="2831">
        <v>50000</v>
      </c>
      <c r="E35" s="2831">
        <v>50000</v>
      </c>
      <c r="F35" s="2831">
        <v>50000</v>
      </c>
      <c r="G35" s="2831">
        <v>50000</v>
      </c>
      <c r="H35" s="2831">
        <v>50000</v>
      </c>
      <c r="I35" s="2831">
        <f>+[2]Kronika!$B$20</f>
        <v>50000</v>
      </c>
      <c r="J35" s="2838">
        <f t="shared" si="0"/>
        <v>0</v>
      </c>
      <c r="K35" s="2860"/>
      <c r="L35" s="2867"/>
      <c r="M35" s="2168"/>
    </row>
    <row r="36" spans="1:13" s="2868" customFormat="1" ht="16.5" customHeight="1" thickBot="1">
      <c r="A36" s="3225" t="s">
        <v>1177</v>
      </c>
      <c r="B36" s="3226"/>
      <c r="C36" s="2863"/>
      <c r="D36" s="2864">
        <v>100000</v>
      </c>
      <c r="E36" s="2864">
        <v>100000</v>
      </c>
      <c r="F36" s="2864">
        <v>100000</v>
      </c>
      <c r="G36" s="2864">
        <v>100000</v>
      </c>
      <c r="H36" s="2864">
        <v>100000</v>
      </c>
      <c r="I36" s="2864">
        <f t="shared" ref="I36" si="9">SUM(I34:I35)</f>
        <v>100000</v>
      </c>
      <c r="J36" s="2865">
        <f t="shared" si="0"/>
        <v>0</v>
      </c>
      <c r="K36" s="2866">
        <f>'Výdaje kapitol celkem'!AA34</f>
        <v>100000</v>
      </c>
      <c r="L36" s="2867">
        <f>+K36-I36</f>
        <v>0</v>
      </c>
      <c r="M36" s="2168"/>
    </row>
    <row r="37" spans="1:13" ht="15.75" customHeight="1" outlineLevel="1">
      <c r="A37" s="2823">
        <v>3314</v>
      </c>
      <c r="B37" s="2824">
        <v>5169</v>
      </c>
      <c r="C37" s="2825"/>
      <c r="D37" s="2826"/>
      <c r="E37" s="2826"/>
      <c r="F37" s="2826"/>
      <c r="G37" s="2826"/>
      <c r="H37" s="2826"/>
      <c r="I37" s="2826"/>
      <c r="J37" s="2827">
        <f t="shared" si="0"/>
        <v>0</v>
      </c>
      <c r="K37" s="2860"/>
      <c r="L37" s="2867"/>
      <c r="M37" s="2168"/>
    </row>
    <row r="38" spans="1:13" ht="15.75" customHeight="1" outlineLevel="1">
      <c r="A38" s="2828">
        <v>3314</v>
      </c>
      <c r="B38" s="2829">
        <v>5169</v>
      </c>
      <c r="C38" s="2830"/>
      <c r="D38" s="2831">
        <v>0</v>
      </c>
      <c r="E38" s="2831">
        <v>0</v>
      </c>
      <c r="F38" s="2831">
        <v>15000</v>
      </c>
      <c r="G38" s="2831">
        <v>15000</v>
      </c>
      <c r="H38" s="2831">
        <v>15000</v>
      </c>
      <c r="I38" s="2831">
        <f>+[3]Knihovna!$B$20</f>
        <v>15000</v>
      </c>
      <c r="J38" s="2838">
        <f t="shared" si="0"/>
        <v>0</v>
      </c>
      <c r="K38" s="2860"/>
      <c r="L38" s="2867"/>
      <c r="M38" s="2168"/>
    </row>
    <row r="39" spans="1:13" ht="15.75" customHeight="1" outlineLevel="1">
      <c r="A39" s="2828">
        <v>3314</v>
      </c>
      <c r="B39" s="2829">
        <v>5169</v>
      </c>
      <c r="C39" s="2872" t="s">
        <v>2416</v>
      </c>
      <c r="D39" s="2839">
        <v>40000</v>
      </c>
      <c r="E39" s="2839">
        <v>40000</v>
      </c>
      <c r="F39" s="2839">
        <v>40000</v>
      </c>
      <c r="G39" s="2839">
        <v>40000</v>
      </c>
      <c r="H39" s="2839">
        <v>40000</v>
      </c>
      <c r="I39" s="2839">
        <f>+[2]Knihovna!$B$55</f>
        <v>40000</v>
      </c>
      <c r="J39" s="2873">
        <f t="shared" si="0"/>
        <v>0</v>
      </c>
      <c r="K39" s="2860"/>
      <c r="L39" s="2867"/>
      <c r="M39" s="2168"/>
    </row>
    <row r="40" spans="1:13" ht="15.75" customHeight="1" outlineLevel="1">
      <c r="A40" s="2828">
        <v>3314</v>
      </c>
      <c r="B40" s="2829">
        <v>5169</v>
      </c>
      <c r="C40" s="2874" t="s">
        <v>2739</v>
      </c>
      <c r="D40" s="2839">
        <v>10000</v>
      </c>
      <c r="E40" s="2839">
        <v>10000</v>
      </c>
      <c r="F40" s="2839">
        <v>35000</v>
      </c>
      <c r="G40" s="2839">
        <v>35000</v>
      </c>
      <c r="H40" s="2839">
        <v>35000</v>
      </c>
      <c r="I40" s="2839">
        <f>+[2]Knihovna!$B$56</f>
        <v>35000</v>
      </c>
      <c r="J40" s="2873">
        <f t="shared" si="0"/>
        <v>0</v>
      </c>
      <c r="K40" s="2860"/>
      <c r="L40" s="2867"/>
      <c r="M40" s="2168"/>
    </row>
    <row r="41" spans="1:13" ht="15.75" customHeight="1" outlineLevel="1">
      <c r="A41" s="2875"/>
      <c r="B41" s="2876"/>
      <c r="C41" s="2840" t="s">
        <v>2417</v>
      </c>
      <c r="D41" s="2841">
        <v>20000</v>
      </c>
      <c r="E41" s="2841">
        <v>20000</v>
      </c>
      <c r="F41" s="2841">
        <v>20000</v>
      </c>
      <c r="G41" s="2841">
        <v>20000</v>
      </c>
      <c r="H41" s="2841">
        <v>20000</v>
      </c>
      <c r="I41" s="2841">
        <f>+[2]Knihovna!$B$57</f>
        <v>20000</v>
      </c>
      <c r="J41" s="2877">
        <f t="shared" si="0"/>
        <v>0</v>
      </c>
      <c r="K41" s="2860"/>
      <c r="L41" s="2867"/>
      <c r="M41" s="2168"/>
    </row>
    <row r="42" spans="1:13" s="2868" customFormat="1" ht="16.5" customHeight="1" thickBot="1">
      <c r="A42" s="3225" t="s">
        <v>1179</v>
      </c>
      <c r="B42" s="3226"/>
      <c r="C42" s="2863"/>
      <c r="D42" s="2864">
        <v>70000</v>
      </c>
      <c r="E42" s="2864">
        <v>70000</v>
      </c>
      <c r="F42" s="2864">
        <v>110000</v>
      </c>
      <c r="G42" s="2864">
        <v>110000</v>
      </c>
      <c r="H42" s="2864">
        <v>110000</v>
      </c>
      <c r="I42" s="2864">
        <f>SUM(I37:I41)</f>
        <v>110000</v>
      </c>
      <c r="J42" s="2865">
        <f t="shared" si="0"/>
        <v>0</v>
      </c>
      <c r="K42" s="2866">
        <f>'Výdaje kapitol celkem'!AC34</f>
        <v>110000</v>
      </c>
      <c r="L42" s="2867">
        <f>+K42-I42</f>
        <v>0</v>
      </c>
      <c r="M42" s="2168"/>
    </row>
    <row r="43" spans="1:13" ht="15.75" customHeight="1" outlineLevel="1">
      <c r="A43" s="2823">
        <v>3349</v>
      </c>
      <c r="B43" s="2824">
        <v>5169</v>
      </c>
      <c r="C43" s="2825" t="s">
        <v>1808</v>
      </c>
      <c r="D43" s="2826">
        <v>550000</v>
      </c>
      <c r="E43" s="2826">
        <v>550000</v>
      </c>
      <c r="F43" s="2826">
        <v>550000</v>
      </c>
      <c r="G43" s="2826">
        <v>550000</v>
      </c>
      <c r="H43" s="2826">
        <v>550000</v>
      </c>
      <c r="I43" s="2826">
        <f>+'[2]Život Úval'!$B$12</f>
        <v>550000</v>
      </c>
      <c r="J43" s="2827">
        <f t="shared" si="0"/>
        <v>0</v>
      </c>
      <c r="K43" s="2860"/>
      <c r="L43" s="2867"/>
      <c r="M43" s="2168"/>
    </row>
    <row r="44" spans="1:13" ht="15.75" customHeight="1" outlineLevel="1">
      <c r="A44" s="2875">
        <v>3349</v>
      </c>
      <c r="B44" s="2876">
        <v>5169</v>
      </c>
      <c r="C44" s="2840"/>
      <c r="D44" s="2841">
        <v>0</v>
      </c>
      <c r="E44" s="2841">
        <v>0</v>
      </c>
      <c r="F44" s="2841">
        <v>0</v>
      </c>
      <c r="G44" s="2841">
        <v>0</v>
      </c>
      <c r="H44" s="2841">
        <v>0</v>
      </c>
      <c r="I44" s="2841">
        <f>+'[2]Život Úval'!$B$13</f>
        <v>0</v>
      </c>
      <c r="J44" s="2842">
        <f t="shared" si="0"/>
        <v>0</v>
      </c>
      <c r="K44" s="2860"/>
      <c r="L44" s="2867"/>
      <c r="M44" s="2168"/>
    </row>
    <row r="45" spans="1:13" s="2868" customFormat="1" ht="16.5" customHeight="1" thickBot="1">
      <c r="A45" s="3225" t="s">
        <v>1205</v>
      </c>
      <c r="B45" s="3226"/>
      <c r="C45" s="2863"/>
      <c r="D45" s="2864">
        <v>550000</v>
      </c>
      <c r="E45" s="2864">
        <v>550000</v>
      </c>
      <c r="F45" s="2864">
        <v>550000</v>
      </c>
      <c r="G45" s="2864">
        <v>550000</v>
      </c>
      <c r="H45" s="2864">
        <v>550000</v>
      </c>
      <c r="I45" s="2864">
        <f>SUM(I43:I44)</f>
        <v>550000</v>
      </c>
      <c r="J45" s="2865">
        <f t="shared" si="0"/>
        <v>0</v>
      </c>
      <c r="K45" s="2866">
        <f>'Výdaje kapitol celkem'!AD34</f>
        <v>550000</v>
      </c>
      <c r="L45" s="2867">
        <f>+K45-I45</f>
        <v>0</v>
      </c>
      <c r="M45" s="2168"/>
    </row>
    <row r="46" spans="1:13" ht="15.75" customHeight="1" outlineLevel="1">
      <c r="A46" s="2823">
        <v>3359</v>
      </c>
      <c r="B46" s="2824">
        <v>5169</v>
      </c>
      <c r="C46" s="2825" t="s">
        <v>1809</v>
      </c>
      <c r="D46" s="2826">
        <v>220000</v>
      </c>
      <c r="E46" s="2826">
        <v>220000</v>
      </c>
      <c r="F46" s="2826">
        <v>220000</v>
      </c>
      <c r="G46" s="2826">
        <v>220000</v>
      </c>
      <c r="H46" s="2826">
        <v>220000</v>
      </c>
      <c r="I46" s="2826">
        <f>+[2]Kultura!$B$29</f>
        <v>220000</v>
      </c>
      <c r="J46" s="2827">
        <f t="shared" si="0"/>
        <v>0</v>
      </c>
      <c r="K46" s="2860"/>
      <c r="L46" s="2867"/>
      <c r="M46" s="2168"/>
    </row>
    <row r="47" spans="1:13" ht="15.75" customHeight="1" outlineLevel="1">
      <c r="A47" s="2828">
        <v>3359</v>
      </c>
      <c r="B47" s="2829">
        <v>5169</v>
      </c>
      <c r="C47" s="2830" t="s">
        <v>1810</v>
      </c>
      <c r="D47" s="2831">
        <v>220000</v>
      </c>
      <c r="E47" s="2831">
        <v>220000</v>
      </c>
      <c r="F47" s="2831">
        <v>220000</v>
      </c>
      <c r="G47" s="2831">
        <v>220000</v>
      </c>
      <c r="H47" s="2831">
        <v>220000</v>
      </c>
      <c r="I47" s="2831">
        <f>+[2]Kultura!$B$30</f>
        <v>220000</v>
      </c>
      <c r="J47" s="2832">
        <f t="shared" si="0"/>
        <v>0</v>
      </c>
      <c r="K47" s="2860"/>
      <c r="L47" s="2867"/>
      <c r="M47" s="2168"/>
    </row>
    <row r="48" spans="1:13" ht="15.75" customHeight="1" outlineLevel="1">
      <c r="A48" s="2828">
        <v>3359</v>
      </c>
      <c r="B48" s="2829">
        <v>5169</v>
      </c>
      <c r="C48" s="2830" t="s">
        <v>1811</v>
      </c>
      <c r="D48" s="2831">
        <v>150000</v>
      </c>
      <c r="E48" s="2831">
        <v>150000</v>
      </c>
      <c r="F48" s="2831">
        <v>150000</v>
      </c>
      <c r="G48" s="2831">
        <v>150000</v>
      </c>
      <c r="H48" s="2831">
        <v>150000</v>
      </c>
      <c r="I48" s="2831">
        <f>+[2]Kultura!$B$31</f>
        <v>150000</v>
      </c>
      <c r="J48" s="2832">
        <f t="shared" si="0"/>
        <v>0</v>
      </c>
      <c r="K48" s="2860"/>
      <c r="L48" s="2867"/>
      <c r="M48" s="2168"/>
    </row>
    <row r="49" spans="1:13" ht="18" customHeight="1" outlineLevel="1">
      <c r="A49" s="2878">
        <v>3359</v>
      </c>
      <c r="B49" s="2876">
        <v>5169</v>
      </c>
      <c r="C49" s="2879" t="s">
        <v>1812</v>
      </c>
      <c r="D49" s="2839">
        <v>150000</v>
      </c>
      <c r="E49" s="2839">
        <v>150000</v>
      </c>
      <c r="F49" s="2839">
        <v>150000</v>
      </c>
      <c r="G49" s="2839">
        <v>150000</v>
      </c>
      <c r="H49" s="2839">
        <v>150000</v>
      </c>
      <c r="I49" s="2839">
        <f>+[2]Kultura!$B$32</f>
        <v>150000</v>
      </c>
      <c r="J49" s="2880">
        <f t="shared" si="0"/>
        <v>0</v>
      </c>
      <c r="K49" s="2860"/>
      <c r="L49" s="2867"/>
      <c r="M49" s="2168"/>
    </row>
    <row r="50" spans="1:13" ht="18" customHeight="1" outlineLevel="1">
      <c r="A50" s="2878">
        <v>3359</v>
      </c>
      <c r="B50" s="2876">
        <v>5169</v>
      </c>
      <c r="C50" s="2879" t="s">
        <v>1813</v>
      </c>
      <c r="D50" s="2839">
        <v>40000</v>
      </c>
      <c r="E50" s="2839">
        <v>40000</v>
      </c>
      <c r="F50" s="2839">
        <v>40000</v>
      </c>
      <c r="G50" s="2839">
        <v>40000</v>
      </c>
      <c r="H50" s="2839">
        <v>40000</v>
      </c>
      <c r="I50" s="2839">
        <f>+[2]Kultura!$B$33</f>
        <v>40000</v>
      </c>
      <c r="J50" s="2880">
        <f t="shared" si="0"/>
        <v>0</v>
      </c>
      <c r="K50" s="2860"/>
      <c r="L50" s="2867"/>
      <c r="M50" s="2168"/>
    </row>
    <row r="51" spans="1:13" ht="16.5" customHeight="1" outlineLevel="1">
      <c r="A51" s="2878">
        <v>3359</v>
      </c>
      <c r="B51" s="2876">
        <v>5169</v>
      </c>
      <c r="C51" s="2879" t="s">
        <v>1814</v>
      </c>
      <c r="D51" s="2839">
        <v>320000</v>
      </c>
      <c r="E51" s="2839">
        <v>320000</v>
      </c>
      <c r="F51" s="2839">
        <v>320000</v>
      </c>
      <c r="G51" s="2839">
        <v>320000</v>
      </c>
      <c r="H51" s="2839">
        <v>320000</v>
      </c>
      <c r="I51" s="2839">
        <f>+[2]Kultura!$B$34</f>
        <v>320000</v>
      </c>
      <c r="J51" s="2880">
        <f t="shared" si="0"/>
        <v>0</v>
      </c>
      <c r="K51" s="2860"/>
      <c r="L51" s="2867"/>
      <c r="M51" s="2168"/>
    </row>
    <row r="52" spans="1:13" s="2868" customFormat="1" ht="16.5" customHeight="1" thickBot="1">
      <c r="A52" s="3225" t="s">
        <v>1204</v>
      </c>
      <c r="B52" s="3226"/>
      <c r="C52" s="2863"/>
      <c r="D52" s="2864">
        <v>1100000</v>
      </c>
      <c r="E52" s="2864">
        <v>1100000</v>
      </c>
      <c r="F52" s="2864">
        <v>1100000</v>
      </c>
      <c r="G52" s="2864">
        <v>1100000</v>
      </c>
      <c r="H52" s="2864">
        <v>1100000</v>
      </c>
      <c r="I52" s="2864">
        <f t="shared" ref="I52" si="10">SUM(I46:I51)</f>
        <v>1100000</v>
      </c>
      <c r="J52" s="2865">
        <f t="shared" si="0"/>
        <v>0</v>
      </c>
      <c r="K52" s="2866">
        <f>'Výdaje kapitol celkem'!AE34</f>
        <v>1100000</v>
      </c>
      <c r="L52" s="2867">
        <f>+K52-I52</f>
        <v>0</v>
      </c>
      <c r="M52" s="2168"/>
    </row>
    <row r="53" spans="1:13" ht="28.5" customHeight="1" outlineLevel="1">
      <c r="A53" s="2823">
        <v>3612</v>
      </c>
      <c r="B53" s="2824">
        <v>5169</v>
      </c>
      <c r="C53" s="2825" t="s">
        <v>2205</v>
      </c>
      <c r="D53" s="2826">
        <v>1170000</v>
      </c>
      <c r="E53" s="2826">
        <v>1170000</v>
      </c>
      <c r="F53" s="2826">
        <v>1170000</v>
      </c>
      <c r="G53" s="2826">
        <v>1170000</v>
      </c>
      <c r="H53" s="2826">
        <v>1170000</v>
      </c>
      <c r="I53" s="2826">
        <f>+[3]Byty!$B$26</f>
        <v>1170000</v>
      </c>
      <c r="J53" s="2827">
        <f t="shared" si="0"/>
        <v>0</v>
      </c>
      <c r="K53" s="2860"/>
      <c r="L53" s="2867"/>
      <c r="M53" s="2168"/>
    </row>
    <row r="54" spans="1:13" ht="18.75" customHeight="1" outlineLevel="1">
      <c r="A54" s="2828">
        <v>3612</v>
      </c>
      <c r="B54" s="2829">
        <v>5169</v>
      </c>
      <c r="C54" s="2830" t="s">
        <v>1779</v>
      </c>
      <c r="D54" s="2831">
        <v>250000</v>
      </c>
      <c r="E54" s="2831">
        <v>250000</v>
      </c>
      <c r="F54" s="2831">
        <v>250000</v>
      </c>
      <c r="G54" s="2831">
        <v>250000</v>
      </c>
      <c r="H54" s="2831">
        <v>250000</v>
      </c>
      <c r="I54" s="2831">
        <f>+[3]Byty!$B$27</f>
        <v>250000</v>
      </c>
      <c r="J54" s="2832">
        <f t="shared" si="0"/>
        <v>0</v>
      </c>
      <c r="K54" s="2860"/>
      <c r="L54" s="2867"/>
      <c r="M54" s="2168"/>
    </row>
    <row r="55" spans="1:13" s="2868" customFormat="1" ht="16.5" customHeight="1" thickBot="1">
      <c r="A55" s="3225" t="s">
        <v>200</v>
      </c>
      <c r="B55" s="3226"/>
      <c r="C55" s="2863"/>
      <c r="D55" s="2864">
        <v>1420000</v>
      </c>
      <c r="E55" s="2864">
        <v>1420000</v>
      </c>
      <c r="F55" s="2864">
        <v>1420000</v>
      </c>
      <c r="G55" s="2864">
        <v>1420000</v>
      </c>
      <c r="H55" s="2864">
        <v>1420000</v>
      </c>
      <c r="I55" s="2864">
        <f t="shared" ref="I55" si="11">SUM(I53:I54)</f>
        <v>1420000</v>
      </c>
      <c r="J55" s="2865">
        <f t="shared" si="0"/>
        <v>0</v>
      </c>
      <c r="K55" s="2866">
        <f>'Výdaje kapitol celkem'!AF34</f>
        <v>1420000</v>
      </c>
      <c r="L55" s="2867">
        <f>+K55-I55</f>
        <v>0</v>
      </c>
      <c r="M55" s="2168"/>
    </row>
    <row r="56" spans="1:13" ht="16.5" customHeight="1" outlineLevel="1">
      <c r="A56" s="2878" t="s">
        <v>199</v>
      </c>
      <c r="B56" s="2876">
        <v>5169</v>
      </c>
      <c r="C56" s="2879" t="s">
        <v>1766</v>
      </c>
      <c r="D56" s="2839">
        <v>120000</v>
      </c>
      <c r="E56" s="2839">
        <v>120000</v>
      </c>
      <c r="F56" s="2839">
        <v>120000</v>
      </c>
      <c r="G56" s="2839">
        <v>120000</v>
      </c>
      <c r="H56" s="2839">
        <v>120000</v>
      </c>
      <c r="I56" s="2839">
        <f>+[3]DPS!$B$27</f>
        <v>120000</v>
      </c>
      <c r="J56" s="2880">
        <f t="shared" si="0"/>
        <v>0</v>
      </c>
      <c r="K56" s="2860"/>
      <c r="L56" s="2867"/>
      <c r="M56" s="2168"/>
    </row>
    <row r="57" spans="1:13" ht="16.5" customHeight="1" outlineLevel="1">
      <c r="A57" s="2878" t="s">
        <v>199</v>
      </c>
      <c r="B57" s="2876">
        <v>5169</v>
      </c>
      <c r="C57" s="2879" t="s">
        <v>1767</v>
      </c>
      <c r="D57" s="2839">
        <v>100000</v>
      </c>
      <c r="E57" s="2839">
        <v>100000</v>
      </c>
      <c r="F57" s="2839">
        <v>100000</v>
      </c>
      <c r="G57" s="2839">
        <v>100000</v>
      </c>
      <c r="H57" s="2839">
        <v>100000</v>
      </c>
      <c r="I57" s="2839">
        <f>+[3]DPS!$B$28</f>
        <v>100000</v>
      </c>
      <c r="J57" s="2880">
        <f t="shared" si="0"/>
        <v>0</v>
      </c>
      <c r="K57" s="2860"/>
      <c r="L57" s="2867"/>
      <c r="M57" s="2168"/>
    </row>
    <row r="58" spans="1:13" ht="12.4" thickBot="1">
      <c r="A58" s="3225" t="s">
        <v>201</v>
      </c>
      <c r="B58" s="3226"/>
      <c r="C58" s="2863"/>
      <c r="D58" s="2864">
        <v>220000</v>
      </c>
      <c r="E58" s="2864">
        <v>220000</v>
      </c>
      <c r="F58" s="2864">
        <v>220000</v>
      </c>
      <c r="G58" s="2864">
        <v>220000</v>
      </c>
      <c r="H58" s="2864">
        <v>220000</v>
      </c>
      <c r="I58" s="2864">
        <f t="shared" ref="I58" si="12">SUM(I56:I57)</f>
        <v>220000</v>
      </c>
      <c r="J58" s="2865">
        <f t="shared" si="0"/>
        <v>0</v>
      </c>
      <c r="K58" s="2866">
        <f>'Výdaje kapitol celkem'!AI34</f>
        <v>220000</v>
      </c>
      <c r="L58" s="2867">
        <f>+K58-I58</f>
        <v>0</v>
      </c>
      <c r="M58" s="2168"/>
    </row>
    <row r="59" spans="1:13" ht="15" customHeight="1" outlineLevel="1">
      <c r="A59" s="2828" t="s">
        <v>1255</v>
      </c>
      <c r="B59" s="2829">
        <v>5169</v>
      </c>
      <c r="C59" s="2830"/>
      <c r="D59" s="2831">
        <v>0</v>
      </c>
      <c r="E59" s="2831">
        <v>0</v>
      </c>
      <c r="F59" s="2831">
        <v>0</v>
      </c>
      <c r="G59" s="2831">
        <v>0</v>
      </c>
      <c r="H59" s="2831">
        <v>0</v>
      </c>
      <c r="I59" s="2831">
        <f>+'[3]Hotel Budka'!$B$19</f>
        <v>0</v>
      </c>
      <c r="J59" s="2838">
        <f t="shared" si="0"/>
        <v>0</v>
      </c>
      <c r="K59" s="2860"/>
      <c r="L59" s="2867"/>
      <c r="M59" s="2168"/>
    </row>
    <row r="60" spans="1:13" ht="15" customHeight="1" outlineLevel="1">
      <c r="A60" s="2878" t="s">
        <v>1255</v>
      </c>
      <c r="B60" s="2876">
        <v>5169</v>
      </c>
      <c r="C60" s="2879"/>
      <c r="D60" s="2839">
        <v>0</v>
      </c>
      <c r="E60" s="2839">
        <v>0</v>
      </c>
      <c r="F60" s="2839">
        <v>0</v>
      </c>
      <c r="G60" s="2839">
        <v>0</v>
      </c>
      <c r="H60" s="2839">
        <v>0</v>
      </c>
      <c r="I60" s="2839">
        <f>+'[3]Hotel Budka'!$B$20</f>
        <v>0</v>
      </c>
      <c r="J60" s="2873">
        <f t="shared" si="0"/>
        <v>0</v>
      </c>
      <c r="K60" s="2860"/>
      <c r="L60" s="2867"/>
      <c r="M60" s="2168"/>
    </row>
    <row r="61" spans="1:13" ht="15" hidden="1" customHeight="1" outlineLevel="1">
      <c r="A61" s="2881" t="s">
        <v>1255</v>
      </c>
      <c r="B61" s="2876">
        <v>5169</v>
      </c>
      <c r="C61" s="2882"/>
      <c r="D61" s="2883"/>
      <c r="E61" s="2883"/>
      <c r="F61" s="2883"/>
      <c r="G61" s="2883"/>
      <c r="H61" s="2883"/>
      <c r="I61" s="2883"/>
      <c r="J61" s="2884">
        <f t="shared" si="0"/>
        <v>0</v>
      </c>
      <c r="K61" s="2860"/>
      <c r="L61" s="2867"/>
      <c r="M61" s="2168"/>
    </row>
    <row r="62" spans="1:13" ht="16.5" customHeight="1" thickBot="1">
      <c r="A62" s="3225" t="s">
        <v>1444</v>
      </c>
      <c r="B62" s="3226"/>
      <c r="C62" s="2863"/>
      <c r="D62" s="2864">
        <v>0</v>
      </c>
      <c r="E62" s="2864">
        <v>0</v>
      </c>
      <c r="F62" s="2864">
        <v>0</v>
      </c>
      <c r="G62" s="2864">
        <v>0</v>
      </c>
      <c r="H62" s="2864">
        <v>0</v>
      </c>
      <c r="I62" s="2864">
        <f t="shared" ref="I62" si="13">SUM(I59:I60)</f>
        <v>0</v>
      </c>
      <c r="J62" s="2865">
        <f t="shared" si="0"/>
        <v>0</v>
      </c>
      <c r="K62" s="2866">
        <f>'Výdaje kapitol celkem'!AB34</f>
        <v>0</v>
      </c>
      <c r="L62" s="2867">
        <f>+K62-I62</f>
        <v>0</v>
      </c>
      <c r="M62" s="2168"/>
    </row>
    <row r="63" spans="1:13" ht="24" outlineLevel="1">
      <c r="A63" s="2828">
        <v>3613</v>
      </c>
      <c r="B63" s="2829">
        <v>5169</v>
      </c>
      <c r="C63" s="2830" t="s">
        <v>1771</v>
      </c>
      <c r="D63" s="2831">
        <v>300000</v>
      </c>
      <c r="E63" s="2831">
        <v>300000</v>
      </c>
      <c r="F63" s="2831">
        <v>300000</v>
      </c>
      <c r="G63" s="2831">
        <v>300000</v>
      </c>
      <c r="H63" s="2831">
        <v>300000</v>
      </c>
      <c r="I63" s="2831">
        <f>+[3]Nebyty!$B$5</f>
        <v>300000</v>
      </c>
      <c r="J63" s="2838">
        <f t="shared" si="0"/>
        <v>0</v>
      </c>
      <c r="K63" s="2860"/>
      <c r="L63" s="2867"/>
      <c r="M63" s="2168"/>
    </row>
    <row r="64" spans="1:13" ht="15" customHeight="1" outlineLevel="1">
      <c r="A64" s="2878">
        <v>3613</v>
      </c>
      <c r="B64" s="2876">
        <v>5169</v>
      </c>
      <c r="C64" s="2879" t="s">
        <v>1772</v>
      </c>
      <c r="D64" s="2839">
        <v>0</v>
      </c>
      <c r="E64" s="2839">
        <v>0</v>
      </c>
      <c r="F64" s="2839">
        <v>0</v>
      </c>
      <c r="G64" s="2839">
        <v>0</v>
      </c>
      <c r="H64" s="2839">
        <v>0</v>
      </c>
      <c r="I64" s="2839">
        <f>+[3]Nebyty!$B$6</f>
        <v>0</v>
      </c>
      <c r="J64" s="2873">
        <f t="shared" si="0"/>
        <v>0</v>
      </c>
      <c r="K64" s="2860"/>
      <c r="L64" s="2867"/>
      <c r="M64" s="2168"/>
    </row>
    <row r="65" spans="1:13" ht="16.5" customHeight="1" thickBot="1">
      <c r="A65" s="3225" t="s">
        <v>202</v>
      </c>
      <c r="B65" s="3226"/>
      <c r="C65" s="2863"/>
      <c r="D65" s="2864">
        <v>300000</v>
      </c>
      <c r="E65" s="2864">
        <v>300000</v>
      </c>
      <c r="F65" s="2864">
        <v>300000</v>
      </c>
      <c r="G65" s="2864">
        <v>300000</v>
      </c>
      <c r="H65" s="2864">
        <v>300000</v>
      </c>
      <c r="I65" s="2864">
        <f t="shared" ref="I65" si="14">SUM(I63:I64)</f>
        <v>300000</v>
      </c>
      <c r="J65" s="2865">
        <f t="shared" si="0"/>
        <v>0</v>
      </c>
      <c r="K65" s="2866">
        <f>'Výdaje kapitol celkem'!AL34</f>
        <v>300000</v>
      </c>
      <c r="L65" s="2867">
        <f>+K65-I65</f>
        <v>0</v>
      </c>
      <c r="M65" s="2168"/>
    </row>
    <row r="66" spans="1:13" ht="20.25" customHeight="1" outlineLevel="1">
      <c r="A66" s="2828">
        <v>5512</v>
      </c>
      <c r="B66" s="2829">
        <v>5169</v>
      </c>
      <c r="C66" s="2830" t="s">
        <v>1754</v>
      </c>
      <c r="D66" s="2831">
        <v>20000</v>
      </c>
      <c r="E66" s="2831">
        <v>20000</v>
      </c>
      <c r="F66" s="2831">
        <v>20000</v>
      </c>
      <c r="G66" s="2831">
        <v>20000</v>
      </c>
      <c r="H66" s="2831">
        <v>20000</v>
      </c>
      <c r="I66" s="2831">
        <f>+[3]Hasiči!$B$19</f>
        <v>20000</v>
      </c>
      <c r="J66" s="2838">
        <f t="shared" si="0"/>
        <v>0</v>
      </c>
      <c r="K66" s="2860"/>
      <c r="L66" s="2867"/>
      <c r="M66" s="2168"/>
    </row>
    <row r="67" spans="1:13" ht="28.5" hidden="1" customHeight="1" outlineLevel="1">
      <c r="A67" s="2878">
        <v>5512</v>
      </c>
      <c r="B67" s="2876">
        <v>5169</v>
      </c>
      <c r="C67" s="2830"/>
      <c r="D67" s="2839">
        <v>0</v>
      </c>
      <c r="E67" s="2839">
        <v>0</v>
      </c>
      <c r="F67" s="2839">
        <v>0</v>
      </c>
      <c r="G67" s="2839">
        <v>0</v>
      </c>
      <c r="H67" s="2839">
        <v>0</v>
      </c>
      <c r="I67" s="2839">
        <f>+[3]Hasiči!$B$20</f>
        <v>0</v>
      </c>
      <c r="J67" s="2873">
        <f t="shared" si="0"/>
        <v>0</v>
      </c>
      <c r="K67" s="2860"/>
      <c r="L67" s="2867"/>
      <c r="M67" s="2168"/>
    </row>
    <row r="68" spans="1:13" ht="20.25" customHeight="1" outlineLevel="1">
      <c r="A68" s="2878">
        <v>5512</v>
      </c>
      <c r="B68" s="2876">
        <v>5169</v>
      </c>
      <c r="C68" s="2830" t="s">
        <v>2421</v>
      </c>
      <c r="D68" s="2839">
        <v>30000</v>
      </c>
      <c r="E68" s="2839">
        <v>30000</v>
      </c>
      <c r="F68" s="2839">
        <v>30000</v>
      </c>
      <c r="G68" s="2839">
        <v>30000</v>
      </c>
      <c r="H68" s="2839">
        <v>30000</v>
      </c>
      <c r="I68" s="2839">
        <f>+[2]Hasiči!$B$55</f>
        <v>30000</v>
      </c>
      <c r="J68" s="2873">
        <f t="shared" si="0"/>
        <v>0</v>
      </c>
      <c r="K68" s="2860"/>
      <c r="L68" s="2867"/>
      <c r="M68" s="2168"/>
    </row>
    <row r="69" spans="1:13" ht="20.25" hidden="1" customHeight="1" outlineLevel="1">
      <c r="A69" s="2878">
        <v>5512</v>
      </c>
      <c r="B69" s="2876">
        <v>5169</v>
      </c>
      <c r="C69" s="2830"/>
      <c r="D69" s="2839">
        <v>0</v>
      </c>
      <c r="E69" s="2839">
        <v>0</v>
      </c>
      <c r="F69" s="2839">
        <v>0</v>
      </c>
      <c r="G69" s="2839">
        <v>0</v>
      </c>
      <c r="H69" s="2839">
        <v>0</v>
      </c>
      <c r="I69" s="2839">
        <f>+[2]Hasiči!$B$56</f>
        <v>0</v>
      </c>
      <c r="J69" s="2873">
        <f t="shared" si="0"/>
        <v>0</v>
      </c>
      <c r="K69" s="2860"/>
      <c r="L69" s="2867"/>
      <c r="M69" s="2168"/>
    </row>
    <row r="70" spans="1:13" ht="20.25" customHeight="1" thickBot="1">
      <c r="A70" s="3225" t="s">
        <v>203</v>
      </c>
      <c r="B70" s="3226"/>
      <c r="C70" s="2863"/>
      <c r="D70" s="2864">
        <v>50000</v>
      </c>
      <c r="E70" s="2864">
        <v>50000</v>
      </c>
      <c r="F70" s="2864">
        <v>50000</v>
      </c>
      <c r="G70" s="2864">
        <v>50000</v>
      </c>
      <c r="H70" s="2864">
        <v>50000</v>
      </c>
      <c r="I70" s="2864">
        <f t="shared" ref="I70" si="15">SUM(I66:I69)</f>
        <v>50000</v>
      </c>
      <c r="J70" s="2865">
        <f t="shared" ref="J70:J133" si="16">+I70-H70</f>
        <v>0</v>
      </c>
      <c r="K70" s="2866">
        <f>'Výdaje kapitol celkem'!AO34</f>
        <v>50000</v>
      </c>
      <c r="L70" s="2867">
        <f>+K70-I70</f>
        <v>0</v>
      </c>
      <c r="M70" s="2168"/>
    </row>
    <row r="71" spans="1:13" ht="20.25" customHeight="1" outlineLevel="1">
      <c r="A71" s="2828">
        <v>3519</v>
      </c>
      <c r="B71" s="2829">
        <v>5169</v>
      </c>
      <c r="C71" s="2830"/>
      <c r="D71" s="2831">
        <v>80000</v>
      </c>
      <c r="E71" s="2831">
        <v>80000</v>
      </c>
      <c r="F71" s="2831">
        <v>80000</v>
      </c>
      <c r="G71" s="2831">
        <v>80000</v>
      </c>
      <c r="H71" s="2831">
        <v>80000</v>
      </c>
      <c r="I71" s="2831">
        <f>+'[3]Zdrav. středisko'!$B$5</f>
        <v>80000</v>
      </c>
      <c r="J71" s="2838">
        <f t="shared" si="16"/>
        <v>0</v>
      </c>
      <c r="K71" s="2860"/>
      <c r="L71" s="2867"/>
      <c r="M71" s="2168"/>
    </row>
    <row r="72" spans="1:13" ht="20.25" customHeight="1" outlineLevel="1">
      <c r="A72" s="2878">
        <v>3519</v>
      </c>
      <c r="B72" s="2876">
        <v>5169</v>
      </c>
      <c r="C72" s="2879"/>
      <c r="D72" s="2839">
        <v>0</v>
      </c>
      <c r="E72" s="2839">
        <v>0</v>
      </c>
      <c r="F72" s="2839">
        <v>0</v>
      </c>
      <c r="G72" s="2839">
        <v>0</v>
      </c>
      <c r="H72" s="2839">
        <v>0</v>
      </c>
      <c r="I72" s="2839">
        <f>+'[3]Zdrav. středisko'!$B$6</f>
        <v>0</v>
      </c>
      <c r="J72" s="2873">
        <f t="shared" si="16"/>
        <v>0</v>
      </c>
      <c r="K72" s="2860"/>
      <c r="L72" s="2867"/>
      <c r="M72" s="2168"/>
    </row>
    <row r="73" spans="1:13" ht="26.25" customHeight="1" thickBot="1">
      <c r="A73" s="3225" t="s">
        <v>204</v>
      </c>
      <c r="B73" s="3226"/>
      <c r="C73" s="2863"/>
      <c r="D73" s="2864">
        <v>80000</v>
      </c>
      <c r="E73" s="2864">
        <v>80000</v>
      </c>
      <c r="F73" s="2864">
        <v>80000</v>
      </c>
      <c r="G73" s="2864">
        <v>80000</v>
      </c>
      <c r="H73" s="2864">
        <v>80000</v>
      </c>
      <c r="I73" s="2864">
        <f t="shared" ref="I73" si="17">SUM(I71:I72)</f>
        <v>80000</v>
      </c>
      <c r="J73" s="2865">
        <f t="shared" si="16"/>
        <v>0</v>
      </c>
      <c r="K73" s="2866">
        <f>'Výdaje kapitol celkem'!AP34</f>
        <v>80000</v>
      </c>
      <c r="L73" s="2867">
        <f>+K73-I73</f>
        <v>0</v>
      </c>
      <c r="M73" s="2168"/>
    </row>
    <row r="74" spans="1:13" ht="18" customHeight="1" outlineLevel="1">
      <c r="A74" s="2828">
        <v>3429</v>
      </c>
      <c r="B74" s="2829">
        <v>5169</v>
      </c>
      <c r="C74" s="2830" t="s">
        <v>1754</v>
      </c>
      <c r="D74" s="2831">
        <v>0</v>
      </c>
      <c r="E74" s="2831">
        <v>0</v>
      </c>
      <c r="F74" s="2831">
        <v>0</v>
      </c>
      <c r="G74" s="2831">
        <v>0</v>
      </c>
      <c r="H74" s="2831">
        <v>0</v>
      </c>
      <c r="I74" s="2831">
        <f>+[3]Tesko!$B$5</f>
        <v>0</v>
      </c>
      <c r="J74" s="2838">
        <f t="shared" si="16"/>
        <v>0</v>
      </c>
      <c r="K74" s="2860"/>
      <c r="L74" s="2867"/>
      <c r="M74" s="2168"/>
    </row>
    <row r="75" spans="1:13" ht="18" customHeight="1" outlineLevel="1">
      <c r="A75" s="2878">
        <v>3429</v>
      </c>
      <c r="B75" s="2876">
        <v>5169</v>
      </c>
      <c r="C75" s="2830"/>
      <c r="D75" s="2831">
        <v>0</v>
      </c>
      <c r="E75" s="2831">
        <v>0</v>
      </c>
      <c r="F75" s="2831">
        <v>0</v>
      </c>
      <c r="G75" s="2831">
        <v>0</v>
      </c>
      <c r="H75" s="2831">
        <v>0</v>
      </c>
      <c r="I75" s="2831">
        <f>+[3]Tesko!$B$6</f>
        <v>0</v>
      </c>
      <c r="J75" s="2838">
        <f t="shared" si="16"/>
        <v>0</v>
      </c>
      <c r="K75" s="2860"/>
      <c r="L75" s="2867"/>
      <c r="M75" s="2168"/>
    </row>
    <row r="76" spans="1:13" ht="20.25" hidden="1" customHeight="1" outlineLevel="1">
      <c r="A76" s="2878">
        <v>3429</v>
      </c>
      <c r="B76" s="2876">
        <v>5169</v>
      </c>
      <c r="C76" s="2879"/>
      <c r="D76" s="2885"/>
      <c r="E76" s="2885"/>
      <c r="F76" s="2885"/>
      <c r="G76" s="2885"/>
      <c r="H76" s="2885"/>
      <c r="I76" s="2885"/>
      <c r="J76" s="2873">
        <f t="shared" si="16"/>
        <v>0</v>
      </c>
      <c r="K76" s="2860"/>
      <c r="L76" s="2867"/>
      <c r="M76" s="2168"/>
    </row>
    <row r="77" spans="1:13" ht="20.25" customHeight="1" thickBot="1">
      <c r="A77" s="3225" t="s">
        <v>1210</v>
      </c>
      <c r="B77" s="3226"/>
      <c r="C77" s="2863"/>
      <c r="D77" s="2864">
        <v>0</v>
      </c>
      <c r="E77" s="2864">
        <v>0</v>
      </c>
      <c r="F77" s="2864">
        <v>0</v>
      </c>
      <c r="G77" s="2864">
        <v>0</v>
      </c>
      <c r="H77" s="2864">
        <v>0</v>
      </c>
      <c r="I77" s="2864">
        <f t="shared" ref="I77" si="18">SUM(I74:I76)</f>
        <v>0</v>
      </c>
      <c r="J77" s="2865">
        <f t="shared" si="16"/>
        <v>0</v>
      </c>
      <c r="K77" s="2866">
        <f>'Výdaje kapitol celkem'!AQ34</f>
        <v>0</v>
      </c>
      <c r="L77" s="2867">
        <f>+K77-I77</f>
        <v>0</v>
      </c>
      <c r="M77" s="2168"/>
    </row>
    <row r="78" spans="1:13" ht="18" customHeight="1" outlineLevel="1">
      <c r="A78" s="2828">
        <v>3632</v>
      </c>
      <c r="B78" s="2829">
        <v>5169</v>
      </c>
      <c r="C78" s="2830" t="s">
        <v>2736</v>
      </c>
      <c r="D78" s="2831">
        <v>50000</v>
      </c>
      <c r="E78" s="2831">
        <v>50000</v>
      </c>
      <c r="F78" s="2831">
        <v>50000</v>
      </c>
      <c r="G78" s="2831">
        <v>50000</v>
      </c>
      <c r="H78" s="2831">
        <v>50000</v>
      </c>
      <c r="I78" s="2831">
        <f>+[3]Hřbitov!$B$19</f>
        <v>50000</v>
      </c>
      <c r="J78" s="2838">
        <f t="shared" si="16"/>
        <v>0</v>
      </c>
      <c r="K78" s="2860"/>
      <c r="L78" s="2867"/>
      <c r="M78" s="2168"/>
    </row>
    <row r="79" spans="1:13" ht="18" customHeight="1" outlineLevel="1">
      <c r="A79" s="2878">
        <v>3632</v>
      </c>
      <c r="B79" s="2876">
        <v>5169</v>
      </c>
      <c r="C79" s="2830"/>
      <c r="D79" s="2831">
        <v>0</v>
      </c>
      <c r="E79" s="2831">
        <v>0</v>
      </c>
      <c r="F79" s="2831">
        <v>0</v>
      </c>
      <c r="G79" s="2831">
        <v>0</v>
      </c>
      <c r="H79" s="2831">
        <v>0</v>
      </c>
      <c r="I79" s="2831">
        <f>+[3]Hřbitov!$B$20</f>
        <v>0</v>
      </c>
      <c r="J79" s="2838">
        <f t="shared" si="16"/>
        <v>0</v>
      </c>
      <c r="K79" s="2860"/>
      <c r="L79" s="2867"/>
      <c r="M79" s="2168"/>
    </row>
    <row r="80" spans="1:13" ht="20.25" hidden="1" customHeight="1" outlineLevel="1">
      <c r="A80" s="2878">
        <v>3632</v>
      </c>
      <c r="B80" s="2876">
        <v>5169</v>
      </c>
      <c r="C80" s="2879"/>
      <c r="D80" s="2839"/>
      <c r="E80" s="2839"/>
      <c r="F80" s="2839"/>
      <c r="G80" s="2839"/>
      <c r="H80" s="2839"/>
      <c r="I80" s="2839"/>
      <c r="J80" s="2873">
        <f t="shared" si="16"/>
        <v>0</v>
      </c>
      <c r="K80" s="2860"/>
      <c r="L80" s="2867"/>
      <c r="M80" s="2168"/>
    </row>
    <row r="81" spans="1:13" ht="20.25" customHeight="1" thickBot="1">
      <c r="A81" s="3225" t="s">
        <v>253</v>
      </c>
      <c r="B81" s="3226"/>
      <c r="C81" s="2863"/>
      <c r="D81" s="2864">
        <v>50000</v>
      </c>
      <c r="E81" s="2864">
        <v>50000</v>
      </c>
      <c r="F81" s="2864">
        <v>50000</v>
      </c>
      <c r="G81" s="2864">
        <v>50000</v>
      </c>
      <c r="H81" s="2864">
        <v>50000</v>
      </c>
      <c r="I81" s="2864">
        <f t="shared" ref="I81" si="19">SUM(I78:I80)</f>
        <v>50000</v>
      </c>
      <c r="J81" s="2865">
        <f t="shared" si="16"/>
        <v>0</v>
      </c>
      <c r="K81" s="2866">
        <f>'Výdaje kapitol celkem'!AR34</f>
        <v>50000</v>
      </c>
      <c r="L81" s="2867">
        <f>+K81-I81</f>
        <v>0</v>
      </c>
      <c r="M81" s="2168"/>
    </row>
    <row r="82" spans="1:13" ht="20.25" customHeight="1" outlineLevel="1">
      <c r="A82" s="2828">
        <v>3412</v>
      </c>
      <c r="B82" s="2829">
        <v>5169</v>
      </c>
      <c r="C82" s="2830" t="s">
        <v>2737</v>
      </c>
      <c r="D82" s="2831">
        <v>0</v>
      </c>
      <c r="E82" s="2831">
        <v>0</v>
      </c>
      <c r="F82" s="2831">
        <v>40000</v>
      </c>
      <c r="G82" s="2831">
        <v>40000</v>
      </c>
      <c r="H82" s="2831">
        <v>40000</v>
      </c>
      <c r="I82" s="2831">
        <f>+[3]koupaliště!$B$21</f>
        <v>40000</v>
      </c>
      <c r="J82" s="2838">
        <f t="shared" si="16"/>
        <v>0</v>
      </c>
      <c r="K82" s="2860"/>
      <c r="L82" s="2867"/>
      <c r="M82" s="2168"/>
    </row>
    <row r="83" spans="1:13" ht="18" customHeight="1" outlineLevel="1">
      <c r="A83" s="2878">
        <v>3412</v>
      </c>
      <c r="B83" s="2876">
        <v>5169</v>
      </c>
      <c r="C83" s="2830"/>
      <c r="D83" s="2831">
        <v>0</v>
      </c>
      <c r="E83" s="2831">
        <v>0</v>
      </c>
      <c r="F83" s="2831">
        <v>0</v>
      </c>
      <c r="G83" s="2831">
        <v>0</v>
      </c>
      <c r="H83" s="2831">
        <v>0</v>
      </c>
      <c r="I83" s="2831">
        <f>+[3]koupaliště!$B$22</f>
        <v>0</v>
      </c>
      <c r="J83" s="2838">
        <f t="shared" si="16"/>
        <v>0</v>
      </c>
      <c r="K83" s="2860"/>
      <c r="L83" s="2867"/>
      <c r="M83" s="2168"/>
    </row>
    <row r="84" spans="1:13" ht="18" hidden="1" customHeight="1" outlineLevel="1">
      <c r="A84" s="2886">
        <v>3412</v>
      </c>
      <c r="B84" s="2887">
        <v>5169</v>
      </c>
      <c r="C84" s="2840"/>
      <c r="D84" s="2841"/>
      <c r="E84" s="2841"/>
      <c r="F84" s="2841"/>
      <c r="G84" s="2841"/>
      <c r="H84" s="2841"/>
      <c r="I84" s="2841"/>
      <c r="J84" s="2877">
        <f t="shared" si="16"/>
        <v>0</v>
      </c>
      <c r="K84" s="2860"/>
      <c r="L84" s="2867"/>
      <c r="M84" s="2168"/>
    </row>
    <row r="85" spans="1:13" ht="18" hidden="1" customHeight="1" outlineLevel="1">
      <c r="A85" s="2886">
        <v>3412</v>
      </c>
      <c r="B85" s="2876">
        <v>5169</v>
      </c>
      <c r="C85" s="2879"/>
      <c r="D85" s="2839"/>
      <c r="E85" s="2839"/>
      <c r="F85" s="2839"/>
      <c r="G85" s="2839"/>
      <c r="H85" s="2839"/>
      <c r="I85" s="2839"/>
      <c r="J85" s="2873">
        <f t="shared" si="16"/>
        <v>0</v>
      </c>
      <c r="K85" s="2860"/>
      <c r="L85" s="2867"/>
      <c r="M85" s="2168"/>
    </row>
    <row r="86" spans="1:13" ht="18" hidden="1" customHeight="1" outlineLevel="1">
      <c r="A86" s="2886">
        <v>3412</v>
      </c>
      <c r="B86" s="2888">
        <v>5169</v>
      </c>
      <c r="C86" s="2840"/>
      <c r="D86" s="2841"/>
      <c r="E86" s="2841"/>
      <c r="F86" s="2841"/>
      <c r="G86" s="2841"/>
      <c r="H86" s="2841"/>
      <c r="I86" s="2841"/>
      <c r="J86" s="2877">
        <f t="shared" si="16"/>
        <v>0</v>
      </c>
      <c r="K86" s="2860"/>
      <c r="L86" s="2867"/>
      <c r="M86" s="2168"/>
    </row>
    <row r="87" spans="1:13" ht="20.25" customHeight="1" thickBot="1">
      <c r="A87" s="3225" t="s">
        <v>625</v>
      </c>
      <c r="B87" s="3226"/>
      <c r="C87" s="2863"/>
      <c r="D87" s="2864">
        <v>0</v>
      </c>
      <c r="E87" s="2864">
        <v>0</v>
      </c>
      <c r="F87" s="2864">
        <v>40000</v>
      </c>
      <c r="G87" s="2864">
        <v>40000</v>
      </c>
      <c r="H87" s="2864">
        <v>40000</v>
      </c>
      <c r="I87" s="2864">
        <f t="shared" ref="I87" si="20">SUM(I82:I86)</f>
        <v>40000</v>
      </c>
      <c r="J87" s="2865">
        <f t="shared" si="16"/>
        <v>0</v>
      </c>
      <c r="K87" s="2866">
        <f>'Výdaje kapitol celkem'!AU34</f>
        <v>40000</v>
      </c>
      <c r="L87" s="2867">
        <f>+K87-I87</f>
        <v>0</v>
      </c>
      <c r="M87" s="2168"/>
    </row>
    <row r="88" spans="1:13" ht="24" outlineLevel="1">
      <c r="A88" s="2828" t="s">
        <v>1183</v>
      </c>
      <c r="B88" s="2829">
        <v>5169</v>
      </c>
      <c r="C88" s="2830" t="s">
        <v>2874</v>
      </c>
      <c r="D88" s="2831">
        <v>250000</v>
      </c>
      <c r="E88" s="2831">
        <v>250000</v>
      </c>
      <c r="F88" s="2831">
        <v>250000</v>
      </c>
      <c r="G88" s="2831">
        <v>250000</v>
      </c>
      <c r="H88" s="2831">
        <v>504100</v>
      </c>
      <c r="I88" s="2831">
        <f>+[3]Hřiště!$B$15</f>
        <v>504100</v>
      </c>
      <c r="J88" s="2838">
        <f t="shared" si="16"/>
        <v>0</v>
      </c>
      <c r="K88" s="2860"/>
      <c r="L88" s="2867"/>
      <c r="M88" s="2168"/>
    </row>
    <row r="89" spans="1:13" ht="18" customHeight="1" outlineLevel="1">
      <c r="A89" s="2886" t="s">
        <v>1183</v>
      </c>
      <c r="B89" s="2876">
        <v>5169</v>
      </c>
      <c r="C89" s="2879" t="s">
        <v>2370</v>
      </c>
      <c r="D89" s="2839">
        <v>420000</v>
      </c>
      <c r="E89" s="2839">
        <v>420000</v>
      </c>
      <c r="F89" s="2839">
        <v>420000</v>
      </c>
      <c r="G89" s="2839">
        <v>420000</v>
      </c>
      <c r="H89" s="2839">
        <v>420000</v>
      </c>
      <c r="I89" s="2839">
        <f>+[3]Hřiště!$B$16</f>
        <v>420000</v>
      </c>
      <c r="J89" s="2873">
        <f t="shared" si="16"/>
        <v>0</v>
      </c>
      <c r="K89" s="2860"/>
      <c r="L89" s="2867"/>
      <c r="M89" s="2168"/>
    </row>
    <row r="90" spans="1:13" ht="18" customHeight="1" outlineLevel="1">
      <c r="A90" s="2886" t="s">
        <v>1183</v>
      </c>
      <c r="B90" s="2888">
        <v>5169</v>
      </c>
      <c r="C90" s="2840"/>
      <c r="D90" s="2841"/>
      <c r="E90" s="2841"/>
      <c r="F90" s="2841"/>
      <c r="G90" s="2841"/>
      <c r="H90" s="2841"/>
      <c r="I90" s="2841"/>
      <c r="J90" s="2877">
        <f t="shared" si="16"/>
        <v>0</v>
      </c>
      <c r="K90" s="2860"/>
      <c r="L90" s="2867">
        <f>+K90-I90</f>
        <v>0</v>
      </c>
      <c r="M90" s="2168"/>
    </row>
    <row r="91" spans="1:13" ht="20.25" customHeight="1" thickBot="1">
      <c r="A91" s="3225" t="s">
        <v>1187</v>
      </c>
      <c r="B91" s="3226"/>
      <c r="C91" s="2863"/>
      <c r="D91" s="2864">
        <v>670000</v>
      </c>
      <c r="E91" s="2864">
        <v>670000</v>
      </c>
      <c r="F91" s="2864">
        <v>670000</v>
      </c>
      <c r="G91" s="2864">
        <v>670000</v>
      </c>
      <c r="H91" s="2864">
        <v>924100</v>
      </c>
      <c r="I91" s="2864">
        <f t="shared" ref="I91" si="21">SUM(I88:I90)</f>
        <v>924100</v>
      </c>
      <c r="J91" s="2865">
        <f t="shared" si="16"/>
        <v>0</v>
      </c>
      <c r="K91" s="2866">
        <f>'Výdaje kapitol celkem'!AX34</f>
        <v>924100</v>
      </c>
      <c r="L91" s="2867">
        <f>+K91-I91</f>
        <v>0</v>
      </c>
      <c r="M91" s="2168"/>
    </row>
    <row r="92" spans="1:13" ht="18" customHeight="1" outlineLevel="1">
      <c r="A92" s="2878" t="s">
        <v>1185</v>
      </c>
      <c r="B92" s="2876">
        <v>5169</v>
      </c>
      <c r="C92" s="2830" t="s">
        <v>1756</v>
      </c>
      <c r="D92" s="2831">
        <v>300000</v>
      </c>
      <c r="E92" s="2831">
        <v>300000</v>
      </c>
      <c r="F92" s="2831">
        <v>300000</v>
      </c>
      <c r="G92" s="2831">
        <v>300000</v>
      </c>
      <c r="H92" s="2831">
        <v>300000</v>
      </c>
      <c r="I92" s="2831">
        <f>+[3]Spolky!$B$15</f>
        <v>300000</v>
      </c>
      <c r="J92" s="2838">
        <f t="shared" si="16"/>
        <v>0</v>
      </c>
      <c r="K92" s="2860"/>
      <c r="L92" s="2867"/>
      <c r="M92" s="2168"/>
    </row>
    <row r="93" spans="1:13" ht="18" customHeight="1" outlineLevel="1">
      <c r="A93" s="2886" t="s">
        <v>1185</v>
      </c>
      <c r="B93" s="2887">
        <v>5169</v>
      </c>
      <c r="C93" s="2840" t="s">
        <v>1757</v>
      </c>
      <c r="D93" s="2841">
        <v>150000</v>
      </c>
      <c r="E93" s="2841">
        <v>150000</v>
      </c>
      <c r="F93" s="2841">
        <v>150000</v>
      </c>
      <c r="G93" s="2841">
        <v>150000</v>
      </c>
      <c r="H93" s="2841">
        <v>150000</v>
      </c>
      <c r="I93" s="2841">
        <f>+[3]Spolky!$B$16</f>
        <v>150000</v>
      </c>
      <c r="J93" s="2877">
        <f t="shared" si="16"/>
        <v>0</v>
      </c>
      <c r="K93" s="2860"/>
      <c r="L93" s="2867"/>
      <c r="M93" s="2168"/>
    </row>
    <row r="94" spans="1:13" ht="18" customHeight="1" outlineLevel="1">
      <c r="A94" s="2886" t="s">
        <v>1185</v>
      </c>
      <c r="B94" s="2876">
        <v>5169</v>
      </c>
      <c r="C94" s="2879" t="s">
        <v>1758</v>
      </c>
      <c r="D94" s="2839">
        <v>100000</v>
      </c>
      <c r="E94" s="2839">
        <v>100000</v>
      </c>
      <c r="F94" s="2839">
        <v>100000</v>
      </c>
      <c r="G94" s="2839">
        <v>100000</v>
      </c>
      <c r="H94" s="2839">
        <v>100000</v>
      </c>
      <c r="I94" s="2839">
        <f>+[3]Spolky!$B$17</f>
        <v>100000</v>
      </c>
      <c r="J94" s="2873">
        <f t="shared" si="16"/>
        <v>0</v>
      </c>
      <c r="K94" s="2860"/>
      <c r="L94" s="2867"/>
      <c r="M94" s="2168"/>
    </row>
    <row r="95" spans="1:13" ht="18" customHeight="1" outlineLevel="1">
      <c r="A95" s="2886" t="s">
        <v>1185</v>
      </c>
      <c r="B95" s="2888">
        <v>5169</v>
      </c>
      <c r="C95" s="2840" t="s">
        <v>1759</v>
      </c>
      <c r="D95" s="2841">
        <v>0</v>
      </c>
      <c r="E95" s="2841">
        <v>0</v>
      </c>
      <c r="F95" s="2841">
        <v>0</v>
      </c>
      <c r="G95" s="2841">
        <v>0</v>
      </c>
      <c r="H95" s="2841">
        <v>0</v>
      </c>
      <c r="I95" s="2841">
        <f>+[3]Spolky!$B$18</f>
        <v>0</v>
      </c>
      <c r="J95" s="2877">
        <f t="shared" si="16"/>
        <v>0</v>
      </c>
      <c r="K95" s="2860"/>
      <c r="L95" s="2867"/>
      <c r="M95" s="2168"/>
    </row>
    <row r="96" spans="1:13" ht="20.25" customHeight="1" thickBot="1">
      <c r="A96" s="3225" t="s">
        <v>1186</v>
      </c>
      <c r="B96" s="3226"/>
      <c r="C96" s="2863"/>
      <c r="D96" s="2864">
        <v>550000</v>
      </c>
      <c r="E96" s="2864">
        <v>550000</v>
      </c>
      <c r="F96" s="2864">
        <v>550000</v>
      </c>
      <c r="G96" s="2864">
        <v>550000</v>
      </c>
      <c r="H96" s="2864">
        <v>550000</v>
      </c>
      <c r="I96" s="2864">
        <f t="shared" ref="I96" si="22">SUM(I92:I95)</f>
        <v>550000</v>
      </c>
      <c r="J96" s="2865">
        <f t="shared" si="16"/>
        <v>0</v>
      </c>
      <c r="K96" s="2866">
        <f>'Výdaje kapitol celkem'!BA34</f>
        <v>550000</v>
      </c>
      <c r="L96" s="2867">
        <f>+K96-I96</f>
        <v>0</v>
      </c>
      <c r="M96" s="2168"/>
    </row>
    <row r="97" spans="1:13" ht="20.25" hidden="1" customHeight="1" outlineLevel="1">
      <c r="A97" s="2889">
        <v>3113</v>
      </c>
      <c r="B97" s="2888">
        <v>5169</v>
      </c>
      <c r="C97" s="2840"/>
      <c r="D97" s="2841">
        <v>0</v>
      </c>
      <c r="E97" s="2841">
        <v>0</v>
      </c>
      <c r="F97" s="2841">
        <v>0</v>
      </c>
      <c r="G97" s="2841">
        <v>0</v>
      </c>
      <c r="H97" s="2841">
        <v>0</v>
      </c>
      <c r="I97" s="2841">
        <f>+[3]ZŠ!$B$5</f>
        <v>0</v>
      </c>
      <c r="J97" s="2877">
        <f t="shared" si="16"/>
        <v>0</v>
      </c>
      <c r="K97" s="2860"/>
      <c r="L97" s="2867"/>
      <c r="M97" s="2168"/>
    </row>
    <row r="98" spans="1:13" ht="20.25" customHeight="1" outlineLevel="1">
      <c r="A98" s="2886">
        <v>3113</v>
      </c>
      <c r="B98" s="2887">
        <v>5169</v>
      </c>
      <c r="C98" s="2879" t="s">
        <v>2724</v>
      </c>
      <c r="D98" s="2839">
        <v>0</v>
      </c>
      <c r="E98" s="2839">
        <v>0</v>
      </c>
      <c r="F98" s="2839">
        <v>100000</v>
      </c>
      <c r="G98" s="2839">
        <v>100000</v>
      </c>
      <c r="H98" s="2839">
        <v>100000</v>
      </c>
      <c r="I98" s="2839">
        <f>+[3]ZŠ!$B$6</f>
        <v>100000</v>
      </c>
      <c r="J98" s="2873">
        <f t="shared" si="16"/>
        <v>0</v>
      </c>
      <c r="K98" s="2860"/>
      <c r="L98" s="2867"/>
      <c r="M98" s="2168"/>
    </row>
    <row r="99" spans="1:13" ht="20.25" customHeight="1" outlineLevel="1">
      <c r="A99" s="2886">
        <v>3113</v>
      </c>
      <c r="B99" s="2887">
        <v>5169</v>
      </c>
      <c r="C99" s="2879"/>
      <c r="D99" s="2839"/>
      <c r="E99" s="2839"/>
      <c r="F99" s="2839"/>
      <c r="G99" s="2839"/>
      <c r="H99" s="2839"/>
      <c r="I99" s="2839"/>
      <c r="J99" s="2873">
        <f t="shared" si="16"/>
        <v>0</v>
      </c>
      <c r="K99" s="2860"/>
      <c r="L99" s="2867"/>
      <c r="M99" s="2168"/>
    </row>
    <row r="100" spans="1:13" ht="20.25" hidden="1" customHeight="1" outlineLevel="1">
      <c r="A100" s="2886">
        <v>3113</v>
      </c>
      <c r="B100" s="2887">
        <v>5169</v>
      </c>
      <c r="C100" s="2840"/>
      <c r="D100" s="2841"/>
      <c r="E100" s="2841"/>
      <c r="F100" s="2841"/>
      <c r="G100" s="2841"/>
      <c r="H100" s="2841"/>
      <c r="I100" s="2841"/>
      <c r="J100" s="2838">
        <f t="shared" si="16"/>
        <v>0</v>
      </c>
      <c r="K100" s="2860"/>
      <c r="L100" s="2867"/>
      <c r="M100" s="2168"/>
    </row>
    <row r="101" spans="1:13" ht="20.25" customHeight="1" thickBot="1">
      <c r="A101" s="3225" t="s">
        <v>205</v>
      </c>
      <c r="B101" s="3226"/>
      <c r="C101" s="2863"/>
      <c r="D101" s="2864">
        <v>0</v>
      </c>
      <c r="E101" s="2864">
        <v>0</v>
      </c>
      <c r="F101" s="2864">
        <v>100000</v>
      </c>
      <c r="G101" s="2864">
        <v>100000</v>
      </c>
      <c r="H101" s="2864">
        <v>100000</v>
      </c>
      <c r="I101" s="2864">
        <f t="shared" ref="I101" si="23">SUM(I97:I100)</f>
        <v>100000</v>
      </c>
      <c r="J101" s="2865">
        <f t="shared" si="16"/>
        <v>0</v>
      </c>
      <c r="K101" s="2866">
        <f>'Výdaje kapitol celkem'!BD34</f>
        <v>100000</v>
      </c>
      <c r="L101" s="2867">
        <f>+K101-I101</f>
        <v>0</v>
      </c>
      <c r="M101" s="2168"/>
    </row>
    <row r="102" spans="1:13" ht="26.25" customHeight="1" outlineLevel="1">
      <c r="A102" s="2889">
        <v>3114</v>
      </c>
      <c r="B102" s="2888">
        <v>5169</v>
      </c>
      <c r="C102" s="2840" t="s">
        <v>1752</v>
      </c>
      <c r="D102" s="2841">
        <v>30000</v>
      </c>
      <c r="E102" s="2841">
        <v>30000</v>
      </c>
      <c r="F102" s="2841">
        <v>30000</v>
      </c>
      <c r="G102" s="2841">
        <v>30000</v>
      </c>
      <c r="H102" s="2841">
        <v>30000</v>
      </c>
      <c r="I102" s="2841">
        <f>+[3]MDDM!$B$5</f>
        <v>30000</v>
      </c>
      <c r="J102" s="2838">
        <f t="shared" si="16"/>
        <v>0</v>
      </c>
      <c r="K102" s="2860"/>
      <c r="L102" s="2867"/>
      <c r="M102" s="2168"/>
    </row>
    <row r="103" spans="1:13" ht="20.25" customHeight="1" outlineLevel="1">
      <c r="A103" s="2886">
        <v>3114</v>
      </c>
      <c r="B103" s="2887">
        <v>5169</v>
      </c>
      <c r="C103" s="2882"/>
      <c r="D103" s="2883">
        <v>0</v>
      </c>
      <c r="E103" s="2883">
        <v>0</v>
      </c>
      <c r="F103" s="2883">
        <v>0</v>
      </c>
      <c r="G103" s="2883">
        <v>0</v>
      </c>
      <c r="H103" s="2883">
        <v>0</v>
      </c>
      <c r="I103" s="2883">
        <f>+[3]MDDM!$B$6</f>
        <v>0</v>
      </c>
      <c r="J103" s="2838">
        <f t="shared" si="16"/>
        <v>0</v>
      </c>
      <c r="K103" s="2860"/>
      <c r="L103" s="2867"/>
      <c r="M103" s="2168"/>
    </row>
    <row r="104" spans="1:13" ht="20.25" customHeight="1" thickBot="1">
      <c r="A104" s="3225" t="s">
        <v>206</v>
      </c>
      <c r="B104" s="3226"/>
      <c r="C104" s="2863"/>
      <c r="D104" s="2864">
        <v>30000</v>
      </c>
      <c r="E104" s="2864">
        <v>30000</v>
      </c>
      <c r="F104" s="2864">
        <v>30000</v>
      </c>
      <c r="G104" s="2864">
        <v>30000</v>
      </c>
      <c r="H104" s="2864">
        <v>30000</v>
      </c>
      <c r="I104" s="2864">
        <f t="shared" ref="I104" si="24">SUM(I102:I103)</f>
        <v>30000</v>
      </c>
      <c r="J104" s="2865">
        <f t="shared" si="16"/>
        <v>0</v>
      </c>
      <c r="K104" s="2866">
        <f>'Výdaje kapitol celkem'!BM34</f>
        <v>30000</v>
      </c>
      <c r="L104" s="2867">
        <f>+K104-I104</f>
        <v>0</v>
      </c>
      <c r="M104" s="2168"/>
    </row>
    <row r="105" spans="1:13" ht="18" customHeight="1" outlineLevel="1">
      <c r="A105" s="2889" t="s">
        <v>192</v>
      </c>
      <c r="B105" s="2888">
        <v>5169</v>
      </c>
      <c r="C105" s="2840" t="s">
        <v>1749</v>
      </c>
      <c r="D105" s="2841">
        <v>100000</v>
      </c>
      <c r="E105" s="2841">
        <v>100000</v>
      </c>
      <c r="F105" s="2841">
        <v>100000</v>
      </c>
      <c r="G105" s="2841">
        <v>100000</v>
      </c>
      <c r="H105" s="2841">
        <v>100000</v>
      </c>
      <c r="I105" s="2841">
        <f>+'[3]MŠ Kollárova'!$B$5</f>
        <v>100000</v>
      </c>
      <c r="J105" s="2838">
        <f t="shared" si="16"/>
        <v>0</v>
      </c>
      <c r="K105" s="2860"/>
      <c r="L105" s="2867"/>
      <c r="M105" s="2168"/>
    </row>
    <row r="106" spans="1:13" ht="18" customHeight="1" outlineLevel="1">
      <c r="A106" s="2886" t="s">
        <v>192</v>
      </c>
      <c r="B106" s="2887">
        <v>5169</v>
      </c>
      <c r="C106" s="2882" t="s">
        <v>2215</v>
      </c>
      <c r="D106" s="2883">
        <v>0</v>
      </c>
      <c r="E106" s="2883">
        <v>0</v>
      </c>
      <c r="F106" s="2883">
        <v>0</v>
      </c>
      <c r="G106" s="2883">
        <v>0</v>
      </c>
      <c r="H106" s="2883">
        <v>0</v>
      </c>
      <c r="I106" s="2883">
        <f>+'[3]MŠ Kollárova'!$B$6</f>
        <v>0</v>
      </c>
      <c r="J106" s="2873">
        <f t="shared" si="16"/>
        <v>0</v>
      </c>
      <c r="K106" s="2860"/>
      <c r="L106" s="2867"/>
      <c r="M106" s="2168"/>
    </row>
    <row r="107" spans="1:13" ht="20.25" customHeight="1" thickBot="1">
      <c r="A107" s="3225" t="s">
        <v>207</v>
      </c>
      <c r="B107" s="3226"/>
      <c r="C107" s="2863"/>
      <c r="D107" s="2864">
        <v>100000</v>
      </c>
      <c r="E107" s="2864">
        <v>100000</v>
      </c>
      <c r="F107" s="2864">
        <v>100000</v>
      </c>
      <c r="G107" s="2864">
        <v>100000</v>
      </c>
      <c r="H107" s="2864">
        <v>100000</v>
      </c>
      <c r="I107" s="2864">
        <f t="shared" ref="I107" si="25">SUM(I105:I106)</f>
        <v>100000</v>
      </c>
      <c r="J107" s="2865">
        <f t="shared" si="16"/>
        <v>0</v>
      </c>
      <c r="K107" s="2866">
        <f>'Výdaje kapitol celkem'!BS34</f>
        <v>100000</v>
      </c>
      <c r="L107" s="2867">
        <f>+K107-I107</f>
        <v>0</v>
      </c>
      <c r="M107" s="2168"/>
    </row>
    <row r="108" spans="1:13" ht="20.25" customHeight="1" outlineLevel="1">
      <c r="A108" s="2889" t="s">
        <v>193</v>
      </c>
      <c r="B108" s="2888">
        <v>5169</v>
      </c>
      <c r="C108" s="2840" t="s">
        <v>1747</v>
      </c>
      <c r="D108" s="2841">
        <v>50000</v>
      </c>
      <c r="E108" s="2841">
        <v>50000</v>
      </c>
      <c r="F108" s="2841">
        <v>50000</v>
      </c>
      <c r="G108" s="2841">
        <v>50000</v>
      </c>
      <c r="H108" s="2841">
        <v>50000</v>
      </c>
      <c r="I108" s="2841">
        <f>+'[3]MŠ Pražská'!$B$5</f>
        <v>50000</v>
      </c>
      <c r="J108" s="2838">
        <f t="shared" si="16"/>
        <v>0</v>
      </c>
      <c r="K108" s="2860"/>
      <c r="L108" s="2867"/>
      <c r="M108" s="2168"/>
    </row>
    <row r="109" spans="1:13" ht="20.25" customHeight="1" outlineLevel="1">
      <c r="A109" s="2886" t="s">
        <v>193</v>
      </c>
      <c r="B109" s="2887">
        <v>5169</v>
      </c>
      <c r="C109" s="2882" t="s">
        <v>2215</v>
      </c>
      <c r="D109" s="2883">
        <v>0</v>
      </c>
      <c r="E109" s="2883">
        <v>0</v>
      </c>
      <c r="F109" s="2883">
        <v>0</v>
      </c>
      <c r="G109" s="2883">
        <v>0</v>
      </c>
      <c r="H109" s="2883">
        <v>0</v>
      </c>
      <c r="I109" s="2883">
        <f>+'[3]MŠ Pražská'!$B$6</f>
        <v>0</v>
      </c>
      <c r="J109" s="2873">
        <f t="shared" si="16"/>
        <v>0</v>
      </c>
      <c r="K109" s="2860"/>
      <c r="L109" s="2867"/>
      <c r="M109" s="2168"/>
    </row>
    <row r="110" spans="1:13" ht="20.25" customHeight="1" thickBot="1">
      <c r="A110" s="3225" t="s">
        <v>1574</v>
      </c>
      <c r="B110" s="3226"/>
      <c r="C110" s="2863"/>
      <c r="D110" s="2864">
        <v>50000</v>
      </c>
      <c r="E110" s="2864">
        <v>50000</v>
      </c>
      <c r="F110" s="2864">
        <v>50000</v>
      </c>
      <c r="G110" s="2864">
        <v>50000</v>
      </c>
      <c r="H110" s="2864">
        <v>50000</v>
      </c>
      <c r="I110" s="2864">
        <f t="shared" ref="I110" si="26">SUM(I108:I109)</f>
        <v>50000</v>
      </c>
      <c r="J110" s="2865">
        <f t="shared" si="16"/>
        <v>0</v>
      </c>
      <c r="K110" s="2866">
        <f>'Výdaje kapitol celkem'!BP34</f>
        <v>50000</v>
      </c>
      <c r="L110" s="2867">
        <f>+K110-I110</f>
        <v>0</v>
      </c>
      <c r="M110" s="2168"/>
    </row>
    <row r="111" spans="1:13" ht="20.25" customHeight="1" outlineLevel="1">
      <c r="A111" s="2889" t="s">
        <v>218</v>
      </c>
      <c r="B111" s="2888">
        <v>5169</v>
      </c>
      <c r="C111" s="2840" t="s">
        <v>1740</v>
      </c>
      <c r="D111" s="2826">
        <v>40000</v>
      </c>
      <c r="E111" s="2826">
        <v>40000</v>
      </c>
      <c r="F111" s="2826">
        <v>350000</v>
      </c>
      <c r="G111" s="2826">
        <v>350000</v>
      </c>
      <c r="H111" s="2826">
        <v>350000</v>
      </c>
      <c r="I111" s="2826">
        <f>+'[3]MŠ Cukrovar'!$B$5</f>
        <v>350000</v>
      </c>
      <c r="J111" s="2838">
        <f t="shared" si="16"/>
        <v>0</v>
      </c>
      <c r="K111" s="2860"/>
      <c r="L111" s="2867"/>
      <c r="M111" s="2168"/>
    </row>
    <row r="112" spans="1:13" ht="20.25" customHeight="1" outlineLevel="1">
      <c r="A112" s="2886" t="s">
        <v>218</v>
      </c>
      <c r="B112" s="2887">
        <v>5169</v>
      </c>
      <c r="C112" s="2882" t="s">
        <v>1741</v>
      </c>
      <c r="D112" s="2839">
        <v>4000</v>
      </c>
      <c r="E112" s="2839">
        <v>4000</v>
      </c>
      <c r="F112" s="2839">
        <v>4000</v>
      </c>
      <c r="G112" s="2839">
        <v>4000</v>
      </c>
      <c r="H112" s="2839">
        <v>4000</v>
      </c>
      <c r="I112" s="2839">
        <f>+'[3]MŠ Cukrovar'!$B$6</f>
        <v>4000</v>
      </c>
      <c r="J112" s="2873">
        <f t="shared" si="16"/>
        <v>0</v>
      </c>
      <c r="K112" s="2860"/>
      <c r="L112" s="2867"/>
      <c r="M112" s="2168"/>
    </row>
    <row r="113" spans="1:13" ht="20.25" customHeight="1" outlineLevel="1">
      <c r="A113" s="2886" t="s">
        <v>218</v>
      </c>
      <c r="B113" s="2887">
        <v>5169</v>
      </c>
      <c r="C113" s="2882" t="s">
        <v>1742</v>
      </c>
      <c r="D113" s="2841">
        <v>36000</v>
      </c>
      <c r="E113" s="2841">
        <v>36000</v>
      </c>
      <c r="F113" s="2841">
        <v>76000</v>
      </c>
      <c r="G113" s="2841">
        <v>76000</v>
      </c>
      <c r="H113" s="2841">
        <v>76000</v>
      </c>
      <c r="I113" s="2841">
        <f>+'[3]MŠ Cukrovar'!$B$7</f>
        <v>76000</v>
      </c>
      <c r="J113" s="2873">
        <f t="shared" si="16"/>
        <v>0</v>
      </c>
      <c r="K113" s="2860"/>
      <c r="L113" s="2867"/>
      <c r="M113" s="2168"/>
    </row>
    <row r="114" spans="1:13" ht="20.25" customHeight="1" thickBot="1">
      <c r="A114" s="3225" t="s">
        <v>249</v>
      </c>
      <c r="B114" s="3226"/>
      <c r="C114" s="2863"/>
      <c r="D114" s="2864">
        <v>80000</v>
      </c>
      <c r="E114" s="2864">
        <v>80000</v>
      </c>
      <c r="F114" s="2864">
        <v>430000</v>
      </c>
      <c r="G114" s="2864">
        <v>430000</v>
      </c>
      <c r="H114" s="2864">
        <v>430000</v>
      </c>
      <c r="I114" s="2864">
        <f t="shared" ref="I114" si="27">SUM(I111:I113)</f>
        <v>430000</v>
      </c>
      <c r="J114" s="2865">
        <f t="shared" si="16"/>
        <v>0</v>
      </c>
      <c r="K114" s="2866">
        <f>'Výdaje kapitol celkem'!BZ34</f>
        <v>430000</v>
      </c>
      <c r="L114" s="2867">
        <f>+K114-I114</f>
        <v>0</v>
      </c>
      <c r="M114" s="2168"/>
    </row>
    <row r="115" spans="1:13" ht="20.25" customHeight="1" outlineLevel="1">
      <c r="A115" s="2889">
        <v>3635</v>
      </c>
      <c r="B115" s="2888">
        <v>5169</v>
      </c>
      <c r="C115" s="2840" t="s">
        <v>1789</v>
      </c>
      <c r="D115" s="2841">
        <v>100000</v>
      </c>
      <c r="E115" s="2841">
        <v>100000</v>
      </c>
      <c r="F115" s="2841">
        <v>100000</v>
      </c>
      <c r="G115" s="2841">
        <v>100000</v>
      </c>
      <c r="H115" s="2841">
        <v>100000</v>
      </c>
      <c r="I115" s="2841">
        <f>+'[7]Územní plán 3635'!$B$22</f>
        <v>100000</v>
      </c>
      <c r="J115" s="2832">
        <f t="shared" si="16"/>
        <v>0</v>
      </c>
      <c r="K115" s="2860"/>
      <c r="L115" s="2867"/>
      <c r="M115" s="2168"/>
    </row>
    <row r="116" spans="1:13" ht="20.25" customHeight="1" outlineLevel="1">
      <c r="A116" s="2886">
        <v>3635</v>
      </c>
      <c r="B116" s="2887">
        <v>5169</v>
      </c>
      <c r="C116" s="2882"/>
      <c r="D116" s="2883">
        <v>0</v>
      </c>
      <c r="E116" s="2883">
        <v>0</v>
      </c>
      <c r="F116" s="2883">
        <v>0</v>
      </c>
      <c r="G116" s="2883">
        <v>0</v>
      </c>
      <c r="H116" s="2883">
        <v>0</v>
      </c>
      <c r="I116" s="2883">
        <f>+'[7]Územní plán 3635'!$B$23</f>
        <v>0</v>
      </c>
      <c r="J116" s="2880">
        <f t="shared" si="16"/>
        <v>0</v>
      </c>
      <c r="K116" s="2860"/>
      <c r="L116" s="2867"/>
      <c r="M116" s="2168"/>
    </row>
    <row r="117" spans="1:13" ht="20.25" customHeight="1" thickBot="1">
      <c r="A117" s="3225" t="s">
        <v>1191</v>
      </c>
      <c r="B117" s="3226"/>
      <c r="C117" s="2863"/>
      <c r="D117" s="2864">
        <v>100000</v>
      </c>
      <c r="E117" s="2864">
        <v>100000</v>
      </c>
      <c r="F117" s="2864">
        <v>100000</v>
      </c>
      <c r="G117" s="2864">
        <v>100000</v>
      </c>
      <c r="H117" s="2864">
        <v>100000</v>
      </c>
      <c r="I117" s="2864">
        <f t="shared" ref="I117" si="28">SUM(I115:I116)</f>
        <v>100000</v>
      </c>
      <c r="J117" s="2865">
        <f t="shared" si="16"/>
        <v>0</v>
      </c>
      <c r="K117" s="2866">
        <f>'Výdaje kapitol celkem'!CC34</f>
        <v>100000</v>
      </c>
      <c r="L117" s="2867">
        <f>+K117-I117</f>
        <v>0</v>
      </c>
      <c r="M117" s="2168"/>
    </row>
    <row r="118" spans="1:13" ht="20.25" hidden="1" customHeight="1" outlineLevel="1">
      <c r="A118" s="2889" t="s">
        <v>194</v>
      </c>
      <c r="B118" s="2888">
        <v>5169</v>
      </c>
      <c r="C118" s="2840"/>
      <c r="D118" s="2841">
        <v>0</v>
      </c>
      <c r="E118" s="2841">
        <v>0</v>
      </c>
      <c r="F118" s="2841">
        <v>0</v>
      </c>
      <c r="G118" s="2841">
        <v>0</v>
      </c>
      <c r="H118" s="2841">
        <v>0</v>
      </c>
      <c r="I118" s="2841">
        <f>+'[3]Jídelna ZŠ'!$B$5</f>
        <v>0</v>
      </c>
      <c r="J118" s="2832">
        <f t="shared" si="16"/>
        <v>0</v>
      </c>
      <c r="K118" s="2860"/>
      <c r="L118" s="2867"/>
      <c r="M118" s="2168"/>
    </row>
    <row r="119" spans="1:13" ht="20.25" hidden="1" customHeight="1" outlineLevel="1">
      <c r="A119" s="2886" t="s">
        <v>194</v>
      </c>
      <c r="B119" s="2887">
        <v>5169</v>
      </c>
      <c r="C119" s="2882"/>
      <c r="D119" s="2883">
        <v>0</v>
      </c>
      <c r="E119" s="2883">
        <v>0</v>
      </c>
      <c r="F119" s="2883">
        <v>0</v>
      </c>
      <c r="G119" s="2883">
        <v>0</v>
      </c>
      <c r="H119" s="2883">
        <v>0</v>
      </c>
      <c r="I119" s="2883">
        <f>+'[3]Jídelna ZŠ'!$B$6</f>
        <v>0</v>
      </c>
      <c r="J119" s="2880">
        <f t="shared" si="16"/>
        <v>0</v>
      </c>
      <c r="K119" s="2860"/>
      <c r="L119" s="2867"/>
      <c r="M119" s="2168"/>
    </row>
    <row r="120" spans="1:13" ht="20.25" customHeight="1" collapsed="1" thickBot="1">
      <c r="A120" s="3225" t="s">
        <v>209</v>
      </c>
      <c r="B120" s="3226"/>
      <c r="C120" s="2863"/>
      <c r="D120" s="2864">
        <v>0</v>
      </c>
      <c r="E120" s="2864">
        <v>0</v>
      </c>
      <c r="F120" s="2864">
        <v>0</v>
      </c>
      <c r="G120" s="2864">
        <v>0</v>
      </c>
      <c r="H120" s="2864">
        <v>0</v>
      </c>
      <c r="I120" s="2864">
        <f t="shared" ref="I120" si="29">SUM(I118:I119)</f>
        <v>0</v>
      </c>
      <c r="J120" s="2865">
        <f t="shared" si="16"/>
        <v>0</v>
      </c>
      <c r="K120" s="2866">
        <f>'Výdaje kapitol celkem'!BV34</f>
        <v>0</v>
      </c>
      <c r="L120" s="2867">
        <f>+K120-I120</f>
        <v>0</v>
      </c>
      <c r="M120" s="2168"/>
    </row>
    <row r="121" spans="1:13" ht="20.25" customHeight="1" outlineLevel="1">
      <c r="A121" s="2889" t="s">
        <v>195</v>
      </c>
      <c r="B121" s="2888">
        <v>5169</v>
      </c>
      <c r="C121" s="2840" t="s">
        <v>1747</v>
      </c>
      <c r="D121" s="2841">
        <v>20000</v>
      </c>
      <c r="E121" s="2841">
        <v>20000</v>
      </c>
      <c r="F121" s="2841">
        <v>20000</v>
      </c>
      <c r="G121" s="2841">
        <v>20000</v>
      </c>
      <c r="H121" s="2841">
        <v>20000</v>
      </c>
      <c r="I121" s="2841">
        <f>+'[3]Jídelna MŠ'!$B$5</f>
        <v>20000</v>
      </c>
      <c r="J121" s="2832">
        <f t="shared" si="16"/>
        <v>0</v>
      </c>
      <c r="K121" s="2860"/>
      <c r="L121" s="2867"/>
      <c r="M121" s="2168"/>
    </row>
    <row r="122" spans="1:13" ht="20.25" customHeight="1" outlineLevel="1">
      <c r="A122" s="2886" t="s">
        <v>195</v>
      </c>
      <c r="B122" s="2887">
        <v>5169</v>
      </c>
      <c r="C122" s="2882"/>
      <c r="D122" s="2883">
        <v>0</v>
      </c>
      <c r="E122" s="2883">
        <v>0</v>
      </c>
      <c r="F122" s="2883">
        <v>0</v>
      </c>
      <c r="G122" s="2883">
        <v>0</v>
      </c>
      <c r="H122" s="2883">
        <v>0</v>
      </c>
      <c r="I122" s="2883">
        <f>+'[3]Jídelna MŠ'!$B$6</f>
        <v>0</v>
      </c>
      <c r="J122" s="2873">
        <f t="shared" si="16"/>
        <v>0</v>
      </c>
      <c r="K122" s="2860"/>
      <c r="L122" s="2867"/>
      <c r="M122" s="2168"/>
    </row>
    <row r="123" spans="1:13" ht="20.25" customHeight="1" thickBot="1">
      <c r="A123" s="3225" t="s">
        <v>210</v>
      </c>
      <c r="B123" s="3226"/>
      <c r="C123" s="2863"/>
      <c r="D123" s="2864">
        <v>20000</v>
      </c>
      <c r="E123" s="2864">
        <v>20000</v>
      </c>
      <c r="F123" s="2864">
        <v>20000</v>
      </c>
      <c r="G123" s="2864">
        <v>20000</v>
      </c>
      <c r="H123" s="2864">
        <v>20000</v>
      </c>
      <c r="I123" s="2864">
        <f t="shared" ref="I123" si="30">SUM(I121:I122)</f>
        <v>20000</v>
      </c>
      <c r="J123" s="2865">
        <f t="shared" si="16"/>
        <v>0</v>
      </c>
      <c r="K123" s="2866">
        <f>'Výdaje kapitol celkem'!BY34</f>
        <v>20000</v>
      </c>
      <c r="L123" s="2867">
        <f>+K123-I123</f>
        <v>0</v>
      </c>
      <c r="M123" s="2168"/>
    </row>
    <row r="124" spans="1:13" ht="20.25" customHeight="1" outlineLevel="1">
      <c r="A124" s="2823">
        <v>3631</v>
      </c>
      <c r="B124" s="2824">
        <v>5169</v>
      </c>
      <c r="C124" s="2825" t="s">
        <v>1735</v>
      </c>
      <c r="D124" s="2826">
        <v>100000</v>
      </c>
      <c r="E124" s="2826">
        <v>100000</v>
      </c>
      <c r="F124" s="2826">
        <v>100000</v>
      </c>
      <c r="G124" s="2826">
        <v>100000</v>
      </c>
      <c r="H124" s="2826">
        <v>100000</v>
      </c>
      <c r="I124" s="2826">
        <f>+[3]VO!$B$21</f>
        <v>100000</v>
      </c>
      <c r="J124" s="2827">
        <f t="shared" si="16"/>
        <v>0</v>
      </c>
      <c r="K124" s="2866"/>
      <c r="L124" s="2867"/>
      <c r="M124" s="2168"/>
    </row>
    <row r="125" spans="1:13" ht="20.25" customHeight="1" outlineLevel="1">
      <c r="A125" s="2828">
        <v>3631</v>
      </c>
      <c r="B125" s="2829">
        <v>5169</v>
      </c>
      <c r="C125" s="2830" t="s">
        <v>1736</v>
      </c>
      <c r="D125" s="2831">
        <v>80000</v>
      </c>
      <c r="E125" s="2831">
        <v>80000</v>
      </c>
      <c r="F125" s="2831">
        <v>80000</v>
      </c>
      <c r="G125" s="2831">
        <v>80000</v>
      </c>
      <c r="H125" s="2831">
        <v>80000</v>
      </c>
      <c r="I125" s="2831">
        <f>+[3]VO!$B$22</f>
        <v>80000</v>
      </c>
      <c r="J125" s="2832">
        <f t="shared" si="16"/>
        <v>0</v>
      </c>
      <c r="K125" s="2866"/>
      <c r="L125" s="2867"/>
      <c r="M125" s="2168"/>
    </row>
    <row r="126" spans="1:13" ht="20.25" customHeight="1" outlineLevel="1">
      <c r="A126" s="2878">
        <v>3631</v>
      </c>
      <c r="B126" s="2876">
        <v>5169</v>
      </c>
      <c r="C126" s="2879" t="s">
        <v>1737</v>
      </c>
      <c r="D126" s="2839">
        <v>0</v>
      </c>
      <c r="E126" s="2839">
        <v>0</v>
      </c>
      <c r="F126" s="2839">
        <v>0</v>
      </c>
      <c r="G126" s="2839">
        <v>0</v>
      </c>
      <c r="H126" s="2839">
        <v>0</v>
      </c>
      <c r="I126" s="2839">
        <f>+[3]VO!$B$23</f>
        <v>0</v>
      </c>
      <c r="J126" s="2880">
        <f t="shared" si="16"/>
        <v>0</v>
      </c>
      <c r="K126" s="2866"/>
      <c r="L126" s="2867"/>
      <c r="M126" s="2168"/>
    </row>
    <row r="127" spans="1:13" ht="20.25" customHeight="1" outlineLevel="1">
      <c r="A127" s="2828">
        <v>3631</v>
      </c>
      <c r="B127" s="2876">
        <v>5169</v>
      </c>
      <c r="C127" s="2840" t="s">
        <v>1738</v>
      </c>
      <c r="D127" s="2841">
        <v>12100</v>
      </c>
      <c r="E127" s="2841">
        <v>12100</v>
      </c>
      <c r="F127" s="2841">
        <v>12100</v>
      </c>
      <c r="G127" s="2841">
        <v>12100</v>
      </c>
      <c r="H127" s="2841">
        <v>12100</v>
      </c>
      <c r="I127" s="2841">
        <f>+[3]VO!$B$24</f>
        <v>12100</v>
      </c>
      <c r="J127" s="2880">
        <f t="shared" si="16"/>
        <v>0</v>
      </c>
      <c r="K127" s="2866"/>
      <c r="L127" s="2867"/>
      <c r="M127" s="2168"/>
    </row>
    <row r="128" spans="1:13" ht="20.25" hidden="1" customHeight="1" outlineLevel="1">
      <c r="A128" s="2889">
        <v>3631</v>
      </c>
      <c r="B128" s="2887">
        <v>5169</v>
      </c>
      <c r="C128" s="2882"/>
      <c r="D128" s="2883"/>
      <c r="E128" s="2883"/>
      <c r="F128" s="2883"/>
      <c r="G128" s="2883"/>
      <c r="H128" s="2883"/>
      <c r="I128" s="2883"/>
      <c r="J128" s="2880">
        <f t="shared" si="16"/>
        <v>0</v>
      </c>
      <c r="K128" s="2866"/>
      <c r="L128" s="2867"/>
      <c r="M128" s="2168"/>
    </row>
    <row r="129" spans="1:13" ht="20.25" customHeight="1" thickBot="1">
      <c r="A129" s="3225" t="s">
        <v>630</v>
      </c>
      <c r="B129" s="3226"/>
      <c r="C129" s="2863"/>
      <c r="D129" s="2864">
        <v>192100</v>
      </c>
      <c r="E129" s="2864">
        <v>192100</v>
      </c>
      <c r="F129" s="2864">
        <v>192100</v>
      </c>
      <c r="G129" s="2864">
        <v>192100</v>
      </c>
      <c r="H129" s="2864">
        <v>192100</v>
      </c>
      <c r="I129" s="2864">
        <f t="shared" ref="I129" si="31">SUM(I124:I128)</f>
        <v>192100</v>
      </c>
      <c r="J129" s="2865">
        <f t="shared" si="16"/>
        <v>0</v>
      </c>
      <c r="K129" s="2866">
        <f>'Výdaje kapitol celkem'!CD34</f>
        <v>192100</v>
      </c>
      <c r="L129" s="2867">
        <f>+K129-I129</f>
        <v>0</v>
      </c>
      <c r="M129" s="2168"/>
    </row>
    <row r="130" spans="1:13" ht="20.25" customHeight="1" outlineLevel="1">
      <c r="A130" s="2823">
        <v>2212</v>
      </c>
      <c r="B130" s="2824">
        <v>5169</v>
      </c>
      <c r="C130" s="2825" t="s">
        <v>2386</v>
      </c>
      <c r="D130" s="2826">
        <v>100000</v>
      </c>
      <c r="E130" s="2826">
        <v>100000</v>
      </c>
      <c r="F130" s="2826">
        <v>100000</v>
      </c>
      <c r="G130" s="2826">
        <v>100000</v>
      </c>
      <c r="H130" s="2826">
        <v>100000</v>
      </c>
      <c r="I130" s="2826">
        <f>+[3]Silnice!$B$33</f>
        <v>100000</v>
      </c>
      <c r="J130" s="2827">
        <f t="shared" si="16"/>
        <v>0</v>
      </c>
      <c r="K130" s="2860"/>
      <c r="L130" s="2867"/>
      <c r="M130" s="2168"/>
    </row>
    <row r="131" spans="1:13" ht="20.25" customHeight="1" outlineLevel="1">
      <c r="A131" s="2878">
        <v>2212</v>
      </c>
      <c r="B131" s="2876">
        <v>5169</v>
      </c>
      <c r="C131" s="2879" t="s">
        <v>2226</v>
      </c>
      <c r="D131" s="2839">
        <v>200000</v>
      </c>
      <c r="E131" s="2839">
        <v>200000</v>
      </c>
      <c r="F131" s="2839">
        <v>200000</v>
      </c>
      <c r="G131" s="2839">
        <v>200000</v>
      </c>
      <c r="H131" s="2839">
        <v>200000</v>
      </c>
      <c r="I131" s="2839">
        <f>+[3]Silnice!$B$31</f>
        <v>200000</v>
      </c>
      <c r="J131" s="2880">
        <f t="shared" si="16"/>
        <v>0</v>
      </c>
      <c r="K131" s="2860"/>
      <c r="L131" s="2867"/>
      <c r="M131" s="2168"/>
    </row>
    <row r="132" spans="1:13" ht="20.25" customHeight="1" outlineLevel="1">
      <c r="A132" s="2878">
        <v>2212</v>
      </c>
      <c r="B132" s="2876">
        <v>5169</v>
      </c>
      <c r="C132" s="2879" t="s">
        <v>1713</v>
      </c>
      <c r="D132" s="2839">
        <v>240000</v>
      </c>
      <c r="E132" s="2839">
        <v>240000</v>
      </c>
      <c r="F132" s="2839">
        <v>240000</v>
      </c>
      <c r="G132" s="2839">
        <v>240000</v>
      </c>
      <c r="H132" s="2839">
        <v>240000</v>
      </c>
      <c r="I132" s="2839">
        <f>+'[4]Silnice světelná křižovatka'!$B$4</f>
        <v>240000</v>
      </c>
      <c r="J132" s="2880">
        <f t="shared" si="16"/>
        <v>0</v>
      </c>
      <c r="K132" s="2860"/>
      <c r="L132" s="2867"/>
      <c r="M132" s="2168"/>
    </row>
    <row r="133" spans="1:13" ht="20.25" customHeight="1" outlineLevel="1">
      <c r="A133" s="2878">
        <v>2212</v>
      </c>
      <c r="B133" s="2876">
        <v>5169</v>
      </c>
      <c r="C133" s="2879" t="s">
        <v>1714</v>
      </c>
      <c r="D133" s="2839">
        <v>50000</v>
      </c>
      <c r="E133" s="2839">
        <v>50000</v>
      </c>
      <c r="F133" s="2839">
        <v>50000</v>
      </c>
      <c r="G133" s="2839">
        <v>50000</v>
      </c>
      <c r="H133" s="2839">
        <v>50000</v>
      </c>
      <c r="I133" s="2839">
        <f>+'[4]Silnice světelná křižovatka'!$B$5</f>
        <v>50000</v>
      </c>
      <c r="J133" s="2880">
        <f t="shared" si="16"/>
        <v>0</v>
      </c>
      <c r="K133" s="2860"/>
      <c r="L133" s="2867"/>
      <c r="M133" s="2168"/>
    </row>
    <row r="134" spans="1:13" outlineLevel="1">
      <c r="A134" s="2889">
        <v>2212</v>
      </c>
      <c r="B134" s="2888">
        <v>5169</v>
      </c>
      <c r="C134" s="2840" t="s">
        <v>2231</v>
      </c>
      <c r="D134" s="2841">
        <v>1200000</v>
      </c>
      <c r="E134" s="2841">
        <v>1200000</v>
      </c>
      <c r="F134" s="2841">
        <v>1200000</v>
      </c>
      <c r="G134" s="2841">
        <v>1200000</v>
      </c>
      <c r="H134" s="2841">
        <v>1200000</v>
      </c>
      <c r="I134" s="2841">
        <f>+[3]Silnice!$B$32</f>
        <v>1200000</v>
      </c>
      <c r="J134" s="2832">
        <f t="shared" ref="J134:J197" si="32">+I134-H134</f>
        <v>0</v>
      </c>
      <c r="K134" s="2860"/>
      <c r="L134" s="2867"/>
      <c r="M134" s="2168"/>
    </row>
    <row r="135" spans="1:13" ht="20.25" customHeight="1" thickBot="1">
      <c r="A135" s="3225" t="s">
        <v>254</v>
      </c>
      <c r="B135" s="3226"/>
      <c r="C135" s="2863"/>
      <c r="D135" s="2864">
        <v>1790000</v>
      </c>
      <c r="E135" s="2864">
        <v>1790000</v>
      </c>
      <c r="F135" s="2864">
        <v>1790000</v>
      </c>
      <c r="G135" s="2864">
        <v>1790000</v>
      </c>
      <c r="H135" s="2864">
        <v>1790000</v>
      </c>
      <c r="I135" s="2864">
        <f>SUM(I130:I134)</f>
        <v>1790000</v>
      </c>
      <c r="J135" s="2865">
        <f t="shared" si="32"/>
        <v>0</v>
      </c>
      <c r="K135" s="2866">
        <f>'Výdaje kapitol celkem'!CG34</f>
        <v>1790000</v>
      </c>
      <c r="L135" s="2867">
        <f>+K135-I135</f>
        <v>0</v>
      </c>
      <c r="M135" s="2168"/>
    </row>
    <row r="136" spans="1:13" outlineLevel="1">
      <c r="A136" s="2823">
        <v>2310</v>
      </c>
      <c r="B136" s="2824">
        <v>5169</v>
      </c>
      <c r="C136" s="2825" t="s">
        <v>1723</v>
      </c>
      <c r="D136" s="2826">
        <v>100000</v>
      </c>
      <c r="E136" s="2826">
        <v>100000</v>
      </c>
      <c r="F136" s="2826">
        <v>100000</v>
      </c>
      <c r="G136" s="2826">
        <v>100000</v>
      </c>
      <c r="H136" s="2826">
        <v>100000</v>
      </c>
      <c r="I136" s="2826">
        <f>+[3]Vodovod!$B$12</f>
        <v>100000</v>
      </c>
      <c r="J136" s="2827">
        <f t="shared" si="32"/>
        <v>0</v>
      </c>
      <c r="K136" s="2860"/>
      <c r="L136" s="2867"/>
      <c r="M136" s="2168"/>
    </row>
    <row r="137" spans="1:13" outlineLevel="1">
      <c r="A137" s="2889">
        <v>2310</v>
      </c>
      <c r="B137" s="2888">
        <v>5169</v>
      </c>
      <c r="C137" s="2840" t="s">
        <v>1724</v>
      </c>
      <c r="D137" s="2841">
        <v>150000</v>
      </c>
      <c r="E137" s="2841">
        <v>150000</v>
      </c>
      <c r="F137" s="2841">
        <v>150000</v>
      </c>
      <c r="G137" s="2841">
        <v>150000</v>
      </c>
      <c r="H137" s="2841">
        <v>150000</v>
      </c>
      <c r="I137" s="2841">
        <f>+[3]Vodovod!$B$13</f>
        <v>150000</v>
      </c>
      <c r="J137" s="2832">
        <f t="shared" si="32"/>
        <v>0</v>
      </c>
      <c r="K137" s="2860"/>
      <c r="L137" s="2867"/>
      <c r="M137" s="2168"/>
    </row>
    <row r="138" spans="1:13" hidden="1" outlineLevel="1">
      <c r="A138" s="2886">
        <v>2310</v>
      </c>
      <c r="B138" s="2887">
        <v>5169</v>
      </c>
      <c r="C138" s="2882" t="s">
        <v>1725</v>
      </c>
      <c r="D138" s="2883">
        <v>0</v>
      </c>
      <c r="E138" s="2883">
        <v>0</v>
      </c>
      <c r="F138" s="2883">
        <v>0</v>
      </c>
      <c r="G138" s="2883">
        <v>0</v>
      </c>
      <c r="H138" s="2883">
        <v>0</v>
      </c>
      <c r="I138" s="2883">
        <f>+[3]Vodovod!$B$14</f>
        <v>0</v>
      </c>
      <c r="J138" s="2880">
        <f t="shared" si="32"/>
        <v>0</v>
      </c>
      <c r="K138" s="2860"/>
      <c r="L138" s="2867"/>
      <c r="M138" s="2168"/>
    </row>
    <row r="139" spans="1:13" ht="20.25" customHeight="1" thickBot="1">
      <c r="A139" s="3225" t="s">
        <v>211</v>
      </c>
      <c r="B139" s="3226"/>
      <c r="C139" s="2863"/>
      <c r="D139" s="2864">
        <v>250000</v>
      </c>
      <c r="E139" s="2864">
        <v>250000</v>
      </c>
      <c r="F139" s="2864">
        <v>250000</v>
      </c>
      <c r="G139" s="2864">
        <v>250000</v>
      </c>
      <c r="H139" s="2864">
        <v>250000</v>
      </c>
      <c r="I139" s="2864">
        <f t="shared" ref="I139" si="33">SUM(I136:I138)</f>
        <v>250000</v>
      </c>
      <c r="J139" s="2865">
        <f t="shared" si="32"/>
        <v>0</v>
      </c>
      <c r="K139" s="2866">
        <f>'Výdaje kapitol celkem'!CK34</f>
        <v>250000</v>
      </c>
      <c r="L139" s="2867">
        <f>+K139-I139</f>
        <v>0</v>
      </c>
      <c r="M139" s="2168"/>
    </row>
    <row r="140" spans="1:13" ht="20.25" customHeight="1" outlineLevel="1">
      <c r="A140" s="2889">
        <v>3633</v>
      </c>
      <c r="B140" s="2888">
        <v>5169</v>
      </c>
      <c r="C140" s="2840" t="s">
        <v>1716</v>
      </c>
      <c r="D140" s="2826">
        <v>100000</v>
      </c>
      <c r="E140" s="2826">
        <v>100000</v>
      </c>
      <c r="F140" s="2826">
        <v>100000</v>
      </c>
      <c r="G140" s="2826">
        <v>100000</v>
      </c>
      <c r="H140" s="2826">
        <v>100000</v>
      </c>
      <c r="I140" s="2826">
        <f>+'[3]Inženýrské sítě'!$B$5</f>
        <v>100000</v>
      </c>
      <c r="J140" s="2838">
        <f t="shared" si="32"/>
        <v>0</v>
      </c>
      <c r="K140" s="2860"/>
      <c r="L140" s="2867"/>
      <c r="M140" s="2168"/>
    </row>
    <row r="141" spans="1:13" ht="20.25" customHeight="1" outlineLevel="1">
      <c r="A141" s="2886">
        <v>3633</v>
      </c>
      <c r="B141" s="2887">
        <v>5169</v>
      </c>
      <c r="C141" s="2882" t="s">
        <v>1717</v>
      </c>
      <c r="D141" s="2839">
        <v>350000</v>
      </c>
      <c r="E141" s="2839">
        <v>350000</v>
      </c>
      <c r="F141" s="2839">
        <v>350000</v>
      </c>
      <c r="G141" s="2839">
        <v>350000</v>
      </c>
      <c r="H141" s="2839">
        <v>350000</v>
      </c>
      <c r="I141" s="2839">
        <f>+'[3]Inženýrské sítě'!$B$6</f>
        <v>350000</v>
      </c>
      <c r="J141" s="2838">
        <f t="shared" si="32"/>
        <v>0</v>
      </c>
      <c r="K141" s="2860"/>
      <c r="L141" s="2867"/>
      <c r="M141" s="2168"/>
    </row>
    <row r="142" spans="1:13" ht="20.25" customHeight="1" thickBot="1">
      <c r="A142" s="3225" t="s">
        <v>251</v>
      </c>
      <c r="B142" s="3226"/>
      <c r="C142" s="2863"/>
      <c r="D142" s="2864">
        <v>450000</v>
      </c>
      <c r="E142" s="2864">
        <v>450000</v>
      </c>
      <c r="F142" s="2864">
        <v>450000</v>
      </c>
      <c r="G142" s="2864">
        <v>450000</v>
      </c>
      <c r="H142" s="2864">
        <v>450000</v>
      </c>
      <c r="I142" s="2864">
        <f t="shared" ref="I142" si="34">SUM(I140:I141)</f>
        <v>450000</v>
      </c>
      <c r="J142" s="2865">
        <f t="shared" si="32"/>
        <v>0</v>
      </c>
      <c r="K142" s="2866">
        <f>'Výdaje kapitol celkem'!CW34</f>
        <v>450000</v>
      </c>
      <c r="L142" s="2867">
        <f>+K142-I142</f>
        <v>0</v>
      </c>
      <c r="M142" s="2168"/>
    </row>
    <row r="143" spans="1:13" ht="24" outlineLevel="1">
      <c r="A143" s="2889">
        <v>3749</v>
      </c>
      <c r="B143" s="2888">
        <v>5169</v>
      </c>
      <c r="C143" s="2840" t="s">
        <v>2426</v>
      </c>
      <c r="D143" s="2841">
        <v>600000</v>
      </c>
      <c r="E143" s="2841">
        <v>600000</v>
      </c>
      <c r="F143" s="2841">
        <v>600000</v>
      </c>
      <c r="G143" s="2841">
        <v>600000</v>
      </c>
      <c r="H143" s="2841">
        <v>600000</v>
      </c>
      <c r="I143" s="2841">
        <f>+'[7]Příroda 3749'!$B$22</f>
        <v>600000</v>
      </c>
      <c r="J143" s="2832">
        <f t="shared" si="32"/>
        <v>0</v>
      </c>
      <c r="K143" s="2860"/>
      <c r="L143" s="2867"/>
      <c r="M143" s="2168"/>
    </row>
    <row r="144" spans="1:13" outlineLevel="1">
      <c r="A144" s="2886">
        <v>3749</v>
      </c>
      <c r="B144" s="2887">
        <v>5169</v>
      </c>
      <c r="C144" s="2882" t="s">
        <v>2427</v>
      </c>
      <c r="D144" s="2883">
        <v>150000</v>
      </c>
      <c r="E144" s="2883">
        <v>150000</v>
      </c>
      <c r="F144" s="2883">
        <v>150000</v>
      </c>
      <c r="G144" s="2883">
        <v>150000</v>
      </c>
      <c r="H144" s="2883">
        <v>150000</v>
      </c>
      <c r="I144" s="2883">
        <f>+'[7]Příroda 3749'!$B$23</f>
        <v>150000</v>
      </c>
      <c r="J144" s="2880">
        <f t="shared" si="32"/>
        <v>0</v>
      </c>
      <c r="K144" s="2860"/>
      <c r="L144" s="2867"/>
      <c r="M144" s="2168"/>
    </row>
    <row r="145" spans="1:13" outlineLevel="1">
      <c r="A145" s="2886">
        <v>3749</v>
      </c>
      <c r="B145" s="2887">
        <v>5169</v>
      </c>
      <c r="C145" s="2882" t="s">
        <v>2428</v>
      </c>
      <c r="D145" s="2883">
        <v>1100000</v>
      </c>
      <c r="E145" s="2883">
        <v>1100000</v>
      </c>
      <c r="F145" s="2883">
        <v>1100000</v>
      </c>
      <c r="G145" s="2883">
        <v>1100000</v>
      </c>
      <c r="H145" s="2883">
        <v>1100000</v>
      </c>
      <c r="I145" s="2883">
        <f>+'[7]Příroda 3749'!$B$24</f>
        <v>1100000</v>
      </c>
      <c r="J145" s="2880">
        <f t="shared" si="32"/>
        <v>0</v>
      </c>
      <c r="K145" s="2860"/>
      <c r="L145" s="2867"/>
      <c r="M145" s="2168"/>
    </row>
    <row r="146" spans="1:13" outlineLevel="1">
      <c r="A146" s="2886">
        <v>3749</v>
      </c>
      <c r="B146" s="2887">
        <v>5169</v>
      </c>
      <c r="C146" s="2882" t="s">
        <v>2682</v>
      </c>
      <c r="D146" s="2883"/>
      <c r="E146" s="2883">
        <v>250000</v>
      </c>
      <c r="F146" s="2883">
        <v>250000</v>
      </c>
      <c r="G146" s="2883">
        <v>250000</v>
      </c>
      <c r="H146" s="2883">
        <v>250000</v>
      </c>
      <c r="I146" s="2883">
        <f>+'[7]Příroda 3749'!$B$26</f>
        <v>250000</v>
      </c>
      <c r="J146" s="2880">
        <f t="shared" si="32"/>
        <v>0</v>
      </c>
      <c r="K146" s="2860"/>
      <c r="L146" s="2867"/>
      <c r="M146" s="2168"/>
    </row>
    <row r="147" spans="1:13" outlineLevel="1">
      <c r="A147" s="2886">
        <v>3749</v>
      </c>
      <c r="B147" s="2887">
        <v>5169</v>
      </c>
      <c r="C147" s="2882" t="s">
        <v>2429</v>
      </c>
      <c r="D147" s="2883">
        <v>400000</v>
      </c>
      <c r="E147" s="2883">
        <v>400000</v>
      </c>
      <c r="F147" s="2883">
        <v>400000</v>
      </c>
      <c r="G147" s="2883">
        <v>400000</v>
      </c>
      <c r="H147" s="2883">
        <v>400000</v>
      </c>
      <c r="I147" s="2883">
        <f>+'[7]Příroda 3749'!$B$25</f>
        <v>400000</v>
      </c>
      <c r="J147" s="2880">
        <f t="shared" si="32"/>
        <v>0</v>
      </c>
      <c r="K147" s="2860"/>
      <c r="L147" s="2867"/>
      <c r="M147" s="2168"/>
    </row>
    <row r="148" spans="1:13" outlineLevel="1">
      <c r="A148" s="2886">
        <v>3749</v>
      </c>
      <c r="B148" s="2887">
        <v>5169</v>
      </c>
      <c r="C148" s="2882" t="s">
        <v>1796</v>
      </c>
      <c r="D148" s="2883">
        <v>1000000</v>
      </c>
      <c r="E148" s="2883">
        <v>1000000</v>
      </c>
      <c r="F148" s="2883">
        <v>1104000</v>
      </c>
      <c r="G148" s="2883">
        <v>1104000</v>
      </c>
      <c r="H148" s="2883">
        <v>1104000</v>
      </c>
      <c r="I148" s="2883">
        <f>+'[7]Příroda 3749'!$B$27</f>
        <v>1104000</v>
      </c>
      <c r="J148" s="2880">
        <f t="shared" si="32"/>
        <v>0</v>
      </c>
      <c r="K148" s="2860"/>
      <c r="L148" s="2867"/>
      <c r="M148" s="2168"/>
    </row>
    <row r="149" spans="1:13" ht="20.25" hidden="1" customHeight="1" outlineLevel="1">
      <c r="A149" s="2886">
        <v>3749</v>
      </c>
      <c r="B149" s="2887">
        <v>5169</v>
      </c>
      <c r="C149" s="2882"/>
      <c r="D149" s="2883"/>
      <c r="E149" s="2883"/>
      <c r="F149" s="2883"/>
      <c r="G149" s="2883"/>
      <c r="H149" s="2883"/>
      <c r="I149" s="2883"/>
      <c r="J149" s="2890">
        <f t="shared" si="32"/>
        <v>0</v>
      </c>
      <c r="K149" s="2860"/>
      <c r="L149" s="2867"/>
      <c r="M149" s="2168"/>
    </row>
    <row r="150" spans="1:13" ht="20.25" hidden="1" customHeight="1" outlineLevel="1">
      <c r="A150" s="2886">
        <v>3749</v>
      </c>
      <c r="B150" s="2887">
        <v>5169</v>
      </c>
      <c r="C150" s="2882"/>
      <c r="D150" s="2883"/>
      <c r="E150" s="2883"/>
      <c r="F150" s="2883"/>
      <c r="G150" s="2883"/>
      <c r="H150" s="2883"/>
      <c r="I150" s="2883"/>
      <c r="J150" s="2890">
        <f t="shared" si="32"/>
        <v>0</v>
      </c>
      <c r="K150" s="2860"/>
      <c r="L150" s="2867"/>
      <c r="M150" s="2168"/>
    </row>
    <row r="151" spans="1:13" ht="20.25" customHeight="1" thickBot="1">
      <c r="A151" s="3225" t="s">
        <v>624</v>
      </c>
      <c r="B151" s="3226"/>
      <c r="C151" s="2863"/>
      <c r="D151" s="2864">
        <v>3250000</v>
      </c>
      <c r="E151" s="2864">
        <v>3500000</v>
      </c>
      <c r="F151" s="2864">
        <v>3604000</v>
      </c>
      <c r="G151" s="2864">
        <v>3604000</v>
      </c>
      <c r="H151" s="2864">
        <v>3604000</v>
      </c>
      <c r="I151" s="2864">
        <f>SUM(I143:I150)</f>
        <v>3604000</v>
      </c>
      <c r="J151" s="2865">
        <f t="shared" si="32"/>
        <v>0</v>
      </c>
      <c r="K151" s="2866">
        <f>'Výdaje kapitol celkem'!DK34</f>
        <v>3604000</v>
      </c>
      <c r="L151" s="2867">
        <f>+K151-I151</f>
        <v>0</v>
      </c>
      <c r="M151" s="2168"/>
    </row>
    <row r="152" spans="1:13" ht="20.25" customHeight="1" outlineLevel="1">
      <c r="A152" s="2889">
        <v>1036</v>
      </c>
      <c r="B152" s="2888">
        <v>5169</v>
      </c>
      <c r="C152" s="2840" t="s">
        <v>1790</v>
      </c>
      <c r="D152" s="2841">
        <v>100000</v>
      </c>
      <c r="E152" s="2841">
        <v>100000</v>
      </c>
      <c r="F152" s="2841">
        <v>100000</v>
      </c>
      <c r="G152" s="2841">
        <v>100000</v>
      </c>
      <c r="H152" s="2841">
        <v>100000</v>
      </c>
      <c r="I152" s="2841">
        <f>+'[7]Lesy 1036'!$B$6</f>
        <v>100000</v>
      </c>
      <c r="J152" s="2832">
        <f t="shared" si="32"/>
        <v>0</v>
      </c>
      <c r="K152" s="2860"/>
      <c r="L152" s="2867"/>
      <c r="M152" s="2168"/>
    </row>
    <row r="153" spans="1:13" ht="20.25" customHeight="1" outlineLevel="1">
      <c r="A153" s="2886">
        <v>1036</v>
      </c>
      <c r="B153" s="2887">
        <v>5169</v>
      </c>
      <c r="C153" s="2882"/>
      <c r="D153" s="2883">
        <v>0</v>
      </c>
      <c r="E153" s="2883">
        <v>0</v>
      </c>
      <c r="F153" s="2883">
        <v>0</v>
      </c>
      <c r="G153" s="2883">
        <v>0</v>
      </c>
      <c r="H153" s="2883">
        <v>0</v>
      </c>
      <c r="I153" s="2883">
        <f>+'[7]Lesy 1036'!$B$7</f>
        <v>0</v>
      </c>
      <c r="J153" s="2880">
        <f t="shared" si="32"/>
        <v>0</v>
      </c>
      <c r="K153" s="2860"/>
      <c r="L153" s="2867"/>
      <c r="M153" s="2168"/>
    </row>
    <row r="154" spans="1:13" ht="20.25" hidden="1" customHeight="1" outlineLevel="1">
      <c r="A154" s="2886">
        <v>1036</v>
      </c>
      <c r="B154" s="2887">
        <v>5169</v>
      </c>
      <c r="C154" s="2879"/>
      <c r="D154" s="2883"/>
      <c r="E154" s="2883"/>
      <c r="F154" s="2883"/>
      <c r="G154" s="2883"/>
      <c r="H154" s="2883"/>
      <c r="I154" s="2883"/>
      <c r="J154" s="2873">
        <f t="shared" si="32"/>
        <v>0</v>
      </c>
      <c r="K154" s="2860"/>
      <c r="L154" s="2867"/>
      <c r="M154" s="2168"/>
    </row>
    <row r="155" spans="1:13" ht="20.25" customHeight="1" thickBot="1">
      <c r="A155" s="3225" t="s">
        <v>1211</v>
      </c>
      <c r="B155" s="3226"/>
      <c r="C155" s="2863"/>
      <c r="D155" s="2864">
        <v>100000</v>
      </c>
      <c r="E155" s="2864">
        <v>100000</v>
      </c>
      <c r="F155" s="2864">
        <v>100000</v>
      </c>
      <c r="G155" s="2864">
        <v>100000</v>
      </c>
      <c r="H155" s="2864">
        <v>100000</v>
      </c>
      <c r="I155" s="2864">
        <f t="shared" ref="I155" si="35">SUM(I152:I154)</f>
        <v>100000</v>
      </c>
      <c r="J155" s="2865">
        <f t="shared" si="32"/>
        <v>0</v>
      </c>
      <c r="K155" s="2866">
        <f>'Výdaje kapitol celkem'!CZ34</f>
        <v>100000</v>
      </c>
      <c r="L155" s="2867">
        <f>+K155-I155</f>
        <v>0</v>
      </c>
      <c r="M155" s="2168"/>
    </row>
    <row r="156" spans="1:13" ht="20.25" hidden="1" customHeight="1" outlineLevel="1">
      <c r="A156" s="2889" t="s">
        <v>219</v>
      </c>
      <c r="B156" s="2888">
        <v>5169</v>
      </c>
      <c r="C156" s="2840"/>
      <c r="D156" s="2841"/>
      <c r="E156" s="2841"/>
      <c r="F156" s="2841"/>
      <c r="G156" s="2841"/>
      <c r="H156" s="2841"/>
      <c r="I156" s="2841"/>
      <c r="J156" s="2832">
        <f t="shared" si="32"/>
        <v>0</v>
      </c>
      <c r="K156" s="2860"/>
      <c r="L156" s="2867"/>
      <c r="M156" s="2168"/>
    </row>
    <row r="157" spans="1:13" ht="20.25" hidden="1" customHeight="1" outlineLevel="1">
      <c r="A157" s="2886" t="s">
        <v>219</v>
      </c>
      <c r="B157" s="2887">
        <v>5169</v>
      </c>
      <c r="C157" s="2882"/>
      <c r="D157" s="2883"/>
      <c r="E157" s="2883"/>
      <c r="F157" s="2883"/>
      <c r="G157" s="2883"/>
      <c r="H157" s="2883"/>
      <c r="I157" s="2883"/>
      <c r="J157" s="2880">
        <f t="shared" si="32"/>
        <v>0</v>
      </c>
      <c r="K157" s="2860"/>
      <c r="L157" s="2867"/>
      <c r="M157" s="2168"/>
    </row>
    <row r="158" spans="1:13" ht="20.25" hidden="1" customHeight="1" outlineLevel="1">
      <c r="A158" s="2886" t="s">
        <v>219</v>
      </c>
      <c r="B158" s="2887">
        <v>5169</v>
      </c>
      <c r="C158" s="2879"/>
      <c r="D158" s="2883"/>
      <c r="E158" s="2883"/>
      <c r="F158" s="2883"/>
      <c r="G158" s="2883"/>
      <c r="H158" s="2883"/>
      <c r="I158" s="2883"/>
      <c r="J158" s="2873">
        <f t="shared" si="32"/>
        <v>0</v>
      </c>
      <c r="K158" s="2860"/>
      <c r="L158" s="2867"/>
      <c r="M158" s="2168"/>
    </row>
    <row r="159" spans="1:13" ht="20.25" customHeight="1" collapsed="1" thickBot="1">
      <c r="A159" s="3225" t="s">
        <v>250</v>
      </c>
      <c r="B159" s="3226"/>
      <c r="C159" s="2863"/>
      <c r="D159" s="2864">
        <v>0</v>
      </c>
      <c r="E159" s="2864">
        <v>0</v>
      </c>
      <c r="F159" s="2864">
        <v>0</v>
      </c>
      <c r="G159" s="2864">
        <v>0</v>
      </c>
      <c r="H159" s="2864">
        <v>0</v>
      </c>
      <c r="I159" s="2864">
        <f t="shared" ref="I159" si="36">SUM(I156:I158)</f>
        <v>0</v>
      </c>
      <c r="J159" s="2865">
        <f t="shared" si="32"/>
        <v>0</v>
      </c>
      <c r="K159" s="2866">
        <f>'Výdaje kapitol celkem'!CT34</f>
        <v>0</v>
      </c>
      <c r="L159" s="2867">
        <f>+K159-I159</f>
        <v>0</v>
      </c>
      <c r="M159" s="2168"/>
    </row>
    <row r="160" spans="1:13" ht="18.75" customHeight="1" outlineLevel="1">
      <c r="A160" s="2823" t="s">
        <v>196</v>
      </c>
      <c r="B160" s="2824">
        <v>5169</v>
      </c>
      <c r="C160" s="2825" t="s">
        <v>1721</v>
      </c>
      <c r="D160" s="2826">
        <v>50000</v>
      </c>
      <c r="E160" s="2826">
        <v>50000</v>
      </c>
      <c r="F160" s="2826">
        <v>50000</v>
      </c>
      <c r="G160" s="2826">
        <v>50000</v>
      </c>
      <c r="H160" s="2826">
        <v>50000</v>
      </c>
      <c r="I160" s="2826">
        <f>+[3]Kanalizace!$B$12</f>
        <v>50000</v>
      </c>
      <c r="J160" s="2827">
        <f t="shared" si="32"/>
        <v>0</v>
      </c>
      <c r="K160" s="2860"/>
      <c r="L160" s="2867"/>
      <c r="M160" s="2168"/>
    </row>
    <row r="161" spans="1:13" ht="18.75" customHeight="1" outlineLevel="1">
      <c r="A161" s="2878" t="s">
        <v>196</v>
      </c>
      <c r="B161" s="2876">
        <v>5169</v>
      </c>
      <c r="C161" s="2879" t="s">
        <v>2849</v>
      </c>
      <c r="D161" s="2839"/>
      <c r="E161" s="2839"/>
      <c r="F161" s="2839"/>
      <c r="G161" s="2839"/>
      <c r="H161" s="2839">
        <v>2900000</v>
      </c>
      <c r="I161" s="2839">
        <f>+[3]Kanalizace!$B$14</f>
        <v>2900000</v>
      </c>
      <c r="J161" s="2880">
        <f t="shared" si="32"/>
        <v>0</v>
      </c>
      <c r="K161" s="2860"/>
      <c r="L161" s="2867"/>
      <c r="M161" s="2168"/>
    </row>
    <row r="162" spans="1:13" ht="18.75" customHeight="1" outlineLevel="1">
      <c r="A162" s="2828" t="s">
        <v>196</v>
      </c>
      <c r="B162" s="2888">
        <v>5169</v>
      </c>
      <c r="C162" s="2840" t="s">
        <v>2850</v>
      </c>
      <c r="D162" s="2841"/>
      <c r="E162" s="2841"/>
      <c r="F162" s="2841"/>
      <c r="G162" s="2841"/>
      <c r="H162" s="2841">
        <v>270000</v>
      </c>
      <c r="I162" s="2841">
        <f>+[3]Kanalizace!$B$15</f>
        <v>270000</v>
      </c>
      <c r="J162" s="2832">
        <f t="shared" si="32"/>
        <v>0</v>
      </c>
      <c r="K162" s="2860"/>
      <c r="L162" s="2867"/>
      <c r="M162" s="2168"/>
    </row>
    <row r="163" spans="1:13" ht="20.25" customHeight="1" outlineLevel="1">
      <c r="A163" s="2886" t="s">
        <v>196</v>
      </c>
      <c r="B163" s="2887">
        <v>5169</v>
      </c>
      <c r="C163" s="2879" t="s">
        <v>1722</v>
      </c>
      <c r="D163" s="2883">
        <v>100000</v>
      </c>
      <c r="E163" s="2883">
        <v>100000</v>
      </c>
      <c r="F163" s="2883">
        <v>100000</v>
      </c>
      <c r="G163" s="2883">
        <v>100000</v>
      </c>
      <c r="H163" s="2883">
        <v>100000</v>
      </c>
      <c r="I163" s="2883">
        <f>+[3]Kanalizace!$B$13</f>
        <v>100000</v>
      </c>
      <c r="J163" s="2873">
        <f t="shared" si="32"/>
        <v>0</v>
      </c>
      <c r="K163" s="2860"/>
      <c r="L163" s="2867"/>
      <c r="M163" s="2168"/>
    </row>
    <row r="164" spans="1:13" ht="20.25" customHeight="1" thickBot="1">
      <c r="A164" s="3225" t="s">
        <v>685</v>
      </c>
      <c r="B164" s="3226"/>
      <c r="C164" s="2863"/>
      <c r="D164" s="2864">
        <v>150000</v>
      </c>
      <c r="E164" s="2864">
        <v>150000</v>
      </c>
      <c r="F164" s="2864">
        <v>150000</v>
      </c>
      <c r="G164" s="2864">
        <v>150000</v>
      </c>
      <c r="H164" s="2864">
        <v>3320000</v>
      </c>
      <c r="I164" s="2864">
        <f t="shared" ref="I164" si="37">SUM(I160:I163)</f>
        <v>3320000</v>
      </c>
      <c r="J164" s="2865">
        <f t="shared" si="32"/>
        <v>0</v>
      </c>
      <c r="K164" s="2866">
        <f>'Výdaje kapitol celkem'!CQ34</f>
        <v>3320000</v>
      </c>
      <c r="L164" s="2867">
        <f>+K164-I164</f>
        <v>0</v>
      </c>
      <c r="M164" s="2168"/>
    </row>
    <row r="165" spans="1:13" ht="16.5" customHeight="1" outlineLevel="1">
      <c r="A165" s="2823" t="s">
        <v>500</v>
      </c>
      <c r="B165" s="2824">
        <v>5169</v>
      </c>
      <c r="C165" s="2825" t="s">
        <v>2303</v>
      </c>
      <c r="D165" s="2826">
        <v>3900000</v>
      </c>
      <c r="E165" s="2826">
        <v>3900000</v>
      </c>
      <c r="F165" s="2826">
        <v>3900000</v>
      </c>
      <c r="G165" s="2826">
        <v>3900000</v>
      </c>
      <c r="H165" s="2826">
        <v>3900000</v>
      </c>
      <c r="I165" s="2826">
        <f>+'[7]Popelnice 3722'!$B$22</f>
        <v>3900000</v>
      </c>
      <c r="J165" s="2827">
        <f t="shared" si="32"/>
        <v>0</v>
      </c>
      <c r="K165" s="2860"/>
      <c r="L165" s="2867"/>
      <c r="M165" s="2168"/>
    </row>
    <row r="166" spans="1:13" ht="16.5" customHeight="1" outlineLevel="1">
      <c r="A166" s="2878" t="s">
        <v>500</v>
      </c>
      <c r="B166" s="2876">
        <v>5169</v>
      </c>
      <c r="C166" s="2879" t="s">
        <v>2304</v>
      </c>
      <c r="D166" s="2839">
        <v>800000</v>
      </c>
      <c r="E166" s="2839">
        <v>800000</v>
      </c>
      <c r="F166" s="2839">
        <v>800000</v>
      </c>
      <c r="G166" s="2839">
        <v>800000</v>
      </c>
      <c r="H166" s="2839">
        <v>800000</v>
      </c>
      <c r="I166" s="2839">
        <f>+'[7]Popelnice 3722'!$B$23</f>
        <v>800000</v>
      </c>
      <c r="J166" s="2880">
        <f t="shared" si="32"/>
        <v>0</v>
      </c>
      <c r="K166" s="2860"/>
      <c r="L166" s="2867"/>
      <c r="M166" s="2168"/>
    </row>
    <row r="167" spans="1:13" ht="16.5" customHeight="1" outlineLevel="1">
      <c r="A167" s="2828" t="s">
        <v>500</v>
      </c>
      <c r="B167" s="2829">
        <v>5169</v>
      </c>
      <c r="C167" s="2830" t="s">
        <v>1798</v>
      </c>
      <c r="D167" s="2831">
        <v>200000</v>
      </c>
      <c r="E167" s="2831">
        <v>200000</v>
      </c>
      <c r="F167" s="2831">
        <v>200000</v>
      </c>
      <c r="G167" s="2831">
        <v>200000</v>
      </c>
      <c r="H167" s="2831">
        <v>200000</v>
      </c>
      <c r="I167" s="2831">
        <f>+'[7]Popelnice 3722'!$B$24</f>
        <v>200000</v>
      </c>
      <c r="J167" s="2880">
        <f t="shared" si="32"/>
        <v>0</v>
      </c>
      <c r="K167" s="2860"/>
      <c r="L167" s="2867"/>
      <c r="M167" s="2168"/>
    </row>
    <row r="168" spans="1:13" ht="16.5" customHeight="1" outlineLevel="1">
      <c r="A168" s="2828" t="s">
        <v>500</v>
      </c>
      <c r="B168" s="2829">
        <v>5169</v>
      </c>
      <c r="C168" s="2830" t="s">
        <v>2305</v>
      </c>
      <c r="D168" s="2831">
        <v>1000000</v>
      </c>
      <c r="E168" s="2831">
        <v>1000000</v>
      </c>
      <c r="F168" s="2831">
        <v>1000000</v>
      </c>
      <c r="G168" s="2831">
        <v>1000000</v>
      </c>
      <c r="H168" s="2831">
        <v>1000000</v>
      </c>
      <c r="I168" s="2831">
        <f>+'[7]Popelnice 3722'!$B$25</f>
        <v>1000000</v>
      </c>
      <c r="J168" s="2880">
        <f t="shared" si="32"/>
        <v>0</v>
      </c>
      <c r="K168" s="2860"/>
      <c r="L168" s="2867"/>
      <c r="M168" s="2168"/>
    </row>
    <row r="169" spans="1:13" ht="16.5" customHeight="1" outlineLevel="1">
      <c r="A169" s="2828" t="s">
        <v>500</v>
      </c>
      <c r="B169" s="2829">
        <v>5169</v>
      </c>
      <c r="C169" s="2830" t="s">
        <v>2306</v>
      </c>
      <c r="D169" s="2831">
        <v>350000</v>
      </c>
      <c r="E169" s="2831">
        <v>350000</v>
      </c>
      <c r="F169" s="2831">
        <v>350000</v>
      </c>
      <c r="G169" s="2831">
        <v>350000</v>
      </c>
      <c r="H169" s="2831">
        <v>350000</v>
      </c>
      <c r="I169" s="2831">
        <f>+'[7]Popelnice 3722'!$B$26</f>
        <v>350000</v>
      </c>
      <c r="J169" s="2832">
        <f t="shared" si="32"/>
        <v>0</v>
      </c>
      <c r="K169" s="2860"/>
      <c r="L169" s="2867"/>
      <c r="M169" s="2168"/>
    </row>
    <row r="170" spans="1:13" ht="16.5" customHeight="1" outlineLevel="1">
      <c r="A170" s="2828" t="s">
        <v>2312</v>
      </c>
      <c r="B170" s="2829">
        <v>5170</v>
      </c>
      <c r="C170" s="2830" t="s">
        <v>1797</v>
      </c>
      <c r="D170" s="2831">
        <v>800000</v>
      </c>
      <c r="E170" s="2831">
        <v>800000</v>
      </c>
      <c r="F170" s="2831">
        <v>800000</v>
      </c>
      <c r="G170" s="2831">
        <v>800000</v>
      </c>
      <c r="H170" s="2831">
        <v>800000</v>
      </c>
      <c r="I170" s="2831">
        <f>+'[7]Popelnice 3722'!$B$27</f>
        <v>800000</v>
      </c>
      <c r="J170" s="2832">
        <f t="shared" si="32"/>
        <v>0</v>
      </c>
      <c r="K170" s="2860"/>
      <c r="L170" s="2867"/>
      <c r="M170" s="2168"/>
    </row>
    <row r="171" spans="1:13" ht="16.5" customHeight="1" outlineLevel="1">
      <c r="A171" s="2828" t="s">
        <v>2313</v>
      </c>
      <c r="B171" s="2829">
        <v>5171</v>
      </c>
      <c r="C171" s="2830" t="s">
        <v>1799</v>
      </c>
      <c r="D171" s="2831">
        <v>50000</v>
      </c>
      <c r="E171" s="2831">
        <v>50000</v>
      </c>
      <c r="F171" s="2831">
        <v>50000</v>
      </c>
      <c r="G171" s="2831">
        <v>50000</v>
      </c>
      <c r="H171" s="2831">
        <v>50000</v>
      </c>
      <c r="I171" s="2831">
        <f>+'[7]Popelnice 3722'!$B$28</f>
        <v>50000</v>
      </c>
      <c r="J171" s="2832">
        <f t="shared" si="32"/>
        <v>0</v>
      </c>
      <c r="K171" s="2860"/>
      <c r="L171" s="2867"/>
      <c r="M171" s="2168"/>
    </row>
    <row r="172" spans="1:13" ht="20.25" hidden="1" customHeight="1" outlineLevel="1">
      <c r="A172" s="2889" t="s">
        <v>500</v>
      </c>
      <c r="B172" s="2888">
        <v>5169</v>
      </c>
      <c r="C172" s="2840"/>
      <c r="D172" s="2891">
        <v>0</v>
      </c>
      <c r="E172" s="2891">
        <v>0</v>
      </c>
      <c r="F172" s="2891">
        <v>0</v>
      </c>
      <c r="G172" s="2891">
        <v>0</v>
      </c>
      <c r="H172" s="2891">
        <v>0</v>
      </c>
      <c r="I172" s="2891">
        <f>+'[7]Popelnice 3722'!$B$29</f>
        <v>0</v>
      </c>
      <c r="J172" s="2838">
        <f t="shared" si="32"/>
        <v>0</v>
      </c>
      <c r="K172" s="2860"/>
      <c r="L172" s="2867"/>
      <c r="M172" s="2168"/>
    </row>
    <row r="173" spans="1:13" ht="20.25" customHeight="1" thickBot="1">
      <c r="A173" s="3225" t="s">
        <v>1221</v>
      </c>
      <c r="B173" s="3226"/>
      <c r="C173" s="2863"/>
      <c r="D173" s="2864">
        <v>7100000</v>
      </c>
      <c r="E173" s="2864">
        <v>7100000</v>
      </c>
      <c r="F173" s="2864">
        <v>7100000</v>
      </c>
      <c r="G173" s="2864">
        <v>7100000</v>
      </c>
      <c r="H173" s="2864">
        <v>7100000</v>
      </c>
      <c r="I173" s="2864">
        <f>SUM(I165:I172)</f>
        <v>7100000</v>
      </c>
      <c r="J173" s="2865">
        <f t="shared" si="32"/>
        <v>0</v>
      </c>
      <c r="K173" s="2866">
        <f>+'Výdaje kapitol celkem'!DA34</f>
        <v>7100000</v>
      </c>
      <c r="L173" s="2867">
        <f>+K173-I173</f>
        <v>0</v>
      </c>
      <c r="M173" s="2168"/>
    </row>
    <row r="174" spans="1:13" ht="20.25" hidden="1" customHeight="1" outlineLevel="1">
      <c r="A174" s="2823" t="s">
        <v>181</v>
      </c>
      <c r="B174" s="2824">
        <v>5169</v>
      </c>
      <c r="C174" s="2825" t="s">
        <v>1791</v>
      </c>
      <c r="D174" s="2826"/>
      <c r="E174" s="2826"/>
      <c r="F174" s="2826"/>
      <c r="G174" s="2826"/>
      <c r="H174" s="2826"/>
      <c r="I174" s="2826"/>
      <c r="J174" s="2827">
        <f t="shared" si="32"/>
        <v>0</v>
      </c>
      <c r="K174" s="2860"/>
      <c r="L174" s="2867"/>
      <c r="M174" s="2168"/>
    </row>
    <row r="175" spans="1:13" ht="18.75" hidden="1" customHeight="1" outlineLevel="1">
      <c r="A175" s="2878" t="s">
        <v>181</v>
      </c>
      <c r="B175" s="2876">
        <v>5169</v>
      </c>
      <c r="C175" s="2879"/>
      <c r="D175" s="2839"/>
      <c r="E175" s="2839"/>
      <c r="F175" s="2839"/>
      <c r="G175" s="2839"/>
      <c r="H175" s="2839"/>
      <c r="I175" s="2839"/>
      <c r="J175" s="2873">
        <f t="shared" si="32"/>
        <v>0</v>
      </c>
      <c r="K175" s="2860"/>
      <c r="L175" s="2867"/>
      <c r="M175" s="2168"/>
    </row>
    <row r="176" spans="1:13" ht="20.25" hidden="1" customHeight="1" outlineLevel="1">
      <c r="A176" s="2889" t="s">
        <v>181</v>
      </c>
      <c r="B176" s="2888">
        <v>5169</v>
      </c>
      <c r="C176" s="2840"/>
      <c r="D176" s="2841"/>
      <c r="E176" s="2841"/>
      <c r="F176" s="2841"/>
      <c r="G176" s="2841"/>
      <c r="H176" s="2841"/>
      <c r="I176" s="2841"/>
      <c r="J176" s="2838">
        <f t="shared" si="32"/>
        <v>0</v>
      </c>
      <c r="K176" s="2860"/>
      <c r="L176" s="2867"/>
      <c r="M176" s="2168"/>
    </row>
    <row r="177" spans="1:13" ht="20.25" customHeight="1" collapsed="1" thickBot="1">
      <c r="A177" s="3225" t="s">
        <v>1213</v>
      </c>
      <c r="B177" s="3226"/>
      <c r="C177" s="2863"/>
      <c r="D177" s="2864">
        <v>0</v>
      </c>
      <c r="E177" s="2864">
        <v>0</v>
      </c>
      <c r="F177" s="2864">
        <v>0</v>
      </c>
      <c r="G177" s="2864">
        <v>0</v>
      </c>
      <c r="H177" s="2864">
        <v>0</v>
      </c>
      <c r="I177" s="2864">
        <f t="shared" ref="I177" si="38">SUM(I174:I176)</f>
        <v>0</v>
      </c>
      <c r="J177" s="2865">
        <f t="shared" si="32"/>
        <v>0</v>
      </c>
      <c r="K177" s="2866">
        <f>'Výdaje kapitol celkem'!DD34</f>
        <v>0</v>
      </c>
      <c r="L177" s="2867">
        <f>+K177-I177</f>
        <v>0</v>
      </c>
      <c r="M177" s="2168"/>
    </row>
    <row r="178" spans="1:13" ht="20.25" customHeight="1" outlineLevel="1">
      <c r="A178" s="2823">
        <v>3729</v>
      </c>
      <c r="B178" s="2824">
        <v>5169</v>
      </c>
      <c r="C178" s="2825" t="s">
        <v>1792</v>
      </c>
      <c r="D178" s="2826">
        <v>100000</v>
      </c>
      <c r="E178" s="2826">
        <v>100000</v>
      </c>
      <c r="F178" s="2826">
        <v>100000</v>
      </c>
      <c r="G178" s="2826">
        <v>100000</v>
      </c>
      <c r="H178" s="2826">
        <v>100000</v>
      </c>
      <c r="I178" s="2826">
        <f>+'[7]Černé skládky 3729'!$B$6</f>
        <v>100000</v>
      </c>
      <c r="J178" s="2827">
        <f t="shared" si="32"/>
        <v>0</v>
      </c>
      <c r="K178" s="2860"/>
      <c r="L178" s="2867"/>
      <c r="M178" s="2168"/>
    </row>
    <row r="179" spans="1:13" ht="20.25" customHeight="1">
      <c r="A179" s="2889">
        <v>3729</v>
      </c>
      <c r="B179" s="2888">
        <v>5169</v>
      </c>
      <c r="C179" s="2840"/>
      <c r="D179" s="2891">
        <v>0</v>
      </c>
      <c r="E179" s="2891">
        <v>0</v>
      </c>
      <c r="F179" s="2891">
        <v>0</v>
      </c>
      <c r="G179" s="2891">
        <v>0</v>
      </c>
      <c r="H179" s="2891">
        <v>0</v>
      </c>
      <c r="I179" s="2891">
        <f>+'[7]Černé skládky 3729'!$B$7</f>
        <v>0</v>
      </c>
      <c r="J179" s="2838">
        <f t="shared" si="32"/>
        <v>0</v>
      </c>
      <c r="K179" s="2860"/>
      <c r="L179" s="2867"/>
      <c r="M179" s="2168"/>
    </row>
    <row r="180" spans="1:13" ht="20.25" customHeight="1" thickBot="1">
      <c r="A180" s="3225" t="s">
        <v>1214</v>
      </c>
      <c r="B180" s="3226"/>
      <c r="C180" s="2863"/>
      <c r="D180" s="2864">
        <v>100000</v>
      </c>
      <c r="E180" s="2864">
        <v>100000</v>
      </c>
      <c r="F180" s="2864">
        <v>100000</v>
      </c>
      <c r="G180" s="2864">
        <v>100000</v>
      </c>
      <c r="H180" s="2864">
        <v>100000</v>
      </c>
      <c r="I180" s="2864">
        <f t="shared" ref="I180" si="39">SUM(I178:I179)</f>
        <v>100000</v>
      </c>
      <c r="J180" s="2865">
        <f t="shared" si="32"/>
        <v>0</v>
      </c>
      <c r="K180" s="2866">
        <f>'Výdaje kapitol celkem'!DG34</f>
        <v>100000</v>
      </c>
      <c r="L180" s="2867">
        <f>+K180-I180</f>
        <v>0</v>
      </c>
      <c r="M180" s="2168"/>
    </row>
    <row r="181" spans="1:13" ht="20.25" customHeight="1" outlineLevel="1">
      <c r="A181" s="2823">
        <v>3744</v>
      </c>
      <c r="B181" s="2824">
        <v>5169</v>
      </c>
      <c r="C181" s="2825" t="s">
        <v>1793</v>
      </c>
      <c r="D181" s="2826">
        <v>60000</v>
      </c>
      <c r="E181" s="2826">
        <v>60000</v>
      </c>
      <c r="F181" s="2826">
        <v>60000</v>
      </c>
      <c r="G181" s="2826">
        <v>60000</v>
      </c>
      <c r="H181" s="2826">
        <v>60000</v>
      </c>
      <c r="I181" s="2826">
        <f>+'[7]Povodeň 3744'!$B$14</f>
        <v>60000</v>
      </c>
      <c r="J181" s="2827">
        <f t="shared" si="32"/>
        <v>0</v>
      </c>
      <c r="K181" s="2860"/>
      <c r="L181" s="2867"/>
      <c r="M181" s="2168"/>
    </row>
    <row r="182" spans="1:13" ht="20.25" customHeight="1" outlineLevel="1">
      <c r="A182" s="2878">
        <v>3744</v>
      </c>
      <c r="B182" s="2876">
        <v>5169</v>
      </c>
      <c r="C182" s="2879" t="s">
        <v>1794</v>
      </c>
      <c r="D182" s="2839">
        <v>6500</v>
      </c>
      <c r="E182" s="2839">
        <v>6500</v>
      </c>
      <c r="F182" s="2839">
        <v>6500</v>
      </c>
      <c r="G182" s="2839">
        <v>6500</v>
      </c>
      <c r="H182" s="2839">
        <v>6500</v>
      </c>
      <c r="I182" s="2839">
        <f>+'[7]Povodeň 3744'!$B$15</f>
        <v>6500</v>
      </c>
      <c r="J182" s="2880">
        <f t="shared" si="32"/>
        <v>0</v>
      </c>
      <c r="K182" s="2860"/>
      <c r="L182" s="2867"/>
      <c r="M182" s="2168"/>
    </row>
    <row r="183" spans="1:13" ht="20.25" customHeight="1">
      <c r="A183" s="2889">
        <v>3744</v>
      </c>
      <c r="B183" s="2888">
        <v>5169</v>
      </c>
      <c r="C183" s="2840" t="s">
        <v>1795</v>
      </c>
      <c r="D183" s="2841">
        <v>0</v>
      </c>
      <c r="E183" s="2841">
        <v>0</v>
      </c>
      <c r="F183" s="2841">
        <v>35000</v>
      </c>
      <c r="G183" s="2841">
        <v>35000</v>
      </c>
      <c r="H183" s="2841">
        <v>35000</v>
      </c>
      <c r="I183" s="2841">
        <f>+'[7]Povodeň 3744'!$B$16</f>
        <v>35000</v>
      </c>
      <c r="J183" s="2832">
        <f t="shared" si="32"/>
        <v>0</v>
      </c>
      <c r="K183" s="2860"/>
      <c r="L183" s="2867"/>
      <c r="M183" s="2168"/>
    </row>
    <row r="184" spans="1:13" ht="20.25" customHeight="1" thickBot="1">
      <c r="A184" s="3225" t="s">
        <v>1196</v>
      </c>
      <c r="B184" s="3226"/>
      <c r="C184" s="2863"/>
      <c r="D184" s="2864">
        <v>66500</v>
      </c>
      <c r="E184" s="2864">
        <v>66500</v>
      </c>
      <c r="F184" s="2864">
        <v>101500</v>
      </c>
      <c r="G184" s="2864">
        <v>101500</v>
      </c>
      <c r="H184" s="2864">
        <v>101500</v>
      </c>
      <c r="I184" s="2864">
        <f t="shared" ref="I184" si="40">SUM(I181:I183)</f>
        <v>101500</v>
      </c>
      <c r="J184" s="2865">
        <f t="shared" si="32"/>
        <v>0</v>
      </c>
      <c r="K184" s="2866">
        <f>'Výdaje kapitol celkem'!DJ34</f>
        <v>101500</v>
      </c>
      <c r="L184" s="2867">
        <f>+K184-I184</f>
        <v>0</v>
      </c>
      <c r="M184" s="2168"/>
    </row>
    <row r="185" spans="1:13" ht="20.25" customHeight="1" outlineLevel="1">
      <c r="A185" s="2823" t="s">
        <v>296</v>
      </c>
      <c r="B185" s="2824">
        <v>5169</v>
      </c>
      <c r="C185" s="2825" t="s">
        <v>1718</v>
      </c>
      <c r="D185" s="2826">
        <v>5000</v>
      </c>
      <c r="E185" s="2826">
        <v>5000</v>
      </c>
      <c r="F185" s="2826">
        <v>5000</v>
      </c>
      <c r="G185" s="2826">
        <v>5000</v>
      </c>
      <c r="H185" s="2826">
        <v>5000</v>
      </c>
      <c r="I185" s="2826">
        <f>+[3]Rybníky!$B$5</f>
        <v>5000</v>
      </c>
      <c r="J185" s="2827">
        <f t="shared" si="32"/>
        <v>0</v>
      </c>
      <c r="K185" s="2860"/>
      <c r="L185" s="2867"/>
      <c r="M185" s="2168"/>
    </row>
    <row r="186" spans="1:13" ht="13.5" customHeight="1" outlineLevel="1">
      <c r="A186" s="2878" t="s">
        <v>296</v>
      </c>
      <c r="B186" s="2876">
        <v>5169</v>
      </c>
      <c r="C186" s="2879"/>
      <c r="D186" s="2839">
        <v>0</v>
      </c>
      <c r="E186" s="2839">
        <v>0</v>
      </c>
      <c r="F186" s="2839">
        <v>0</v>
      </c>
      <c r="G186" s="2839">
        <v>0</v>
      </c>
      <c r="H186" s="2839">
        <v>0</v>
      </c>
      <c r="I186" s="2839">
        <f>+[3]Rybníky!$B$6</f>
        <v>0</v>
      </c>
      <c r="J186" s="2873">
        <f t="shared" si="32"/>
        <v>0</v>
      </c>
      <c r="K186" s="2860"/>
      <c r="L186" s="2867"/>
      <c r="M186" s="2168"/>
    </row>
    <row r="187" spans="1:13" ht="15.75" hidden="1" customHeight="1" outlineLevel="1">
      <c r="A187" s="2878" t="s">
        <v>296</v>
      </c>
      <c r="B187" s="2876">
        <v>5169</v>
      </c>
      <c r="C187" s="2879"/>
      <c r="D187" s="2839"/>
      <c r="E187" s="2839"/>
      <c r="F187" s="2839"/>
      <c r="G187" s="2839"/>
      <c r="H187" s="2839"/>
      <c r="I187" s="2839"/>
      <c r="J187" s="2880">
        <f t="shared" si="32"/>
        <v>0</v>
      </c>
      <c r="K187" s="2860"/>
      <c r="L187" s="2867"/>
      <c r="M187" s="2168"/>
    </row>
    <row r="188" spans="1:13" ht="20.25" customHeight="1" thickBot="1">
      <c r="A188" s="3225" t="s">
        <v>1197</v>
      </c>
      <c r="B188" s="3226"/>
      <c r="C188" s="2863"/>
      <c r="D188" s="2864">
        <v>5000</v>
      </c>
      <c r="E188" s="2864">
        <v>5000</v>
      </c>
      <c r="F188" s="2864">
        <v>5000</v>
      </c>
      <c r="G188" s="2864">
        <v>5000</v>
      </c>
      <c r="H188" s="2864">
        <v>5000</v>
      </c>
      <c r="I188" s="2864">
        <f t="shared" ref="I188" si="41">SUM(I185:I187)</f>
        <v>5000</v>
      </c>
      <c r="J188" s="2865">
        <f t="shared" si="32"/>
        <v>0</v>
      </c>
      <c r="K188" s="2866">
        <f>'Výdaje kapitol celkem'!DO34</f>
        <v>5000</v>
      </c>
      <c r="L188" s="2867">
        <f>+K188-I188</f>
        <v>0</v>
      </c>
      <c r="M188" s="2168"/>
    </row>
    <row r="189" spans="1:13" ht="20.25" hidden="1" customHeight="1" outlineLevel="1">
      <c r="A189" s="2823" t="s">
        <v>263</v>
      </c>
      <c r="B189" s="2824">
        <v>5169</v>
      </c>
      <c r="C189" s="2892"/>
      <c r="D189" s="2826"/>
      <c r="E189" s="2826"/>
      <c r="F189" s="2826"/>
      <c r="G189" s="2826"/>
      <c r="H189" s="2826"/>
      <c r="I189" s="2826"/>
      <c r="J189" s="2893">
        <f t="shared" si="32"/>
        <v>0</v>
      </c>
      <c r="K189" s="2866"/>
      <c r="L189" s="2867"/>
      <c r="M189" s="2168"/>
    </row>
    <row r="190" spans="1:13" ht="20.25" hidden="1" customHeight="1" outlineLevel="1">
      <c r="A190" s="2878" t="s">
        <v>263</v>
      </c>
      <c r="B190" s="2876">
        <v>5169</v>
      </c>
      <c r="C190" s="2894"/>
      <c r="D190" s="2885"/>
      <c r="E190" s="2885"/>
      <c r="F190" s="2885"/>
      <c r="G190" s="2885"/>
      <c r="H190" s="2885"/>
      <c r="I190" s="2885"/>
      <c r="J190" s="2873">
        <f t="shared" si="32"/>
        <v>0</v>
      </c>
      <c r="K190" s="2866"/>
      <c r="L190" s="2867"/>
      <c r="M190" s="2168"/>
    </row>
    <row r="191" spans="1:13" ht="26.25" customHeight="1" collapsed="1" thickBot="1">
      <c r="A191" s="3225" t="s">
        <v>1222</v>
      </c>
      <c r="B191" s="3226"/>
      <c r="C191" s="2863"/>
      <c r="D191" s="2864">
        <v>0</v>
      </c>
      <c r="E191" s="2864">
        <v>0</v>
      </c>
      <c r="F191" s="2864">
        <v>0</v>
      </c>
      <c r="G191" s="2864">
        <v>0</v>
      </c>
      <c r="H191" s="2864">
        <v>0</v>
      </c>
      <c r="I191" s="2864">
        <f t="shared" ref="I191" si="42">SUM(I189:I190)</f>
        <v>0</v>
      </c>
      <c r="J191" s="2865">
        <f t="shared" si="32"/>
        <v>0</v>
      </c>
      <c r="K191" s="2866">
        <f>'Výdaje kapitol celkem'!DS34</f>
        <v>0</v>
      </c>
      <c r="L191" s="2867">
        <f>+K191-I191</f>
        <v>0</v>
      </c>
      <c r="M191" s="2168"/>
    </row>
    <row r="192" spans="1:13" ht="20.25" hidden="1" customHeight="1" outlineLevel="1">
      <c r="A192" s="2823" t="s">
        <v>724</v>
      </c>
      <c r="B192" s="2824">
        <v>5169</v>
      </c>
      <c r="C192" s="2825"/>
      <c r="D192" s="2826"/>
      <c r="E192" s="2826"/>
      <c r="F192" s="2826"/>
      <c r="G192" s="2826"/>
      <c r="H192" s="2826"/>
      <c r="I192" s="2826"/>
      <c r="J192" s="2827">
        <f t="shared" si="32"/>
        <v>0</v>
      </c>
      <c r="K192" s="2860"/>
      <c r="L192" s="2867"/>
      <c r="M192" s="2168"/>
    </row>
    <row r="193" spans="1:13" ht="20.25" hidden="1" customHeight="1" outlineLevel="1">
      <c r="A193" s="2889" t="s">
        <v>724</v>
      </c>
      <c r="B193" s="2888">
        <v>5169</v>
      </c>
      <c r="C193" s="2840"/>
      <c r="D193" s="2891"/>
      <c r="E193" s="2891"/>
      <c r="F193" s="2891"/>
      <c r="G193" s="2891"/>
      <c r="H193" s="2891"/>
      <c r="I193" s="2891"/>
      <c r="J193" s="2838">
        <f t="shared" si="32"/>
        <v>0</v>
      </c>
      <c r="K193" s="2860"/>
      <c r="L193" s="2867"/>
      <c r="M193" s="2168"/>
    </row>
    <row r="194" spans="1:13" ht="20.25" customHeight="1" collapsed="1" thickBot="1">
      <c r="A194" s="3225" t="s">
        <v>1223</v>
      </c>
      <c r="B194" s="3226"/>
      <c r="C194" s="2863"/>
      <c r="D194" s="2864">
        <v>0</v>
      </c>
      <c r="E194" s="2864">
        <v>0</v>
      </c>
      <c r="F194" s="2864">
        <v>0</v>
      </c>
      <c r="G194" s="2864">
        <v>0</v>
      </c>
      <c r="H194" s="2864">
        <v>0</v>
      </c>
      <c r="I194" s="2864">
        <f t="shared" ref="I194" si="43">SUM(I192:I193)</f>
        <v>0</v>
      </c>
      <c r="J194" s="2865">
        <f t="shared" si="32"/>
        <v>0</v>
      </c>
      <c r="K194" s="2866">
        <f>'Výdaje kapitol celkem'!DP34</f>
        <v>0</v>
      </c>
      <c r="L194" s="2867">
        <f>+K194-I194</f>
        <v>0</v>
      </c>
      <c r="M194" s="2168"/>
    </row>
    <row r="195" spans="1:13" ht="20.25" hidden="1" customHeight="1" outlineLevel="1">
      <c r="A195" s="2823" t="s">
        <v>725</v>
      </c>
      <c r="B195" s="2824">
        <v>5169</v>
      </c>
      <c r="C195" s="2825"/>
      <c r="D195" s="2826"/>
      <c r="E195" s="2826"/>
      <c r="F195" s="2826"/>
      <c r="G195" s="2826"/>
      <c r="H195" s="2826"/>
      <c r="I195" s="2826"/>
      <c r="J195" s="2827">
        <f t="shared" si="32"/>
        <v>0</v>
      </c>
      <c r="K195" s="2860"/>
      <c r="L195" s="2867"/>
      <c r="M195" s="2168"/>
    </row>
    <row r="196" spans="1:13" ht="20.25" hidden="1" customHeight="1" outlineLevel="1">
      <c r="A196" s="2889" t="s">
        <v>725</v>
      </c>
      <c r="B196" s="2888">
        <v>5169</v>
      </c>
      <c r="C196" s="2840"/>
      <c r="D196" s="2891"/>
      <c r="E196" s="2891"/>
      <c r="F196" s="2891"/>
      <c r="G196" s="2891"/>
      <c r="H196" s="2891"/>
      <c r="I196" s="2891"/>
      <c r="J196" s="2838">
        <f t="shared" si="32"/>
        <v>0</v>
      </c>
      <c r="K196" s="2860"/>
      <c r="L196" s="2867"/>
      <c r="M196" s="2168"/>
    </row>
    <row r="197" spans="1:13" ht="23.25" customHeight="1" collapsed="1" thickBot="1">
      <c r="A197" s="3225" t="s">
        <v>1199</v>
      </c>
      <c r="B197" s="3226"/>
      <c r="C197" s="2863"/>
      <c r="D197" s="2864">
        <v>0</v>
      </c>
      <c r="E197" s="2864">
        <v>0</v>
      </c>
      <c r="F197" s="2864">
        <v>0</v>
      </c>
      <c r="G197" s="2864">
        <v>0</v>
      </c>
      <c r="H197" s="2864">
        <v>0</v>
      </c>
      <c r="I197" s="2864">
        <f t="shared" ref="I197" si="44">SUM(I195:I196)</f>
        <v>0</v>
      </c>
      <c r="J197" s="2865">
        <f t="shared" si="32"/>
        <v>0</v>
      </c>
      <c r="K197" s="2866">
        <f>'Výdaje kapitol celkem'!DQ34</f>
        <v>0</v>
      </c>
      <c r="L197" s="2867">
        <f>+K197-I197</f>
        <v>0</v>
      </c>
      <c r="M197" s="2168"/>
    </row>
    <row r="198" spans="1:13" ht="15" hidden="1" customHeight="1" outlineLevel="1">
      <c r="A198" s="2823" t="s">
        <v>182</v>
      </c>
      <c r="B198" s="2824">
        <v>5169</v>
      </c>
      <c r="C198" s="2825" t="s">
        <v>1797</v>
      </c>
      <c r="D198" s="2826"/>
      <c r="E198" s="2826"/>
      <c r="F198" s="2826"/>
      <c r="G198" s="2826"/>
      <c r="H198" s="2826"/>
      <c r="I198" s="2826"/>
      <c r="J198" s="2895">
        <f t="shared" ref="J198:J213" si="45">+I198-H198</f>
        <v>0</v>
      </c>
      <c r="K198" s="2860"/>
      <c r="L198" s="2867"/>
      <c r="M198" s="2168"/>
    </row>
    <row r="199" spans="1:13" ht="15" hidden="1" customHeight="1" outlineLevel="1">
      <c r="A199" s="2878" t="s">
        <v>182</v>
      </c>
      <c r="B199" s="2829">
        <v>5169</v>
      </c>
      <c r="C199" s="2830" t="s">
        <v>1798</v>
      </c>
      <c r="D199" s="2831"/>
      <c r="E199" s="2831"/>
      <c r="F199" s="2831"/>
      <c r="G199" s="2831"/>
      <c r="H199" s="2831"/>
      <c r="I199" s="2831"/>
      <c r="J199" s="2832">
        <f t="shared" si="45"/>
        <v>0</v>
      </c>
      <c r="K199" s="2860"/>
      <c r="L199" s="2867"/>
      <c r="M199" s="2168"/>
    </row>
    <row r="200" spans="1:13" ht="15" hidden="1" customHeight="1" outlineLevel="1">
      <c r="A200" s="2878" t="s">
        <v>182</v>
      </c>
      <c r="B200" s="2876">
        <v>5169</v>
      </c>
      <c r="C200" s="2879" t="s">
        <v>1799</v>
      </c>
      <c r="D200" s="2839"/>
      <c r="E200" s="2839"/>
      <c r="F200" s="2839"/>
      <c r="G200" s="2839"/>
      <c r="H200" s="2839"/>
      <c r="I200" s="2839"/>
      <c r="J200" s="2880">
        <f t="shared" si="45"/>
        <v>0</v>
      </c>
      <c r="K200" s="2860"/>
      <c r="L200" s="2867"/>
      <c r="M200" s="2168"/>
    </row>
    <row r="201" spans="1:13" ht="19.5" hidden="1" customHeight="1" outlineLevel="1">
      <c r="A201" s="2889" t="s">
        <v>182</v>
      </c>
      <c r="B201" s="2888">
        <v>5169</v>
      </c>
      <c r="C201" s="2840"/>
      <c r="D201" s="2841"/>
      <c r="E201" s="2841"/>
      <c r="F201" s="2841"/>
      <c r="G201" s="2841"/>
      <c r="H201" s="2841"/>
      <c r="I201" s="2841"/>
      <c r="J201" s="2838">
        <f t="shared" si="45"/>
        <v>0</v>
      </c>
      <c r="K201" s="2860"/>
      <c r="L201" s="2867"/>
      <c r="M201" s="2168"/>
    </row>
    <row r="202" spans="1:13" ht="20.25" customHeight="1" collapsed="1" thickBot="1">
      <c r="A202" s="3225" t="s">
        <v>1215</v>
      </c>
      <c r="B202" s="3226"/>
      <c r="C202" s="2863"/>
      <c r="D202" s="2864">
        <v>0</v>
      </c>
      <c r="E202" s="2864">
        <v>0</v>
      </c>
      <c r="F202" s="2864">
        <v>0</v>
      </c>
      <c r="G202" s="2864">
        <v>0</v>
      </c>
      <c r="H202" s="2864">
        <v>0</v>
      </c>
      <c r="I202" s="2864">
        <f t="shared" ref="I202" si="46">SUM(I198:I201)</f>
        <v>0</v>
      </c>
      <c r="J202" s="2865">
        <f t="shared" si="45"/>
        <v>0</v>
      </c>
      <c r="K202" s="2866">
        <f>'Výdaje kapitol celkem'!DV34</f>
        <v>0</v>
      </c>
      <c r="L202" s="2867">
        <f>+K202-I202</f>
        <v>0</v>
      </c>
      <c r="M202" s="2168"/>
    </row>
    <row r="203" spans="1:13" ht="20.25" customHeight="1" outlineLevel="1">
      <c r="A203" s="2823">
        <v>3114</v>
      </c>
      <c r="B203" s="2824">
        <v>5169</v>
      </c>
      <c r="C203" s="2825" t="s">
        <v>1754</v>
      </c>
      <c r="D203" s="2826">
        <v>50000</v>
      </c>
      <c r="E203" s="2826">
        <v>50000</v>
      </c>
      <c r="F203" s="2826">
        <v>50000</v>
      </c>
      <c r="G203" s="2826">
        <v>50000</v>
      </c>
      <c r="H203" s="2826">
        <v>50000</v>
      </c>
      <c r="I203" s="2826">
        <f>+'[3]Č.p. 65'!$B$5</f>
        <v>50000</v>
      </c>
      <c r="J203" s="2827">
        <f t="shared" si="45"/>
        <v>0</v>
      </c>
      <c r="K203" s="2860"/>
      <c r="L203" s="2867"/>
      <c r="M203" s="2168"/>
    </row>
    <row r="204" spans="1:13" ht="20.25" customHeight="1" outlineLevel="1">
      <c r="A204" s="2878">
        <v>3114</v>
      </c>
      <c r="B204" s="2876">
        <v>5169</v>
      </c>
      <c r="C204" s="2879" t="s">
        <v>1755</v>
      </c>
      <c r="D204" s="2839">
        <v>10000</v>
      </c>
      <c r="E204" s="2839">
        <v>10000</v>
      </c>
      <c r="F204" s="2839">
        <v>10000</v>
      </c>
      <c r="G204" s="2839">
        <v>10000</v>
      </c>
      <c r="H204" s="2839">
        <v>10000</v>
      </c>
      <c r="I204" s="2839">
        <f>+'[3]Č.p. 65'!$B$6</f>
        <v>10000</v>
      </c>
      <c r="J204" s="2873">
        <f t="shared" si="45"/>
        <v>0</v>
      </c>
      <c r="K204" s="2860"/>
      <c r="L204" s="2867"/>
      <c r="M204" s="2168"/>
    </row>
    <row r="205" spans="1:13" ht="20.25" customHeight="1" outlineLevel="1">
      <c r="A205" s="2878">
        <v>3114</v>
      </c>
      <c r="B205" s="2876">
        <v>5169</v>
      </c>
      <c r="C205" s="2879" t="s">
        <v>1788</v>
      </c>
      <c r="D205" s="2839">
        <v>20000</v>
      </c>
      <c r="E205" s="2839">
        <v>20000</v>
      </c>
      <c r="F205" s="2839">
        <v>20000</v>
      </c>
      <c r="G205" s="2839">
        <v>20000</v>
      </c>
      <c r="H205" s="2839">
        <v>20000</v>
      </c>
      <c r="I205" s="2839">
        <f>+[2]č.p.65!$B$26</f>
        <v>20000</v>
      </c>
      <c r="J205" s="2873">
        <f t="shared" si="45"/>
        <v>0</v>
      </c>
      <c r="K205" s="2860"/>
      <c r="L205" s="2867"/>
      <c r="M205" s="2168"/>
    </row>
    <row r="206" spans="1:13" ht="20.25" hidden="1" customHeight="1" outlineLevel="1">
      <c r="A206" s="2878">
        <v>3114</v>
      </c>
      <c r="B206" s="2876">
        <v>5169</v>
      </c>
      <c r="C206" s="2879"/>
      <c r="D206" s="2839">
        <v>0</v>
      </c>
      <c r="E206" s="2839">
        <v>0</v>
      </c>
      <c r="F206" s="2839">
        <v>0</v>
      </c>
      <c r="G206" s="2839">
        <v>0</v>
      </c>
      <c r="H206" s="2839">
        <v>0</v>
      </c>
      <c r="I206" s="2839">
        <f>+[2]č.p.65!$B$27</f>
        <v>0</v>
      </c>
      <c r="J206" s="2873">
        <f t="shared" si="45"/>
        <v>0</v>
      </c>
      <c r="K206" s="2860"/>
      <c r="L206" s="2867"/>
      <c r="M206" s="2168"/>
    </row>
    <row r="207" spans="1:13" ht="20.25" hidden="1" customHeight="1" outlineLevel="1">
      <c r="A207" s="2875"/>
      <c r="B207" s="2876"/>
      <c r="C207" s="2840"/>
      <c r="D207" s="2841"/>
      <c r="E207" s="2841"/>
      <c r="F207" s="2841"/>
      <c r="G207" s="2841"/>
      <c r="H207" s="2841"/>
      <c r="I207" s="2841"/>
      <c r="J207" s="2877">
        <f t="shared" si="45"/>
        <v>0</v>
      </c>
      <c r="K207" s="2860"/>
      <c r="L207" s="2867"/>
      <c r="M207" s="2168"/>
    </row>
    <row r="208" spans="1:13" ht="20.25" customHeight="1" thickBot="1">
      <c r="A208" s="3225" t="s">
        <v>212</v>
      </c>
      <c r="B208" s="3226"/>
      <c r="C208" s="2863"/>
      <c r="D208" s="2864">
        <v>80000</v>
      </c>
      <c r="E208" s="2864">
        <v>80000</v>
      </c>
      <c r="F208" s="2864">
        <v>80000</v>
      </c>
      <c r="G208" s="2864">
        <v>80000</v>
      </c>
      <c r="H208" s="2864">
        <v>80000</v>
      </c>
      <c r="I208" s="2864">
        <f>SUM(I203:I207)</f>
        <v>80000</v>
      </c>
      <c r="J208" s="2865">
        <f t="shared" si="45"/>
        <v>0</v>
      </c>
      <c r="K208" s="2866">
        <f>'Výdaje kapitol celkem'!BJ34</f>
        <v>80000</v>
      </c>
      <c r="L208" s="2867">
        <f>+K208-I208</f>
        <v>0</v>
      </c>
      <c r="M208" s="2168"/>
    </row>
    <row r="209" spans="1:13" ht="20.25" hidden="1" customHeight="1" outlineLevel="1">
      <c r="A209" s="2889" t="s">
        <v>198</v>
      </c>
      <c r="B209" s="2888">
        <v>5169</v>
      </c>
      <c r="C209" s="2840"/>
      <c r="D209" s="2841"/>
      <c r="E209" s="2841"/>
      <c r="F209" s="2841"/>
      <c r="G209" s="2841"/>
      <c r="H209" s="2841"/>
      <c r="I209" s="2841"/>
      <c r="J209" s="2832">
        <f t="shared" si="45"/>
        <v>0</v>
      </c>
      <c r="K209" s="2860"/>
      <c r="L209" s="2867"/>
      <c r="M209" s="2168"/>
    </row>
    <row r="210" spans="1:13" ht="20.25" hidden="1" customHeight="1" outlineLevel="1">
      <c r="A210" s="2878" t="s">
        <v>198</v>
      </c>
      <c r="B210" s="2876">
        <v>5169</v>
      </c>
      <c r="C210" s="2879"/>
      <c r="D210" s="2839"/>
      <c r="E210" s="2839"/>
      <c r="F210" s="2839"/>
      <c r="G210" s="2839"/>
      <c r="H210" s="2839"/>
      <c r="I210" s="2839"/>
      <c r="J210" s="2880">
        <f t="shared" si="45"/>
        <v>0</v>
      </c>
      <c r="K210" s="2860"/>
      <c r="L210" s="2867"/>
      <c r="M210" s="2168"/>
    </row>
    <row r="211" spans="1:13" ht="20.25" hidden="1" customHeight="1" outlineLevel="1">
      <c r="A211" s="2828" t="s">
        <v>198</v>
      </c>
      <c r="B211" s="2829">
        <v>5169</v>
      </c>
      <c r="C211" s="2830"/>
      <c r="D211" s="2837"/>
      <c r="E211" s="2837"/>
      <c r="F211" s="2837"/>
      <c r="G211" s="2837"/>
      <c r="H211" s="2837"/>
      <c r="I211" s="2837"/>
      <c r="J211" s="2838">
        <f t="shared" si="45"/>
        <v>0</v>
      </c>
      <c r="K211" s="2860"/>
      <c r="L211" s="2867"/>
      <c r="M211" s="2168"/>
    </row>
    <row r="212" spans="1:13" ht="24" customHeight="1" collapsed="1" thickBot="1">
      <c r="A212" s="3225" t="s">
        <v>215</v>
      </c>
      <c r="B212" s="3226"/>
      <c r="C212" s="2863"/>
      <c r="D212" s="2864">
        <v>0</v>
      </c>
      <c r="E212" s="2864">
        <v>0</v>
      </c>
      <c r="F212" s="2864">
        <v>0</v>
      </c>
      <c r="G212" s="2864">
        <v>0</v>
      </c>
      <c r="H212" s="2864">
        <v>0</v>
      </c>
      <c r="I212" s="2864">
        <f t="shared" ref="I212" si="47">SUM(I209:I211)</f>
        <v>0</v>
      </c>
      <c r="J212" s="2865">
        <f t="shared" si="45"/>
        <v>0</v>
      </c>
      <c r="K212" s="2866">
        <f>'Výdaje kapitol celkem'!CN34</f>
        <v>0</v>
      </c>
      <c r="L212" s="2867">
        <f>+K212-I212</f>
        <v>0</v>
      </c>
      <c r="M212" s="2168"/>
    </row>
    <row r="213" spans="1:13" s="2868" customFormat="1" ht="18" customHeight="1" thickBot="1">
      <c r="A213" s="3220" t="s">
        <v>501</v>
      </c>
      <c r="B213" s="3221"/>
      <c r="C213" s="3222"/>
      <c r="D213" s="2843">
        <v>22138600</v>
      </c>
      <c r="E213" s="2843">
        <v>22388600</v>
      </c>
      <c r="F213" s="2843">
        <v>23057600</v>
      </c>
      <c r="G213" s="2843">
        <v>23057600</v>
      </c>
      <c r="H213" s="2843">
        <v>26481700</v>
      </c>
      <c r="I213" s="2843">
        <f>+I7+I10+I20+I23+I29+I33+I36+I42+I45+I52+I55+I58+I65+I70+I73+I77+I81+I87+I101+I104+I107+I110+I114+I117+I120+I123+I129+I135+I139+I142+I151+I155+I159+I164+I173+I177+I180+I184+I188+I202+I208+I212+I194+I14+I197+I191+I96+I91+I62+I26</f>
        <v>26481700</v>
      </c>
      <c r="J213" s="2844">
        <f t="shared" si="45"/>
        <v>0</v>
      </c>
      <c r="K213" s="2866"/>
      <c r="L213" s="2896"/>
      <c r="M213" s="2168"/>
    </row>
    <row r="214" spans="1:13">
      <c r="A214" s="2857"/>
      <c r="B214" s="2857"/>
      <c r="C214" s="2857"/>
      <c r="D214" s="2897">
        <v>22138600</v>
      </c>
      <c r="E214" s="2897">
        <v>22388600</v>
      </c>
      <c r="F214" s="2897">
        <v>23057600</v>
      </c>
      <c r="G214" s="2897">
        <v>23057600</v>
      </c>
      <c r="H214" s="2897">
        <v>26481700</v>
      </c>
      <c r="I214" s="2897">
        <f>'Výdaje kapitol celkem'!I34</f>
        <v>26481700</v>
      </c>
      <c r="J214" s="2859"/>
      <c r="K214" s="2860"/>
      <c r="L214" s="2861"/>
    </row>
    <row r="215" spans="1:13" s="2899" customFormat="1">
      <c r="A215" s="2898"/>
      <c r="B215" s="2898"/>
      <c r="C215" s="2898" t="s">
        <v>217</v>
      </c>
      <c r="D215" s="2898">
        <v>0</v>
      </c>
      <c r="E215" s="2898">
        <v>0</v>
      </c>
      <c r="F215" s="2898">
        <v>0</v>
      </c>
      <c r="G215" s="2898">
        <v>0</v>
      </c>
      <c r="H215" s="2898">
        <v>0</v>
      </c>
      <c r="I215" s="2859">
        <f>+I214-I213</f>
        <v>0</v>
      </c>
      <c r="J215" s="2859"/>
      <c r="K215" s="2860"/>
      <c r="L215" s="2861"/>
    </row>
    <row r="216" spans="1:13">
      <c r="A216" s="2900" t="s">
        <v>545</v>
      </c>
      <c r="B216" s="2857"/>
      <c r="C216" s="2857"/>
      <c r="D216" s="2857"/>
      <c r="E216" s="2857"/>
      <c r="F216" s="2857"/>
      <c r="G216" s="2857"/>
      <c r="H216" s="2857"/>
      <c r="I216" s="2897"/>
      <c r="J216" s="2859"/>
      <c r="K216" s="2860"/>
      <c r="L216" s="2861"/>
    </row>
  </sheetData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3:C213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  <mergeCell ref="A65:B65"/>
    <mergeCell ref="A70:B70"/>
    <mergeCell ref="A73:B73"/>
    <mergeCell ref="A77:B77"/>
    <mergeCell ref="A81:B81"/>
    <mergeCell ref="A87:B87"/>
    <mergeCell ref="A91:B91"/>
    <mergeCell ref="A96:B96"/>
    <mergeCell ref="A101:B101"/>
    <mergeCell ref="A104:B104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62:B62"/>
    <mergeCell ref="A197:B197"/>
    <mergeCell ref="A202:B202"/>
    <mergeCell ref="A208:B208"/>
    <mergeCell ref="A212:B212"/>
    <mergeCell ref="A180:B180"/>
    <mergeCell ref="A184:B184"/>
    <mergeCell ref="A188:B188"/>
    <mergeCell ref="A191:B191"/>
    <mergeCell ref="A194:B194"/>
    <mergeCell ref="A155:B155"/>
    <mergeCell ref="A159:B159"/>
    <mergeCell ref="A164:B164"/>
    <mergeCell ref="A173:B173"/>
    <mergeCell ref="A177:B177"/>
    <mergeCell ref="A129:B129"/>
  </mergeCells>
  <phoneticPr fontId="7" type="noConversion"/>
  <pageMargins left="0.51181102362204722" right="0.51181102362204722" top="0.19685039370078741" bottom="0.19685039370078741" header="0.31496062992125984" footer="0.31496062992125984"/>
  <pageSetup paperSize="9" scale="54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M182"/>
  <sheetViews>
    <sheetView zoomScale="90" zoomScaleNormal="90" workbookViewId="0">
      <pane xSplit="6" ySplit="5" topLeftCell="G114" activePane="bottomRight" state="frozen"/>
      <selection pane="topRight" activeCell="G1" sqref="G1"/>
      <selection pane="bottomLeft" activeCell="A6" sqref="A6"/>
      <selection pane="bottomRight" activeCell="J6" sqref="J6:J179"/>
    </sheetView>
  </sheetViews>
  <sheetFormatPr defaultColWidth="9" defaultRowHeight="12" outlineLevelRow="1"/>
  <cols>
    <col min="1" max="1" width="17" style="2914" customWidth="1"/>
    <col min="2" max="2" width="10" style="2862" customWidth="1"/>
    <col min="3" max="3" width="90" style="2862" bestFit="1" customWidth="1"/>
    <col min="4" max="4" width="14" style="2901" hidden="1" customWidth="1"/>
    <col min="5" max="6" width="12" style="2901" hidden="1" customWidth="1"/>
    <col min="7" max="8" width="12" style="2901" customWidth="1"/>
    <col min="9" max="9" width="11" style="2901" customWidth="1"/>
    <col min="10" max="10" width="12.265625" style="2902" customWidth="1"/>
    <col min="11" max="11" width="14.265625" style="2903" customWidth="1"/>
    <col min="12" max="12" width="13.86328125" style="2904" customWidth="1"/>
    <col min="13" max="16384" width="9" style="2862"/>
  </cols>
  <sheetData>
    <row r="1" spans="1:13" s="2851" customFormat="1" ht="24" customHeight="1">
      <c r="A1" s="2905" t="s">
        <v>2376</v>
      </c>
      <c r="B1" s="108"/>
      <c r="C1" s="2730"/>
      <c r="D1" s="2984"/>
      <c r="E1" s="2984"/>
      <c r="F1" s="2984"/>
      <c r="G1" s="2984"/>
      <c r="H1" s="2984"/>
      <c r="I1" s="2985"/>
      <c r="J1" s="2848"/>
      <c r="K1" s="2849"/>
      <c r="L1" s="2850"/>
    </row>
    <row r="2" spans="1:13" s="2856" customFormat="1" ht="20.25" customHeight="1">
      <c r="A2" s="3211" t="s">
        <v>546</v>
      </c>
      <c r="B2" s="3211"/>
      <c r="C2" s="3212"/>
      <c r="D2" s="2986"/>
      <c r="E2" s="2986"/>
      <c r="F2" s="2986"/>
      <c r="G2" s="2986"/>
      <c r="H2" s="2986"/>
      <c r="I2" s="2987"/>
      <c r="J2" s="2853"/>
      <c r="K2" s="2854"/>
      <c r="L2" s="2855"/>
    </row>
    <row r="3" spans="1:13" ht="12.4" thickBot="1">
      <c r="A3" s="2906"/>
      <c r="B3" s="2857"/>
      <c r="C3" s="2857"/>
      <c r="D3" s="2897"/>
      <c r="E3" s="2897"/>
      <c r="F3" s="2897"/>
      <c r="G3" s="2897"/>
      <c r="H3" s="2897"/>
      <c r="I3" s="2897"/>
      <c r="J3" s="2859"/>
      <c r="K3" s="2860"/>
      <c r="L3" s="2861"/>
    </row>
    <row r="4" spans="1:13" ht="24.4" thickBot="1">
      <c r="A4" s="2818" t="s">
        <v>1</v>
      </c>
      <c r="B4" s="2819" t="s">
        <v>63</v>
      </c>
      <c r="C4" s="2988" t="s">
        <v>6</v>
      </c>
      <c r="D4" s="2821" t="s">
        <v>2378</v>
      </c>
      <c r="E4" s="2821" t="s">
        <v>1953</v>
      </c>
      <c r="F4" s="2821" t="s">
        <v>2687</v>
      </c>
      <c r="G4" s="2821" t="s">
        <v>2810</v>
      </c>
      <c r="H4" s="2821" t="s">
        <v>2128</v>
      </c>
      <c r="I4" s="2821" t="s">
        <v>2878</v>
      </c>
      <c r="J4" s="2822" t="s">
        <v>5</v>
      </c>
      <c r="K4" s="2817" t="s">
        <v>763</v>
      </c>
      <c r="L4" s="2861" t="s">
        <v>707</v>
      </c>
    </row>
    <row r="5" spans="1:13" ht="15.75" customHeight="1" outlineLevel="1">
      <c r="A5" s="2907">
        <v>6171</v>
      </c>
      <c r="B5" s="2824">
        <v>5171</v>
      </c>
      <c r="C5" s="2989" t="s">
        <v>1787</v>
      </c>
      <c r="D5" s="2995">
        <v>150000</v>
      </c>
      <c r="E5" s="2995">
        <v>150000</v>
      </c>
      <c r="F5" s="2995">
        <v>150000</v>
      </c>
      <c r="G5" s="2995">
        <v>150000</v>
      </c>
      <c r="H5" s="2995">
        <v>150000</v>
      </c>
      <c r="I5" s="2826">
        <f>+[3]Správa!$B$12</f>
        <v>150000</v>
      </c>
      <c r="J5" s="2827">
        <f>+I5-H5</f>
        <v>0</v>
      </c>
      <c r="K5" s="2860"/>
      <c r="L5" s="2861"/>
    </row>
    <row r="6" spans="1:13" ht="15.75" customHeight="1" outlineLevel="1">
      <c r="A6" s="2908">
        <v>6171</v>
      </c>
      <c r="B6" s="2829">
        <v>5171</v>
      </c>
      <c r="C6" s="2990" t="s">
        <v>2709</v>
      </c>
      <c r="D6" s="2996">
        <v>200000</v>
      </c>
      <c r="E6" s="2996">
        <v>200000</v>
      </c>
      <c r="F6" s="2996">
        <v>200000</v>
      </c>
      <c r="G6" s="2996">
        <v>200000</v>
      </c>
      <c r="H6" s="2996">
        <v>200000</v>
      </c>
      <c r="I6" s="2831">
        <f>+[3]Správa!$B$13</f>
        <v>200000</v>
      </c>
      <c r="J6" s="2832">
        <f t="shared" ref="J6:J69" si="0">+I6-H6</f>
        <v>0</v>
      </c>
      <c r="K6" s="2860"/>
      <c r="L6" s="2861"/>
    </row>
    <row r="7" spans="1:13" ht="15.75" customHeight="1" outlineLevel="1">
      <c r="A7" s="2908">
        <v>6171</v>
      </c>
      <c r="B7" s="2829">
        <v>5171</v>
      </c>
      <c r="C7" s="2990" t="s">
        <v>1815</v>
      </c>
      <c r="D7" s="2996">
        <v>420000</v>
      </c>
      <c r="E7" s="2996">
        <v>420000</v>
      </c>
      <c r="F7" s="2996">
        <v>420000</v>
      </c>
      <c r="G7" s="2996">
        <v>420000</v>
      </c>
      <c r="H7" s="2996">
        <v>420000</v>
      </c>
      <c r="I7" s="2831">
        <f>+[2]Správa!$B$69</f>
        <v>420000</v>
      </c>
      <c r="J7" s="2832">
        <f t="shared" si="0"/>
        <v>0</v>
      </c>
      <c r="K7" s="2860"/>
      <c r="L7" s="2861"/>
    </row>
    <row r="8" spans="1:13" ht="15.75" customHeight="1" outlineLevel="1">
      <c r="A8" s="2908">
        <v>6171</v>
      </c>
      <c r="B8" s="2829">
        <v>5171</v>
      </c>
      <c r="C8" s="2990" t="s">
        <v>1816</v>
      </c>
      <c r="D8" s="2996">
        <v>30000</v>
      </c>
      <c r="E8" s="2996">
        <v>30000</v>
      </c>
      <c r="F8" s="2996">
        <v>30000</v>
      </c>
      <c r="G8" s="2996">
        <v>30000</v>
      </c>
      <c r="H8" s="2996">
        <v>30000</v>
      </c>
      <c r="I8" s="2831">
        <f>+[2]Správa!$B$70</f>
        <v>30000</v>
      </c>
      <c r="J8" s="2832">
        <f t="shared" si="0"/>
        <v>0</v>
      </c>
      <c r="K8" s="2860"/>
      <c r="L8" s="2861"/>
    </row>
    <row r="9" spans="1:13" s="2868" customFormat="1" ht="12.4" thickBot="1">
      <c r="A9" s="3227" t="s">
        <v>213</v>
      </c>
      <c r="B9" s="3228"/>
      <c r="C9" s="2991"/>
      <c r="D9" s="2997">
        <v>800000</v>
      </c>
      <c r="E9" s="2997">
        <v>800000</v>
      </c>
      <c r="F9" s="2997">
        <v>800000</v>
      </c>
      <c r="G9" s="2997">
        <v>800000</v>
      </c>
      <c r="H9" s="2997">
        <v>800000</v>
      </c>
      <c r="I9" s="2864">
        <f t="shared" ref="I9" si="1">SUM(I5:I8)</f>
        <v>800000</v>
      </c>
      <c r="J9" s="2865">
        <f t="shared" si="0"/>
        <v>0</v>
      </c>
      <c r="K9" s="2866">
        <f>'Výdaje kapitol celkem'!R35</f>
        <v>800000</v>
      </c>
      <c r="L9" s="2867">
        <f>+K9-I9</f>
        <v>0</v>
      </c>
      <c r="M9" s="2168"/>
    </row>
    <row r="10" spans="1:13" ht="15.75" customHeight="1" outlineLevel="1" thickBot="1">
      <c r="A10" s="2907">
        <v>4351</v>
      </c>
      <c r="B10" s="2824">
        <v>5171</v>
      </c>
      <c r="C10" s="2989" t="s">
        <v>1817</v>
      </c>
      <c r="D10" s="2995">
        <v>60000</v>
      </c>
      <c r="E10" s="2995">
        <v>60000</v>
      </c>
      <c r="F10" s="2995">
        <v>60000</v>
      </c>
      <c r="G10" s="2995">
        <v>60000</v>
      </c>
      <c r="H10" s="2995">
        <v>60000</v>
      </c>
      <c r="I10" s="2826">
        <f>+'[2]Pečovatelská služba'!$B$60</f>
        <v>60000</v>
      </c>
      <c r="J10" s="2827">
        <f t="shared" si="0"/>
        <v>0</v>
      </c>
      <c r="K10" s="2860"/>
      <c r="L10" s="2867"/>
      <c r="M10" s="2168"/>
    </row>
    <row r="11" spans="1:13" ht="15.75" customHeight="1" outlineLevel="1">
      <c r="A11" s="2908">
        <v>4351</v>
      </c>
      <c r="B11" s="2829">
        <v>5171</v>
      </c>
      <c r="C11" s="2989" t="s">
        <v>2710</v>
      </c>
      <c r="D11" s="2996">
        <v>15000</v>
      </c>
      <c r="E11" s="2996">
        <v>15000</v>
      </c>
      <c r="F11" s="2996">
        <v>15000</v>
      </c>
      <c r="G11" s="2996">
        <v>15000</v>
      </c>
      <c r="H11" s="2996">
        <v>15000</v>
      </c>
      <c r="I11" s="2831">
        <f>+'[2]Pečovatelská služba'!$B$61</f>
        <v>15000</v>
      </c>
      <c r="J11" s="2832">
        <f t="shared" si="0"/>
        <v>0</v>
      </c>
      <c r="K11" s="2860"/>
      <c r="L11" s="2867"/>
      <c r="M11" s="2168"/>
    </row>
    <row r="12" spans="1:13" ht="15.75" hidden="1" customHeight="1" outlineLevel="1">
      <c r="A12" s="2908">
        <v>4351</v>
      </c>
      <c r="B12" s="2829">
        <v>5171</v>
      </c>
      <c r="C12" s="2990"/>
      <c r="D12" s="2996"/>
      <c r="E12" s="2996"/>
      <c r="F12" s="2996"/>
      <c r="G12" s="2996"/>
      <c r="H12" s="2996"/>
      <c r="I12" s="2837"/>
      <c r="J12" s="2838">
        <f t="shared" si="0"/>
        <v>0</v>
      </c>
      <c r="K12" s="2860"/>
      <c r="L12" s="2867"/>
      <c r="M12" s="2168"/>
    </row>
    <row r="13" spans="1:13" s="2868" customFormat="1" ht="12.4" thickBot="1">
      <c r="A13" s="3227" t="s">
        <v>214</v>
      </c>
      <c r="B13" s="3228"/>
      <c r="C13" s="2991"/>
      <c r="D13" s="2997">
        <v>75000</v>
      </c>
      <c r="E13" s="2997">
        <v>75000</v>
      </c>
      <c r="F13" s="2997">
        <v>75000</v>
      </c>
      <c r="G13" s="2997">
        <v>75000</v>
      </c>
      <c r="H13" s="2997">
        <v>75000</v>
      </c>
      <c r="I13" s="2864">
        <f t="shared" ref="I13" si="2">SUM(I10:I12)</f>
        <v>75000</v>
      </c>
      <c r="J13" s="2865">
        <f t="shared" si="0"/>
        <v>0</v>
      </c>
      <c r="K13" s="2866">
        <f>'Výdaje kapitol celkem'!W35</f>
        <v>75000</v>
      </c>
      <c r="L13" s="2867">
        <f>+K13-I13</f>
        <v>0</v>
      </c>
      <c r="M13" s="2168"/>
    </row>
    <row r="14" spans="1:13" ht="15.75" customHeight="1" outlineLevel="1">
      <c r="A14" s="2907" t="s">
        <v>197</v>
      </c>
      <c r="B14" s="2824">
        <v>5171</v>
      </c>
      <c r="C14" s="2989" t="s">
        <v>2411</v>
      </c>
      <c r="D14" s="2995">
        <v>120000</v>
      </c>
      <c r="E14" s="2995">
        <v>120000</v>
      </c>
      <c r="F14" s="2995">
        <v>120000</v>
      </c>
      <c r="G14" s="2995">
        <v>120000</v>
      </c>
      <c r="H14" s="2995">
        <v>120000</v>
      </c>
      <c r="I14" s="2826">
        <f>+'[2]Městská policie'!$B$86</f>
        <v>120000</v>
      </c>
      <c r="J14" s="2827">
        <f t="shared" si="0"/>
        <v>0</v>
      </c>
      <c r="K14" s="2860"/>
      <c r="L14" s="2867"/>
      <c r="M14" s="2168"/>
    </row>
    <row r="15" spans="1:13" ht="15.75" customHeight="1" outlineLevel="1">
      <c r="A15" s="2908" t="s">
        <v>197</v>
      </c>
      <c r="B15" s="2829">
        <v>5171</v>
      </c>
      <c r="C15" s="2990" t="s">
        <v>2412</v>
      </c>
      <c r="D15" s="2996">
        <v>23000</v>
      </c>
      <c r="E15" s="2996">
        <v>23000</v>
      </c>
      <c r="F15" s="2996">
        <v>23000</v>
      </c>
      <c r="G15" s="2996">
        <v>23000</v>
      </c>
      <c r="H15" s="2996">
        <v>23000</v>
      </c>
      <c r="I15" s="2831">
        <f>+'[2]Městská policie'!$B$87</f>
        <v>23000</v>
      </c>
      <c r="J15" s="2838">
        <f t="shared" si="0"/>
        <v>0</v>
      </c>
      <c r="K15" s="2860"/>
      <c r="L15" s="2867"/>
      <c r="M15" s="2168"/>
    </row>
    <row r="16" spans="1:13" s="2868" customFormat="1" ht="12.4" thickBot="1">
      <c r="A16" s="3227" t="s">
        <v>1178</v>
      </c>
      <c r="B16" s="3228"/>
      <c r="C16" s="2991"/>
      <c r="D16" s="2997">
        <v>143000</v>
      </c>
      <c r="E16" s="2997">
        <v>143000</v>
      </c>
      <c r="F16" s="2997">
        <v>143000</v>
      </c>
      <c r="G16" s="2997">
        <v>143000</v>
      </c>
      <c r="H16" s="2997">
        <v>143000</v>
      </c>
      <c r="I16" s="2864">
        <f t="shared" ref="I16" si="3">SUM(I14:I15)</f>
        <v>143000</v>
      </c>
      <c r="J16" s="2865">
        <f t="shared" si="0"/>
        <v>0</v>
      </c>
      <c r="K16" s="2866">
        <f>'Výdaje kapitol celkem'!Z35</f>
        <v>143000</v>
      </c>
      <c r="L16" s="2867">
        <f>+K16-I16</f>
        <v>0</v>
      </c>
      <c r="M16" s="2168"/>
    </row>
    <row r="17" spans="1:13" ht="15.75" hidden="1" customHeight="1" outlineLevel="1">
      <c r="A17" s="2907">
        <v>3314</v>
      </c>
      <c r="B17" s="2824">
        <v>5171</v>
      </c>
      <c r="C17" s="2989"/>
      <c r="D17" s="2995">
        <v>0</v>
      </c>
      <c r="E17" s="2995">
        <v>0</v>
      </c>
      <c r="F17" s="2995">
        <v>0</v>
      </c>
      <c r="G17" s="2995">
        <v>0</v>
      </c>
      <c r="H17" s="2995">
        <v>0</v>
      </c>
      <c r="I17" s="2826">
        <f>+[3]Knihovna!$B$27</f>
        <v>0</v>
      </c>
      <c r="J17" s="2827">
        <f t="shared" si="0"/>
        <v>0</v>
      </c>
      <c r="K17" s="2860"/>
      <c r="L17" s="2867"/>
      <c r="M17" s="2168"/>
    </row>
    <row r="18" spans="1:13" ht="15.75" customHeight="1" outlineLevel="1">
      <c r="A18" s="2908">
        <v>3314</v>
      </c>
      <c r="B18" s="2829">
        <v>5171</v>
      </c>
      <c r="C18" s="2990" t="s">
        <v>2246</v>
      </c>
      <c r="D18" s="2996">
        <v>0</v>
      </c>
      <c r="E18" s="2996">
        <v>0</v>
      </c>
      <c r="F18" s="2996">
        <v>0</v>
      </c>
      <c r="G18" s="2996">
        <v>0</v>
      </c>
      <c r="H18" s="2996">
        <v>0</v>
      </c>
      <c r="I18" s="2831">
        <f>+[3]Knihovna!$B$28</f>
        <v>0</v>
      </c>
      <c r="J18" s="2838">
        <f t="shared" si="0"/>
        <v>0</v>
      </c>
      <c r="K18" s="2860"/>
      <c r="L18" s="2867"/>
      <c r="M18" s="2168"/>
    </row>
    <row r="19" spans="1:13" ht="15.75" customHeight="1" outlineLevel="1">
      <c r="A19" s="2908">
        <v>3314</v>
      </c>
      <c r="B19" s="2829">
        <v>5171</v>
      </c>
      <c r="C19" s="2992" t="s">
        <v>2711</v>
      </c>
      <c r="D19" s="2998">
        <v>15000</v>
      </c>
      <c r="E19" s="2998">
        <v>15000</v>
      </c>
      <c r="F19" s="2998">
        <v>15000</v>
      </c>
      <c r="G19" s="2998">
        <v>15000</v>
      </c>
      <c r="H19" s="2998">
        <v>15000</v>
      </c>
      <c r="I19" s="2839">
        <f>+[2]Knihovna!$B$63</f>
        <v>15000</v>
      </c>
      <c r="J19" s="2873">
        <f t="shared" si="0"/>
        <v>0</v>
      </c>
      <c r="K19" s="2860"/>
      <c r="L19" s="2867"/>
      <c r="M19" s="2168"/>
    </row>
    <row r="20" spans="1:13" ht="15.75" customHeight="1" outlineLevel="1">
      <c r="A20" s="2908">
        <v>3314</v>
      </c>
      <c r="B20" s="2829">
        <v>5171</v>
      </c>
      <c r="C20" s="2990"/>
      <c r="D20" s="2996"/>
      <c r="E20" s="2996"/>
      <c r="F20" s="2996"/>
      <c r="G20" s="2996"/>
      <c r="H20" s="2996"/>
      <c r="I20" s="2831"/>
      <c r="J20" s="2838">
        <f t="shared" si="0"/>
        <v>0</v>
      </c>
      <c r="K20" s="2860"/>
      <c r="L20" s="2867"/>
      <c r="M20" s="2168"/>
    </row>
    <row r="21" spans="1:13" ht="15.75" hidden="1" customHeight="1" outlineLevel="1">
      <c r="A21" s="3019"/>
      <c r="B21" s="2876"/>
      <c r="C21" s="2993"/>
      <c r="D21" s="2999"/>
      <c r="E21" s="2999"/>
      <c r="F21" s="2999"/>
      <c r="G21" s="2999"/>
      <c r="H21" s="2999"/>
      <c r="I21" s="2841"/>
      <c r="J21" s="2877">
        <f t="shared" si="0"/>
        <v>0</v>
      </c>
      <c r="K21" s="2860"/>
      <c r="L21" s="2867"/>
      <c r="M21" s="2168"/>
    </row>
    <row r="22" spans="1:13" s="2868" customFormat="1" ht="12.4" thickBot="1">
      <c r="A22" s="3227" t="s">
        <v>1179</v>
      </c>
      <c r="B22" s="3228"/>
      <c r="C22" s="2991"/>
      <c r="D22" s="2997">
        <v>15000</v>
      </c>
      <c r="E22" s="2997">
        <v>15000</v>
      </c>
      <c r="F22" s="2997">
        <v>15000</v>
      </c>
      <c r="G22" s="2997">
        <v>15000</v>
      </c>
      <c r="H22" s="2997">
        <v>15000</v>
      </c>
      <c r="I22" s="2864">
        <f>SUM(I17:I21)</f>
        <v>15000</v>
      </c>
      <c r="J22" s="2865">
        <f t="shared" si="0"/>
        <v>0</v>
      </c>
      <c r="K22" s="2866">
        <f>'Výdaje kapitol celkem'!AC35</f>
        <v>15000</v>
      </c>
      <c r="L22" s="2867">
        <f>+K22-I22</f>
        <v>0</v>
      </c>
      <c r="M22" s="2168"/>
    </row>
    <row r="23" spans="1:13" ht="24" customHeight="1" outlineLevel="1">
      <c r="A23" s="2907">
        <v>3612</v>
      </c>
      <c r="B23" s="2824">
        <v>5171</v>
      </c>
      <c r="C23" s="2989" t="s">
        <v>1780</v>
      </c>
      <c r="D23" s="2995">
        <v>590000</v>
      </c>
      <c r="E23" s="2995">
        <v>590000</v>
      </c>
      <c r="F23" s="2995">
        <v>590000</v>
      </c>
      <c r="G23" s="2995">
        <v>590000</v>
      </c>
      <c r="H23" s="2995">
        <v>590000</v>
      </c>
      <c r="I23" s="2826">
        <f>+[3]Byty!$B$33</f>
        <v>590000</v>
      </c>
      <c r="J23" s="2827">
        <f t="shared" si="0"/>
        <v>0</v>
      </c>
      <c r="K23" s="2860"/>
      <c r="L23" s="2867"/>
      <c r="M23" s="2168"/>
    </row>
    <row r="24" spans="1:13" ht="15.75" customHeight="1" outlineLevel="1">
      <c r="A24" s="2908">
        <v>3612</v>
      </c>
      <c r="B24" s="2829">
        <v>5171</v>
      </c>
      <c r="C24" s="2990" t="s">
        <v>1781</v>
      </c>
      <c r="D24" s="2996">
        <v>100000</v>
      </c>
      <c r="E24" s="2996">
        <v>100000</v>
      </c>
      <c r="F24" s="2996">
        <v>100000</v>
      </c>
      <c r="G24" s="2996">
        <v>100000</v>
      </c>
      <c r="H24" s="2996">
        <v>100000</v>
      </c>
      <c r="I24" s="2831">
        <f>+[3]Byty!$B$34</f>
        <v>100000</v>
      </c>
      <c r="J24" s="2832">
        <f t="shared" si="0"/>
        <v>0</v>
      </c>
      <c r="K24" s="2860"/>
      <c r="L24" s="2867"/>
      <c r="M24" s="2168"/>
    </row>
    <row r="25" spans="1:13" ht="23.25" customHeight="1" outlineLevel="1">
      <c r="A25" s="2909">
        <v>3612</v>
      </c>
      <c r="B25" s="2876">
        <v>5171</v>
      </c>
      <c r="C25" s="2992" t="s">
        <v>1782</v>
      </c>
      <c r="D25" s="2998">
        <v>50000</v>
      </c>
      <c r="E25" s="2998">
        <v>50000</v>
      </c>
      <c r="F25" s="2998">
        <v>50000</v>
      </c>
      <c r="G25" s="2998">
        <v>50000</v>
      </c>
      <c r="H25" s="2998">
        <v>50000</v>
      </c>
      <c r="I25" s="2839">
        <f>+[3]Byty!$B$35</f>
        <v>50000</v>
      </c>
      <c r="J25" s="2880">
        <f t="shared" si="0"/>
        <v>0</v>
      </c>
      <c r="K25" s="2860"/>
      <c r="L25" s="2867"/>
      <c r="M25" s="2168"/>
    </row>
    <row r="26" spans="1:13" ht="18" customHeight="1" outlineLevel="1">
      <c r="A26" s="2909">
        <v>3612</v>
      </c>
      <c r="B26" s="2876">
        <v>5171</v>
      </c>
      <c r="C26" s="2992" t="s">
        <v>1783</v>
      </c>
      <c r="D26" s="2998">
        <v>900000</v>
      </c>
      <c r="E26" s="2998">
        <v>900000</v>
      </c>
      <c r="F26" s="2998">
        <v>900000</v>
      </c>
      <c r="G26" s="2998">
        <v>900000</v>
      </c>
      <c r="H26" s="2998">
        <v>900000</v>
      </c>
      <c r="I26" s="2839">
        <f>+[3]Byty!$B$36</f>
        <v>900000</v>
      </c>
      <c r="J26" s="2880">
        <f t="shared" si="0"/>
        <v>0</v>
      </c>
      <c r="K26" s="2860"/>
      <c r="L26" s="2867"/>
      <c r="M26" s="2168"/>
    </row>
    <row r="27" spans="1:13" ht="22.5" customHeight="1" outlineLevel="1">
      <c r="A27" s="2909">
        <v>3612</v>
      </c>
      <c r="B27" s="2876">
        <v>5171</v>
      </c>
      <c r="C27" s="2992" t="s">
        <v>1784</v>
      </c>
      <c r="D27" s="2998">
        <v>900000</v>
      </c>
      <c r="E27" s="2998">
        <v>900000</v>
      </c>
      <c r="F27" s="2998">
        <v>900000</v>
      </c>
      <c r="G27" s="2998">
        <v>900000</v>
      </c>
      <c r="H27" s="2998">
        <v>900000</v>
      </c>
      <c r="I27" s="2839">
        <f>+[3]Byty!$B$37</f>
        <v>900000</v>
      </c>
      <c r="J27" s="2880">
        <f t="shared" si="0"/>
        <v>0</v>
      </c>
      <c r="K27" s="2860"/>
      <c r="L27" s="2867"/>
      <c r="M27" s="2168"/>
    </row>
    <row r="28" spans="1:13" ht="22.5" customHeight="1" outlineLevel="1">
      <c r="A28" s="3020">
        <v>3612</v>
      </c>
      <c r="B28" s="2876">
        <v>5171</v>
      </c>
      <c r="C28" s="2994" t="s">
        <v>1785</v>
      </c>
      <c r="D28" s="3000">
        <v>500000</v>
      </c>
      <c r="E28" s="3000">
        <v>2300000</v>
      </c>
      <c r="F28" s="3000">
        <v>2300000</v>
      </c>
      <c r="G28" s="3000">
        <v>2300000</v>
      </c>
      <c r="H28" s="3000">
        <v>2300000</v>
      </c>
      <c r="I28" s="3061">
        <f>+[3]Byty!$B$38</f>
        <v>2300000</v>
      </c>
      <c r="J28" s="2890">
        <f t="shared" si="0"/>
        <v>0</v>
      </c>
      <c r="K28" s="2860"/>
      <c r="L28" s="2867"/>
      <c r="M28" s="2168"/>
    </row>
    <row r="29" spans="1:13" ht="22.5" customHeight="1" outlineLevel="1">
      <c r="A29" s="3020">
        <v>3612</v>
      </c>
      <c r="B29" s="3011">
        <v>5171</v>
      </c>
      <c r="C29" s="2994" t="s">
        <v>2681</v>
      </c>
      <c r="D29" s="3000"/>
      <c r="E29" s="3000">
        <v>500000</v>
      </c>
      <c r="F29" s="3000">
        <v>500000</v>
      </c>
      <c r="G29" s="3000">
        <v>500000</v>
      </c>
      <c r="H29" s="3000">
        <v>500000</v>
      </c>
      <c r="I29" s="2883">
        <f>+[3]Byty!$B$39</f>
        <v>500000</v>
      </c>
      <c r="J29" s="2890">
        <f t="shared" si="0"/>
        <v>0</v>
      </c>
      <c r="K29" s="2860"/>
      <c r="L29" s="2867"/>
      <c r="M29" s="2168"/>
    </row>
    <row r="30" spans="1:13" s="2868" customFormat="1" ht="12.4" thickBot="1">
      <c r="A30" s="3227" t="s">
        <v>200</v>
      </c>
      <c r="B30" s="3228"/>
      <c r="C30" s="2991"/>
      <c r="D30" s="2997">
        <v>3040000</v>
      </c>
      <c r="E30" s="2997">
        <v>5340000</v>
      </c>
      <c r="F30" s="2997">
        <v>5340000</v>
      </c>
      <c r="G30" s="2997">
        <v>5340000</v>
      </c>
      <c r="H30" s="2997">
        <v>5340000</v>
      </c>
      <c r="I30" s="2864">
        <f>SUM(I23:I29)</f>
        <v>5340000</v>
      </c>
      <c r="J30" s="2865">
        <f t="shared" si="0"/>
        <v>0</v>
      </c>
      <c r="K30" s="2866">
        <f>'Výdaje kapitol celkem'!AF35</f>
        <v>5340000</v>
      </c>
      <c r="L30" s="2867">
        <f>+K30-I30</f>
        <v>0</v>
      </c>
      <c r="M30" s="2168"/>
    </row>
    <row r="31" spans="1:13" ht="16.5" customHeight="1" outlineLevel="1">
      <c r="A31" s="2909" t="s">
        <v>199</v>
      </c>
      <c r="B31" s="2876">
        <v>5171</v>
      </c>
      <c r="C31" s="2992" t="s">
        <v>1768</v>
      </c>
      <c r="D31" s="2998">
        <v>1100000</v>
      </c>
      <c r="E31" s="2998">
        <v>1100000</v>
      </c>
      <c r="F31" s="2998">
        <v>1100000</v>
      </c>
      <c r="G31" s="2998">
        <v>1100000</v>
      </c>
      <c r="H31" s="2998">
        <v>1100000</v>
      </c>
      <c r="I31" s="2839">
        <f>+[3]DPS!$B$34</f>
        <v>1100000</v>
      </c>
      <c r="J31" s="2880">
        <f t="shared" si="0"/>
        <v>0</v>
      </c>
      <c r="K31" s="2860"/>
      <c r="L31" s="2867"/>
      <c r="M31" s="2168"/>
    </row>
    <row r="32" spans="1:13" ht="16.5" customHeight="1" outlineLevel="1">
      <c r="A32" s="2909" t="s">
        <v>199</v>
      </c>
      <c r="B32" s="2876">
        <v>5171</v>
      </c>
      <c r="C32" s="2992" t="s">
        <v>2211</v>
      </c>
      <c r="D32" s="2998">
        <v>250000</v>
      </c>
      <c r="E32" s="2998">
        <v>250000</v>
      </c>
      <c r="F32" s="2998">
        <v>250000</v>
      </c>
      <c r="G32" s="2998">
        <v>250000</v>
      </c>
      <c r="H32" s="2998">
        <v>250000</v>
      </c>
      <c r="I32" s="2839">
        <f>+[3]DPS!$B$35</f>
        <v>250000</v>
      </c>
      <c r="J32" s="2880">
        <f t="shared" si="0"/>
        <v>0</v>
      </c>
      <c r="K32" s="2860"/>
      <c r="L32" s="2867"/>
      <c r="M32" s="2168"/>
    </row>
    <row r="33" spans="1:13" ht="16.5" customHeight="1" outlineLevel="1">
      <c r="A33" s="2909" t="s">
        <v>199</v>
      </c>
      <c r="B33" s="2876">
        <v>5171</v>
      </c>
      <c r="C33" s="2992" t="s">
        <v>2212</v>
      </c>
      <c r="D33" s="2998">
        <v>260000</v>
      </c>
      <c r="E33" s="2998">
        <v>260000</v>
      </c>
      <c r="F33" s="2998">
        <v>260000</v>
      </c>
      <c r="G33" s="2998">
        <v>260000</v>
      </c>
      <c r="H33" s="2998">
        <v>260000</v>
      </c>
      <c r="I33" s="2839">
        <f>+[3]DPS!$B$36</f>
        <v>260000</v>
      </c>
      <c r="J33" s="2880">
        <f t="shared" si="0"/>
        <v>0</v>
      </c>
      <c r="K33" s="2860"/>
      <c r="L33" s="2867"/>
      <c r="M33" s="2168"/>
    </row>
    <row r="34" spans="1:13" ht="26.25" hidden="1" customHeight="1" outlineLevel="1">
      <c r="A34" s="2909" t="s">
        <v>199</v>
      </c>
      <c r="B34" s="2876">
        <v>5171</v>
      </c>
      <c r="C34" s="2992" t="s">
        <v>1769</v>
      </c>
      <c r="D34" s="2998"/>
      <c r="E34" s="2998"/>
      <c r="F34" s="2998"/>
      <c r="G34" s="2998"/>
      <c r="H34" s="2998"/>
      <c r="I34" s="2839"/>
      <c r="J34" s="2880">
        <f t="shared" si="0"/>
        <v>0</v>
      </c>
      <c r="K34" s="2860"/>
      <c r="L34" s="2867"/>
      <c r="M34" s="2168"/>
    </row>
    <row r="35" spans="1:13" ht="16.5" customHeight="1" outlineLevel="1">
      <c r="A35" s="2909" t="s">
        <v>199</v>
      </c>
      <c r="B35" s="2876">
        <v>5171</v>
      </c>
      <c r="C35" s="2992" t="s">
        <v>1770</v>
      </c>
      <c r="D35" s="2998">
        <v>1800000</v>
      </c>
      <c r="E35" s="2998">
        <v>1800000</v>
      </c>
      <c r="F35" s="2998">
        <v>1800000</v>
      </c>
      <c r="G35" s="2998">
        <v>1800000</v>
      </c>
      <c r="H35" s="2998">
        <v>1800000</v>
      </c>
      <c r="I35" s="3062">
        <f>+[3]DPS!$B$37</f>
        <v>1800000</v>
      </c>
      <c r="J35" s="2880">
        <f t="shared" si="0"/>
        <v>0</v>
      </c>
      <c r="K35" s="2860"/>
      <c r="L35" s="2867"/>
      <c r="M35" s="2168"/>
    </row>
    <row r="36" spans="1:13" ht="12.4" thickBot="1">
      <c r="A36" s="3227" t="s">
        <v>201</v>
      </c>
      <c r="B36" s="3228"/>
      <c r="C36" s="2991"/>
      <c r="D36" s="2997">
        <v>3410000</v>
      </c>
      <c r="E36" s="2997">
        <v>3410000</v>
      </c>
      <c r="F36" s="2997">
        <v>3410000</v>
      </c>
      <c r="G36" s="2997">
        <v>3410000</v>
      </c>
      <c r="H36" s="2997">
        <v>3410000</v>
      </c>
      <c r="I36" s="2864">
        <f>SUM(I31:I35)</f>
        <v>3410000</v>
      </c>
      <c r="J36" s="2865">
        <f t="shared" si="0"/>
        <v>0</v>
      </c>
      <c r="K36" s="2866">
        <f>'Výdaje kapitol celkem'!AI35</f>
        <v>3410000</v>
      </c>
      <c r="L36" s="2867">
        <f>+K36-I36</f>
        <v>0</v>
      </c>
      <c r="M36" s="2168"/>
    </row>
    <row r="37" spans="1:13" ht="16.5" customHeight="1" outlineLevel="1">
      <c r="A37" s="2908" t="s">
        <v>1255</v>
      </c>
      <c r="B37" s="2829">
        <v>5171</v>
      </c>
      <c r="C37" s="2990" t="s">
        <v>1778</v>
      </c>
      <c r="D37" s="2996">
        <v>200000</v>
      </c>
      <c r="E37" s="2996">
        <v>200000</v>
      </c>
      <c r="F37" s="2996">
        <v>200000</v>
      </c>
      <c r="G37" s="2996">
        <v>200000</v>
      </c>
      <c r="H37" s="2996">
        <v>200000</v>
      </c>
      <c r="I37" s="2831">
        <f>+'[3]Hotel Budka'!$B$26</f>
        <v>200000</v>
      </c>
      <c r="J37" s="2832">
        <f t="shared" si="0"/>
        <v>0</v>
      </c>
      <c r="K37" s="2860"/>
      <c r="L37" s="2867"/>
      <c r="M37" s="2168"/>
    </row>
    <row r="38" spans="1:13" ht="16.5" customHeight="1" outlineLevel="1">
      <c r="A38" s="2909" t="s">
        <v>1255</v>
      </c>
      <c r="B38" s="2876">
        <v>5171</v>
      </c>
      <c r="C38" s="2992"/>
      <c r="D38" s="2998">
        <v>0</v>
      </c>
      <c r="E38" s="2998">
        <v>0</v>
      </c>
      <c r="F38" s="2998">
        <v>0</v>
      </c>
      <c r="G38" s="2998">
        <v>0</v>
      </c>
      <c r="H38" s="2998">
        <v>0</v>
      </c>
      <c r="I38" s="2839">
        <f>+'[3]Hotel Budka'!$B$27</f>
        <v>0</v>
      </c>
      <c r="J38" s="2880">
        <f t="shared" si="0"/>
        <v>0</v>
      </c>
      <c r="K38" s="2860"/>
      <c r="L38" s="2867"/>
      <c r="M38" s="2168"/>
    </row>
    <row r="39" spans="1:13" ht="16.5" hidden="1" customHeight="1" outlineLevel="1">
      <c r="A39" s="2909" t="s">
        <v>1255</v>
      </c>
      <c r="B39" s="2876">
        <v>5171</v>
      </c>
      <c r="C39" s="2994"/>
      <c r="D39" s="3000">
        <v>0</v>
      </c>
      <c r="E39" s="3000">
        <v>0</v>
      </c>
      <c r="F39" s="3000">
        <v>0</v>
      </c>
      <c r="G39" s="3000">
        <v>0</v>
      </c>
      <c r="H39" s="3000">
        <v>0</v>
      </c>
      <c r="I39" s="2883">
        <f>+'[3]Hotel Budka'!$B$28</f>
        <v>0</v>
      </c>
      <c r="J39" s="2890">
        <f t="shared" si="0"/>
        <v>0</v>
      </c>
      <c r="K39" s="2860"/>
      <c r="L39" s="2867"/>
      <c r="M39" s="2168"/>
    </row>
    <row r="40" spans="1:13" ht="12.4" thickBot="1">
      <c r="A40" s="3227" t="s">
        <v>1443</v>
      </c>
      <c r="B40" s="3228"/>
      <c r="C40" s="2991"/>
      <c r="D40" s="2997">
        <v>200000</v>
      </c>
      <c r="E40" s="2997">
        <v>200000</v>
      </c>
      <c r="F40" s="2997">
        <v>200000</v>
      </c>
      <c r="G40" s="2997">
        <v>200000</v>
      </c>
      <c r="H40" s="2997">
        <v>200000</v>
      </c>
      <c r="I40" s="2864">
        <f t="shared" ref="I40" si="4">SUM(I37:I39)</f>
        <v>200000</v>
      </c>
      <c r="J40" s="2865">
        <f t="shared" si="0"/>
        <v>0</v>
      </c>
      <c r="K40" s="2866">
        <f>'Výdaje kapitol celkem'!AB35</f>
        <v>200000</v>
      </c>
      <c r="L40" s="2867">
        <f>+K40-I40</f>
        <v>0</v>
      </c>
      <c r="M40" s="2168"/>
    </row>
    <row r="41" spans="1:13" outlineLevel="1">
      <c r="A41" s="2908">
        <v>3613</v>
      </c>
      <c r="B41" s="2829">
        <v>5171</v>
      </c>
      <c r="C41" s="2990" t="s">
        <v>1773</v>
      </c>
      <c r="D41" s="2996">
        <v>240000</v>
      </c>
      <c r="E41" s="2996">
        <v>240000</v>
      </c>
      <c r="F41" s="2996">
        <v>240000</v>
      </c>
      <c r="G41" s="2996">
        <v>240000</v>
      </c>
      <c r="H41" s="2996">
        <v>240000</v>
      </c>
      <c r="I41" s="2831">
        <f>+[3]Nebyty!$B$12</f>
        <v>240000</v>
      </c>
      <c r="J41" s="2832">
        <f t="shared" si="0"/>
        <v>0</v>
      </c>
      <c r="K41" s="2860"/>
      <c r="L41" s="2867"/>
      <c r="M41" s="2168"/>
    </row>
    <row r="42" spans="1:13" ht="16.5" customHeight="1" outlineLevel="1">
      <c r="A42" s="2909">
        <v>3613</v>
      </c>
      <c r="B42" s="2876">
        <v>5171</v>
      </c>
      <c r="C42" s="2992" t="s">
        <v>1774</v>
      </c>
      <c r="D42" s="2998">
        <v>50000</v>
      </c>
      <c r="E42" s="2998">
        <v>50000</v>
      </c>
      <c r="F42" s="2998">
        <v>50000</v>
      </c>
      <c r="G42" s="2998">
        <v>50000</v>
      </c>
      <c r="H42" s="2998">
        <v>50000</v>
      </c>
      <c r="I42" s="2839">
        <f>+[3]Nebyty!$B$13</f>
        <v>50000</v>
      </c>
      <c r="J42" s="2880">
        <f t="shared" si="0"/>
        <v>0</v>
      </c>
      <c r="K42" s="2860"/>
      <c r="L42" s="2867"/>
      <c r="M42" s="2168"/>
    </row>
    <row r="43" spans="1:13" ht="16.5" customHeight="1" outlineLevel="1">
      <c r="A43" s="2909">
        <v>3613</v>
      </c>
      <c r="B43" s="2876">
        <v>5171</v>
      </c>
      <c r="C43" s="2994" t="s">
        <v>2206</v>
      </c>
      <c r="D43" s="3000">
        <v>80000</v>
      </c>
      <c r="E43" s="3000">
        <v>80000</v>
      </c>
      <c r="F43" s="3000">
        <v>80000</v>
      </c>
      <c r="G43" s="3000">
        <v>80000</v>
      </c>
      <c r="H43" s="3000">
        <v>80000</v>
      </c>
      <c r="I43" s="2883">
        <f>+[3]Nebyty!$B$14</f>
        <v>80000</v>
      </c>
      <c r="J43" s="2890">
        <f t="shared" si="0"/>
        <v>0</v>
      </c>
      <c r="K43" s="2860"/>
      <c r="L43" s="2867"/>
      <c r="M43" s="2168"/>
    </row>
    <row r="44" spans="1:13" ht="16.5" customHeight="1" outlineLevel="1">
      <c r="A44" s="2909">
        <v>3613</v>
      </c>
      <c r="B44" s="2876">
        <v>5171</v>
      </c>
      <c r="C44" s="2994" t="s">
        <v>1775</v>
      </c>
      <c r="D44" s="3000">
        <v>240000</v>
      </c>
      <c r="E44" s="3000">
        <v>240000</v>
      </c>
      <c r="F44" s="3000">
        <v>240000</v>
      </c>
      <c r="G44" s="3000">
        <v>240000</v>
      </c>
      <c r="H44" s="3000">
        <v>240000</v>
      </c>
      <c r="I44" s="2883">
        <f>+[3]Nebyty!$B$15</f>
        <v>240000</v>
      </c>
      <c r="J44" s="2890">
        <f t="shared" si="0"/>
        <v>0</v>
      </c>
      <c r="K44" s="2860"/>
      <c r="L44" s="2867"/>
      <c r="M44" s="2168"/>
    </row>
    <row r="45" spans="1:13" ht="16.5" customHeight="1" outlineLevel="1">
      <c r="A45" s="2909">
        <v>3613</v>
      </c>
      <c r="B45" s="2876">
        <v>5171</v>
      </c>
      <c r="C45" s="2994" t="s">
        <v>1776</v>
      </c>
      <c r="D45" s="3000">
        <v>200000</v>
      </c>
      <c r="E45" s="3000">
        <v>200000</v>
      </c>
      <c r="F45" s="3000">
        <v>200000</v>
      </c>
      <c r="G45" s="3000">
        <v>200000</v>
      </c>
      <c r="H45" s="3000">
        <v>200000</v>
      </c>
      <c r="I45" s="2883">
        <f>+[3]Nebyty!$B$16</f>
        <v>200000</v>
      </c>
      <c r="J45" s="2890">
        <f t="shared" si="0"/>
        <v>0</v>
      </c>
      <c r="K45" s="2860"/>
      <c r="L45" s="2867"/>
      <c r="M45" s="2168"/>
    </row>
    <row r="46" spans="1:13" ht="16.5" customHeight="1" outlineLevel="1">
      <c r="A46" s="2909">
        <v>3613</v>
      </c>
      <c r="B46" s="2876">
        <v>5171</v>
      </c>
      <c r="C46" s="2994" t="s">
        <v>1777</v>
      </c>
      <c r="D46" s="3000">
        <v>500000</v>
      </c>
      <c r="E46" s="3000">
        <v>500000</v>
      </c>
      <c r="F46" s="3000">
        <v>500000</v>
      </c>
      <c r="G46" s="3000">
        <v>500000</v>
      </c>
      <c r="H46" s="3000">
        <v>500000</v>
      </c>
      <c r="I46" s="2883">
        <f>+[3]Nebyty!$B$17</f>
        <v>500000</v>
      </c>
      <c r="J46" s="2890">
        <f t="shared" si="0"/>
        <v>0</v>
      </c>
      <c r="K46" s="2860"/>
      <c r="L46" s="2867"/>
      <c r="M46" s="2168"/>
    </row>
    <row r="47" spans="1:13" ht="12.4" thickBot="1">
      <c r="A47" s="3227" t="s">
        <v>202</v>
      </c>
      <c r="B47" s="3228"/>
      <c r="C47" s="2991"/>
      <c r="D47" s="2997">
        <v>1310000</v>
      </c>
      <c r="E47" s="2997">
        <v>1310000</v>
      </c>
      <c r="F47" s="2997">
        <v>1310000</v>
      </c>
      <c r="G47" s="2997">
        <v>1310000</v>
      </c>
      <c r="H47" s="2997">
        <v>1310000</v>
      </c>
      <c r="I47" s="2864">
        <f t="shared" ref="I47" si="5">SUM(I41:I46)</f>
        <v>1310000</v>
      </c>
      <c r="J47" s="2865">
        <f t="shared" si="0"/>
        <v>0</v>
      </c>
      <c r="K47" s="2866">
        <f>'Výdaje kapitol celkem'!AL35</f>
        <v>1310000</v>
      </c>
      <c r="L47" s="2867">
        <f>+K47-I47</f>
        <v>0</v>
      </c>
      <c r="M47" s="2168"/>
    </row>
    <row r="48" spans="1:13" ht="20.25" customHeight="1" outlineLevel="1">
      <c r="A48" s="2908">
        <v>5512</v>
      </c>
      <c r="B48" s="2829">
        <v>5171</v>
      </c>
      <c r="C48" s="2990" t="s">
        <v>1745</v>
      </c>
      <c r="D48" s="2996">
        <v>150000</v>
      </c>
      <c r="E48" s="2996">
        <v>150000</v>
      </c>
      <c r="F48" s="2996">
        <v>150000</v>
      </c>
      <c r="G48" s="2996">
        <v>150000</v>
      </c>
      <c r="H48" s="2996">
        <v>150000</v>
      </c>
      <c r="I48" s="2831">
        <f>+[3]Hasiči!$B$26</f>
        <v>150000</v>
      </c>
      <c r="J48" s="2832">
        <f t="shared" si="0"/>
        <v>0</v>
      </c>
      <c r="K48" s="2860"/>
      <c r="L48" s="2867"/>
      <c r="M48" s="2168"/>
    </row>
    <row r="49" spans="1:13" ht="20.25" customHeight="1" outlineLevel="1">
      <c r="A49" s="2909">
        <v>5512</v>
      </c>
      <c r="B49" s="2876">
        <v>5171</v>
      </c>
      <c r="C49" s="2992" t="s">
        <v>2422</v>
      </c>
      <c r="D49" s="2998">
        <v>75000</v>
      </c>
      <c r="E49" s="2998">
        <v>75000</v>
      </c>
      <c r="F49" s="2998">
        <v>75000</v>
      </c>
      <c r="G49" s="2998">
        <v>75000</v>
      </c>
      <c r="H49" s="2998">
        <v>75000</v>
      </c>
      <c r="I49" s="2839">
        <f>+[2]Hasiči!$B$62</f>
        <v>75000</v>
      </c>
      <c r="J49" s="2832">
        <f t="shared" si="0"/>
        <v>0</v>
      </c>
      <c r="K49" s="2860"/>
      <c r="L49" s="2867"/>
      <c r="M49" s="2168"/>
    </row>
    <row r="50" spans="1:13" ht="20.25" customHeight="1" outlineLevel="1">
      <c r="A50" s="2909">
        <v>5512</v>
      </c>
      <c r="B50" s="2876">
        <v>5171</v>
      </c>
      <c r="C50" s="2992" t="s">
        <v>2423</v>
      </c>
      <c r="D50" s="2998">
        <v>200000</v>
      </c>
      <c r="E50" s="2998">
        <v>200000</v>
      </c>
      <c r="F50" s="2998">
        <v>200000</v>
      </c>
      <c r="G50" s="2998">
        <v>200000</v>
      </c>
      <c r="H50" s="2998">
        <v>200000</v>
      </c>
      <c r="I50" s="2839">
        <f>+[2]Hasiči!$B$63</f>
        <v>200000</v>
      </c>
      <c r="J50" s="2832">
        <f t="shared" si="0"/>
        <v>0</v>
      </c>
      <c r="K50" s="2860"/>
      <c r="L50" s="2867"/>
      <c r="M50" s="2168"/>
    </row>
    <row r="51" spans="1:13" ht="20.25" hidden="1" customHeight="1" outlineLevel="1">
      <c r="A51" s="2909">
        <v>5512</v>
      </c>
      <c r="B51" s="2876">
        <v>5171</v>
      </c>
      <c r="C51" s="2992"/>
      <c r="D51" s="2998"/>
      <c r="E51" s="2998"/>
      <c r="F51" s="2998"/>
      <c r="G51" s="2998"/>
      <c r="H51" s="2998"/>
      <c r="I51" s="2839"/>
      <c r="J51" s="2880">
        <f t="shared" si="0"/>
        <v>0</v>
      </c>
      <c r="K51" s="2860"/>
      <c r="L51" s="2867"/>
      <c r="M51" s="2168"/>
    </row>
    <row r="52" spans="1:13" ht="12.4" thickBot="1">
      <c r="A52" s="3227" t="s">
        <v>203</v>
      </c>
      <c r="B52" s="3228"/>
      <c r="C52" s="2991"/>
      <c r="D52" s="2997">
        <v>425000</v>
      </c>
      <c r="E52" s="2997">
        <v>425000</v>
      </c>
      <c r="F52" s="2997">
        <v>425000</v>
      </c>
      <c r="G52" s="2997">
        <v>425000</v>
      </c>
      <c r="H52" s="2997">
        <v>425000</v>
      </c>
      <c r="I52" s="2864">
        <f>SUM(I48:I51)</f>
        <v>425000</v>
      </c>
      <c r="J52" s="2865">
        <f t="shared" si="0"/>
        <v>0</v>
      </c>
      <c r="K52" s="2866">
        <f>'Výdaje kapitol celkem'!AO35</f>
        <v>425000</v>
      </c>
      <c r="L52" s="2867">
        <f>+K52-I52</f>
        <v>0</v>
      </c>
      <c r="M52" s="2168"/>
    </row>
    <row r="53" spans="1:13" ht="20.25" customHeight="1" outlineLevel="1">
      <c r="A53" s="2908">
        <v>3519</v>
      </c>
      <c r="B53" s="2829">
        <v>5171</v>
      </c>
      <c r="C53" s="2990" t="s">
        <v>1764</v>
      </c>
      <c r="D53" s="2996">
        <v>150000</v>
      </c>
      <c r="E53" s="2996">
        <v>150000</v>
      </c>
      <c r="F53" s="2996">
        <v>150000</v>
      </c>
      <c r="G53" s="2996">
        <v>150000</v>
      </c>
      <c r="H53" s="2996">
        <v>150000</v>
      </c>
      <c r="I53" s="2831">
        <f>+'[3]Zdrav. středisko'!$B$12</f>
        <v>150000</v>
      </c>
      <c r="J53" s="2832">
        <f t="shared" si="0"/>
        <v>0</v>
      </c>
      <c r="K53" s="2860"/>
      <c r="L53" s="2867"/>
      <c r="M53" s="2168"/>
    </row>
    <row r="54" spans="1:13" ht="18.75" customHeight="1" outlineLevel="1">
      <c r="A54" s="2909">
        <v>3519</v>
      </c>
      <c r="B54" s="2876">
        <v>5171</v>
      </c>
      <c r="C54" s="2992" t="s">
        <v>1765</v>
      </c>
      <c r="D54" s="2998">
        <v>200000</v>
      </c>
      <c r="E54" s="2998">
        <v>200000</v>
      </c>
      <c r="F54" s="2998">
        <v>200000</v>
      </c>
      <c r="G54" s="2998">
        <v>200000</v>
      </c>
      <c r="H54" s="2998">
        <v>200000</v>
      </c>
      <c r="I54" s="2839">
        <f>+'[3]Zdrav. středisko'!$B$13</f>
        <v>200000</v>
      </c>
      <c r="J54" s="2880">
        <f t="shared" si="0"/>
        <v>0</v>
      </c>
      <c r="K54" s="2860"/>
      <c r="L54" s="2867"/>
      <c r="M54" s="2168"/>
    </row>
    <row r="55" spans="1:13" ht="12.4" collapsed="1" thickBot="1">
      <c r="A55" s="3227" t="s">
        <v>204</v>
      </c>
      <c r="B55" s="3228"/>
      <c r="C55" s="2991"/>
      <c r="D55" s="2997">
        <v>350000</v>
      </c>
      <c r="E55" s="2997">
        <v>350000</v>
      </c>
      <c r="F55" s="2997">
        <v>350000</v>
      </c>
      <c r="G55" s="2997">
        <v>350000</v>
      </c>
      <c r="H55" s="2997">
        <v>350000</v>
      </c>
      <c r="I55" s="2864">
        <f t="shared" ref="I55" si="6">SUM(I53:I54)</f>
        <v>350000</v>
      </c>
      <c r="J55" s="2865">
        <f t="shared" si="0"/>
        <v>0</v>
      </c>
      <c r="K55" s="2866">
        <f>'Výdaje kapitol celkem'!AP35</f>
        <v>350000</v>
      </c>
      <c r="L55" s="2867">
        <f>+K55-I55</f>
        <v>0</v>
      </c>
      <c r="M55" s="2168"/>
    </row>
    <row r="56" spans="1:13" ht="20.25" hidden="1" customHeight="1" outlineLevel="1">
      <c r="A56" s="2908">
        <v>3429</v>
      </c>
      <c r="B56" s="2829">
        <v>5171</v>
      </c>
      <c r="C56" s="2990"/>
      <c r="D56" s="2996">
        <v>0</v>
      </c>
      <c r="E56" s="2996">
        <v>0</v>
      </c>
      <c r="F56" s="2996">
        <v>0</v>
      </c>
      <c r="G56" s="2996">
        <v>0</v>
      </c>
      <c r="H56" s="2996">
        <v>0</v>
      </c>
      <c r="I56" s="2831">
        <f>+[3]Tesko!$B$12</f>
        <v>0</v>
      </c>
      <c r="J56" s="2832">
        <f t="shared" si="0"/>
        <v>0</v>
      </c>
      <c r="K56" s="2860"/>
      <c r="L56" s="2867"/>
      <c r="M56" s="2168"/>
    </row>
    <row r="57" spans="1:13" ht="20.25" hidden="1" customHeight="1" outlineLevel="1">
      <c r="A57" s="2908">
        <v>3429</v>
      </c>
      <c r="B57" s="2829">
        <v>5171</v>
      </c>
      <c r="C57" s="2990"/>
      <c r="D57" s="2996">
        <v>0</v>
      </c>
      <c r="E57" s="2996">
        <v>0</v>
      </c>
      <c r="F57" s="2996">
        <v>0</v>
      </c>
      <c r="G57" s="2996">
        <v>0</v>
      </c>
      <c r="H57" s="2996">
        <v>0</v>
      </c>
      <c r="I57" s="2831">
        <f>+[3]Tesko!$B$13</f>
        <v>0</v>
      </c>
      <c r="J57" s="2832">
        <f t="shared" si="0"/>
        <v>0</v>
      </c>
      <c r="K57" s="2860"/>
      <c r="L57" s="2867"/>
      <c r="M57" s="2168"/>
    </row>
    <row r="58" spans="1:13" ht="12.4" thickBot="1">
      <c r="A58" s="3227" t="s">
        <v>1210</v>
      </c>
      <c r="B58" s="3228"/>
      <c r="C58" s="2991"/>
      <c r="D58" s="2997">
        <v>0</v>
      </c>
      <c r="E58" s="2997">
        <v>0</v>
      </c>
      <c r="F58" s="2997">
        <v>0</v>
      </c>
      <c r="G58" s="2997">
        <v>0</v>
      </c>
      <c r="H58" s="2997">
        <v>0</v>
      </c>
      <c r="I58" s="2864">
        <f t="shared" ref="I58" si="7">SUM(I56:I57)</f>
        <v>0</v>
      </c>
      <c r="J58" s="2865">
        <f t="shared" si="0"/>
        <v>0</v>
      </c>
      <c r="K58" s="2866">
        <f>'Výdaje kapitol celkem'!AQ35</f>
        <v>0</v>
      </c>
      <c r="L58" s="2867">
        <f>+K58-I58</f>
        <v>0</v>
      </c>
      <c r="M58" s="2168"/>
    </row>
    <row r="59" spans="1:13" ht="20.25" customHeight="1" outlineLevel="1">
      <c r="A59" s="2908">
        <v>3632</v>
      </c>
      <c r="B59" s="2829">
        <v>5171</v>
      </c>
      <c r="C59" s="2990" t="s">
        <v>1763</v>
      </c>
      <c r="D59" s="2996">
        <v>100000</v>
      </c>
      <c r="E59" s="2996">
        <v>100000</v>
      </c>
      <c r="F59" s="2996">
        <v>100000</v>
      </c>
      <c r="G59" s="2996">
        <v>100000</v>
      </c>
      <c r="H59" s="2996">
        <v>100000</v>
      </c>
      <c r="I59" s="2831">
        <f>+[3]Hřbitov!$B$26</f>
        <v>100000</v>
      </c>
      <c r="J59" s="2832">
        <f t="shared" si="0"/>
        <v>0</v>
      </c>
      <c r="K59" s="2860"/>
      <c r="L59" s="2867"/>
      <c r="M59" s="2168"/>
    </row>
    <row r="60" spans="1:13" ht="20.25" customHeight="1" outlineLevel="1">
      <c r="A60" s="2908">
        <v>3632</v>
      </c>
      <c r="B60" s="2829">
        <v>5171</v>
      </c>
      <c r="C60" s="2990"/>
      <c r="D60" s="2996">
        <v>0</v>
      </c>
      <c r="E60" s="2996">
        <v>0</v>
      </c>
      <c r="F60" s="2996">
        <v>0</v>
      </c>
      <c r="G60" s="2996">
        <v>0</v>
      </c>
      <c r="H60" s="2996">
        <v>330000</v>
      </c>
      <c r="I60" s="2831">
        <f>+[3]Hřbitov!$B$27</f>
        <v>330000</v>
      </c>
      <c r="J60" s="2832">
        <f t="shared" si="0"/>
        <v>0</v>
      </c>
      <c r="K60" s="2860"/>
      <c r="L60" s="2867"/>
      <c r="M60" s="2168"/>
    </row>
    <row r="61" spans="1:13" ht="12.4" thickBot="1">
      <c r="A61" s="3227" t="s">
        <v>253</v>
      </c>
      <c r="B61" s="3228"/>
      <c r="C61" s="2991"/>
      <c r="D61" s="2997">
        <v>100000</v>
      </c>
      <c r="E61" s="2997">
        <v>100000</v>
      </c>
      <c r="F61" s="2997">
        <v>100000</v>
      </c>
      <c r="G61" s="2997">
        <v>100000</v>
      </c>
      <c r="H61" s="2997">
        <v>430000</v>
      </c>
      <c r="I61" s="2864">
        <f t="shared" ref="I61" si="8">SUM(I59:I60)</f>
        <v>430000</v>
      </c>
      <c r="J61" s="2865">
        <f t="shared" si="0"/>
        <v>0</v>
      </c>
      <c r="K61" s="2866">
        <f>'Výdaje kapitol celkem'!AR35</f>
        <v>430000</v>
      </c>
      <c r="L61" s="2867">
        <f>+K61-I61</f>
        <v>0</v>
      </c>
      <c r="M61" s="2168"/>
    </row>
    <row r="62" spans="1:13" ht="25.5" customHeight="1" outlineLevel="1">
      <c r="A62" s="2908">
        <v>3412</v>
      </c>
      <c r="B62" s="2829">
        <v>5171</v>
      </c>
      <c r="C62" s="2990" t="s">
        <v>1761</v>
      </c>
      <c r="D62" s="2996">
        <v>0</v>
      </c>
      <c r="E62" s="2996">
        <v>0</v>
      </c>
      <c r="F62" s="2996">
        <v>450000</v>
      </c>
      <c r="G62" s="2996">
        <v>450000</v>
      </c>
      <c r="H62" s="2996">
        <v>450000</v>
      </c>
      <c r="I62" s="2831">
        <f>+[3]koupaliště!$B$28</f>
        <v>450000</v>
      </c>
      <c r="J62" s="2832">
        <f t="shared" si="0"/>
        <v>0</v>
      </c>
      <c r="K62" s="2860"/>
      <c r="L62" s="2867"/>
      <c r="M62" s="2168"/>
    </row>
    <row r="63" spans="1:13" ht="18" customHeight="1" outlineLevel="1">
      <c r="A63" s="2909">
        <v>3412</v>
      </c>
      <c r="B63" s="2876">
        <v>5171</v>
      </c>
      <c r="C63" s="2990" t="s">
        <v>1762</v>
      </c>
      <c r="D63" s="2996">
        <v>0</v>
      </c>
      <c r="E63" s="2996">
        <v>40000</v>
      </c>
      <c r="F63" s="2996">
        <v>300000</v>
      </c>
      <c r="G63" s="2996">
        <v>300000</v>
      </c>
      <c r="H63" s="2996">
        <v>300000</v>
      </c>
      <c r="I63" s="3063">
        <f>+[3]koupaliště!$B$29</f>
        <v>300000</v>
      </c>
      <c r="J63" s="2832">
        <f t="shared" si="0"/>
        <v>0</v>
      </c>
      <c r="K63" s="2866"/>
      <c r="L63" s="2867"/>
      <c r="M63" s="2168"/>
    </row>
    <row r="64" spans="1:13" ht="18" hidden="1" customHeight="1" outlineLevel="1">
      <c r="A64" s="2909">
        <v>3412</v>
      </c>
      <c r="B64" s="2876">
        <v>5171</v>
      </c>
      <c r="C64" s="2990"/>
      <c r="D64" s="2996"/>
      <c r="E64" s="2996"/>
      <c r="F64" s="2996"/>
      <c r="G64" s="2996"/>
      <c r="H64" s="2996"/>
      <c r="I64" s="2831"/>
      <c r="J64" s="2832">
        <f t="shared" si="0"/>
        <v>0</v>
      </c>
      <c r="K64" s="2860"/>
      <c r="L64" s="2867"/>
      <c r="M64" s="2168"/>
    </row>
    <row r="65" spans="1:13" ht="12.4" thickBot="1">
      <c r="A65" s="3227" t="s">
        <v>1188</v>
      </c>
      <c r="B65" s="3228">
        <v>5171</v>
      </c>
      <c r="C65" s="2991"/>
      <c r="D65" s="2997">
        <v>0</v>
      </c>
      <c r="E65" s="2997">
        <v>40000</v>
      </c>
      <c r="F65" s="2997">
        <v>750000</v>
      </c>
      <c r="G65" s="2997">
        <v>750000</v>
      </c>
      <c r="H65" s="2997">
        <v>750000</v>
      </c>
      <c r="I65" s="2864">
        <f t="shared" ref="I65" si="9">SUM(I62:I64)</f>
        <v>750000</v>
      </c>
      <c r="J65" s="2865">
        <f t="shared" si="0"/>
        <v>0</v>
      </c>
      <c r="K65" s="2866">
        <f>'Výdaje kapitol celkem'!AU35</f>
        <v>750000</v>
      </c>
      <c r="L65" s="2867">
        <f>+K65-I65</f>
        <v>0</v>
      </c>
      <c r="M65" s="2168"/>
    </row>
    <row r="66" spans="1:13" ht="25.5" customHeight="1" outlineLevel="1">
      <c r="A66" s="2908" t="s">
        <v>1183</v>
      </c>
      <c r="B66" s="2829">
        <v>5171</v>
      </c>
      <c r="C66" s="2990" t="s">
        <v>2214</v>
      </c>
      <c r="D66" s="2996">
        <v>400000</v>
      </c>
      <c r="E66" s="2996">
        <v>400000</v>
      </c>
      <c r="F66" s="2996">
        <v>400000</v>
      </c>
      <c r="G66" s="2996">
        <v>400000</v>
      </c>
      <c r="H66" s="2996">
        <v>400000</v>
      </c>
      <c r="I66" s="2831">
        <f>+[3]Hřiště!$B$22</f>
        <v>400000</v>
      </c>
      <c r="J66" s="2832">
        <f t="shared" si="0"/>
        <v>0</v>
      </c>
      <c r="K66" s="2860"/>
      <c r="L66" s="2867"/>
      <c r="M66" s="2168"/>
    </row>
    <row r="67" spans="1:13" ht="18" customHeight="1" outlineLevel="1">
      <c r="A67" s="2909" t="s">
        <v>1183</v>
      </c>
      <c r="B67" s="2876">
        <v>5171</v>
      </c>
      <c r="C67" s="2990" t="s">
        <v>1760</v>
      </c>
      <c r="D67" s="2996">
        <v>150000</v>
      </c>
      <c r="E67" s="2996">
        <v>150000</v>
      </c>
      <c r="F67" s="2996">
        <v>150000</v>
      </c>
      <c r="G67" s="2996">
        <v>150000</v>
      </c>
      <c r="H67" s="2996">
        <v>150000</v>
      </c>
      <c r="I67" s="2831">
        <f>+[3]Hřiště!$B$23</f>
        <v>150000</v>
      </c>
      <c r="J67" s="2832">
        <f t="shared" si="0"/>
        <v>0</v>
      </c>
      <c r="K67" s="2860"/>
      <c r="L67" s="2867"/>
      <c r="M67" s="2168"/>
    </row>
    <row r="68" spans="1:13" ht="18" hidden="1" customHeight="1" outlineLevel="1">
      <c r="A68" s="2909" t="s">
        <v>1183</v>
      </c>
      <c r="B68" s="2876">
        <v>5171</v>
      </c>
      <c r="C68" s="2990"/>
      <c r="D68" s="2996"/>
      <c r="E68" s="2996"/>
      <c r="F68" s="2996"/>
      <c r="G68" s="2996"/>
      <c r="H68" s="2996"/>
      <c r="I68" s="2831"/>
      <c r="J68" s="2832">
        <f t="shared" si="0"/>
        <v>0</v>
      </c>
      <c r="K68" s="2860"/>
      <c r="L68" s="2867"/>
      <c r="M68" s="2168"/>
    </row>
    <row r="69" spans="1:13" ht="12.4" collapsed="1" thickBot="1">
      <c r="A69" s="3227" t="s">
        <v>1187</v>
      </c>
      <c r="B69" s="3228">
        <v>5171</v>
      </c>
      <c r="C69" s="2991"/>
      <c r="D69" s="2997">
        <v>550000</v>
      </c>
      <c r="E69" s="2997">
        <v>550000</v>
      </c>
      <c r="F69" s="2997">
        <v>550000</v>
      </c>
      <c r="G69" s="2997">
        <v>550000</v>
      </c>
      <c r="H69" s="2997">
        <v>550000</v>
      </c>
      <c r="I69" s="2864">
        <f t="shared" ref="I69" si="10">SUM(I66:I68)</f>
        <v>550000</v>
      </c>
      <c r="J69" s="2865">
        <f t="shared" si="0"/>
        <v>0</v>
      </c>
      <c r="K69" s="2866">
        <f>'Výdaje kapitol celkem'!AX35</f>
        <v>550000</v>
      </c>
      <c r="L69" s="2867">
        <f>+K69-I69</f>
        <v>0</v>
      </c>
      <c r="M69" s="2168"/>
    </row>
    <row r="70" spans="1:13" ht="25.5" hidden="1" customHeight="1" outlineLevel="1">
      <c r="A70" s="2908" t="s">
        <v>1185</v>
      </c>
      <c r="B70" s="2829">
        <v>5171</v>
      </c>
      <c r="C70" s="2990"/>
      <c r="D70" s="2996">
        <v>0</v>
      </c>
      <c r="E70" s="2996">
        <v>0</v>
      </c>
      <c r="F70" s="2996">
        <v>0</v>
      </c>
      <c r="G70" s="2996">
        <v>0</v>
      </c>
      <c r="H70" s="2996">
        <v>0</v>
      </c>
      <c r="I70" s="2831">
        <f>+[3]Spolky!$B$24</f>
        <v>0</v>
      </c>
      <c r="J70" s="2832">
        <f t="shared" ref="J70:J133" si="11">+I70-H70</f>
        <v>0</v>
      </c>
      <c r="K70" s="2860"/>
      <c r="L70" s="2867"/>
      <c r="M70" s="2168"/>
    </row>
    <row r="71" spans="1:13" ht="18" hidden="1" customHeight="1" outlineLevel="1">
      <c r="A71" s="2909" t="s">
        <v>1185</v>
      </c>
      <c r="B71" s="2876">
        <v>5171</v>
      </c>
      <c r="C71" s="2990"/>
      <c r="D71" s="2996">
        <v>0</v>
      </c>
      <c r="E71" s="2996">
        <v>0</v>
      </c>
      <c r="F71" s="2996">
        <v>0</v>
      </c>
      <c r="G71" s="2996">
        <v>0</v>
      </c>
      <c r="H71" s="2996">
        <v>0</v>
      </c>
      <c r="I71" s="2831">
        <f>+[3]Spolky!$B$25</f>
        <v>0</v>
      </c>
      <c r="J71" s="2832">
        <f t="shared" si="11"/>
        <v>0</v>
      </c>
      <c r="K71" s="2860"/>
      <c r="L71" s="2867"/>
      <c r="M71" s="2168"/>
    </row>
    <row r="72" spans="1:13" ht="18" hidden="1" customHeight="1" outlineLevel="1">
      <c r="A72" s="2909" t="s">
        <v>1185</v>
      </c>
      <c r="B72" s="2876">
        <v>5171</v>
      </c>
      <c r="C72" s="2990"/>
      <c r="D72" s="2996"/>
      <c r="E72" s="2996"/>
      <c r="F72" s="2996"/>
      <c r="G72" s="2996"/>
      <c r="H72" s="2996"/>
      <c r="I72" s="2831"/>
      <c r="J72" s="2832">
        <f t="shared" si="11"/>
        <v>0</v>
      </c>
      <c r="K72" s="2860"/>
      <c r="L72" s="2867"/>
      <c r="M72" s="2168"/>
    </row>
    <row r="73" spans="1:13" ht="20.25" customHeight="1" thickBot="1">
      <c r="A73" s="3227" t="s">
        <v>1186</v>
      </c>
      <c r="B73" s="3228">
        <v>5171</v>
      </c>
      <c r="C73" s="2991"/>
      <c r="D73" s="2997">
        <v>0</v>
      </c>
      <c r="E73" s="2997">
        <v>0</v>
      </c>
      <c r="F73" s="2997">
        <v>0</v>
      </c>
      <c r="G73" s="2997">
        <v>0</v>
      </c>
      <c r="H73" s="2997">
        <v>0</v>
      </c>
      <c r="I73" s="2864">
        <f t="shared" ref="I73" si="12">SUM(I70:I72)</f>
        <v>0</v>
      </c>
      <c r="J73" s="2865">
        <f t="shared" si="11"/>
        <v>0</v>
      </c>
      <c r="K73" s="2866">
        <f>'Výdaje kapitol celkem'!BA35</f>
        <v>0</v>
      </c>
      <c r="L73" s="2867">
        <f>+K73-I73</f>
        <v>0</v>
      </c>
      <c r="M73" s="2168"/>
    </row>
    <row r="74" spans="1:13" ht="18" customHeight="1" outlineLevel="1">
      <c r="A74" s="2907">
        <v>3113</v>
      </c>
      <c r="B74" s="2824">
        <v>5171</v>
      </c>
      <c r="C74" s="3064" t="s">
        <v>2833</v>
      </c>
      <c r="D74" s="2995">
        <v>460000</v>
      </c>
      <c r="E74" s="2995">
        <v>460000</v>
      </c>
      <c r="F74" s="2995">
        <v>460000</v>
      </c>
      <c r="G74" s="2995">
        <v>460000</v>
      </c>
      <c r="H74" s="2995">
        <v>660000</v>
      </c>
      <c r="I74" s="2826">
        <f>+[3]ZŠ!$B$12</f>
        <v>660000</v>
      </c>
      <c r="J74" s="2832">
        <f t="shared" si="11"/>
        <v>0</v>
      </c>
      <c r="K74" s="2860"/>
      <c r="L74" s="2867"/>
      <c r="M74" s="2168"/>
    </row>
    <row r="75" spans="1:13" ht="20.25" customHeight="1" outlineLevel="1">
      <c r="A75" s="2910">
        <v>3113</v>
      </c>
      <c r="B75" s="2887">
        <v>5171</v>
      </c>
      <c r="C75" s="3065" t="s">
        <v>2834</v>
      </c>
      <c r="D75" s="3000">
        <v>200000</v>
      </c>
      <c r="E75" s="3000">
        <v>200000</v>
      </c>
      <c r="F75" s="3000">
        <v>200000</v>
      </c>
      <c r="G75" s="3000">
        <v>200000</v>
      </c>
      <c r="H75" s="3000">
        <v>1000000</v>
      </c>
      <c r="I75" s="2883">
        <f>+[3]ZŠ!$B$13</f>
        <v>1000000</v>
      </c>
      <c r="J75" s="2880">
        <f t="shared" si="11"/>
        <v>0</v>
      </c>
      <c r="K75" s="2860"/>
      <c r="L75" s="2867"/>
      <c r="M75" s="2168"/>
    </row>
    <row r="76" spans="1:13" ht="12.4" thickBot="1">
      <c r="A76" s="3227" t="s">
        <v>205</v>
      </c>
      <c r="B76" s="3228"/>
      <c r="C76" s="2991"/>
      <c r="D76" s="2997">
        <v>660000</v>
      </c>
      <c r="E76" s="2997">
        <v>660000</v>
      </c>
      <c r="F76" s="2997">
        <v>660000</v>
      </c>
      <c r="G76" s="2997">
        <v>660000</v>
      </c>
      <c r="H76" s="2997">
        <v>1660000</v>
      </c>
      <c r="I76" s="2864">
        <f t="shared" ref="I76" si="13">SUM(I74:I75)</f>
        <v>1660000</v>
      </c>
      <c r="J76" s="2865">
        <f t="shared" si="11"/>
        <v>0</v>
      </c>
      <c r="K76" s="2866">
        <f>'Výdaje kapitol celkem'!BD35</f>
        <v>1660000</v>
      </c>
      <c r="L76" s="2867">
        <f>+K76-I76</f>
        <v>0</v>
      </c>
      <c r="M76" s="2168"/>
    </row>
    <row r="77" spans="1:13" ht="17.25" customHeight="1" outlineLevel="1">
      <c r="A77" s="2907">
        <v>3421</v>
      </c>
      <c r="B77" s="2824">
        <v>5171</v>
      </c>
      <c r="C77" s="2989" t="s">
        <v>1745</v>
      </c>
      <c r="D77" s="2995">
        <v>180000</v>
      </c>
      <c r="E77" s="2995">
        <v>180000</v>
      </c>
      <c r="F77" s="2995">
        <v>180000</v>
      </c>
      <c r="G77" s="2995">
        <v>180000</v>
      </c>
      <c r="H77" s="2995">
        <v>180000</v>
      </c>
      <c r="I77" s="2826">
        <f>+[3]MDDM!$B$12</f>
        <v>180000</v>
      </c>
      <c r="J77" s="2827">
        <f t="shared" si="11"/>
        <v>0</v>
      </c>
      <c r="K77" s="2860"/>
      <c r="L77" s="2867"/>
      <c r="M77" s="2168"/>
    </row>
    <row r="78" spans="1:13" ht="26.25" customHeight="1" outlineLevel="1">
      <c r="A78" s="2910">
        <v>3421</v>
      </c>
      <c r="B78" s="2887">
        <v>5171</v>
      </c>
      <c r="C78" s="2992" t="s">
        <v>1753</v>
      </c>
      <c r="D78" s="2998">
        <v>0</v>
      </c>
      <c r="E78" s="2998">
        <v>0</v>
      </c>
      <c r="F78" s="2998">
        <v>0</v>
      </c>
      <c r="G78" s="2998">
        <v>0</v>
      </c>
      <c r="H78" s="2998">
        <v>0</v>
      </c>
      <c r="I78" s="2839">
        <f>+[3]MDDM!$B$13</f>
        <v>0</v>
      </c>
      <c r="J78" s="2880">
        <f t="shared" si="11"/>
        <v>0</v>
      </c>
      <c r="K78" s="2860"/>
      <c r="L78" s="2867"/>
      <c r="M78" s="2168"/>
    </row>
    <row r="79" spans="1:13" ht="19.5" hidden="1" customHeight="1" outlineLevel="1">
      <c r="A79" s="2910">
        <v>3421</v>
      </c>
      <c r="B79" s="2887">
        <v>5171</v>
      </c>
      <c r="C79" s="2993"/>
      <c r="D79" s="2999"/>
      <c r="E79" s="2999"/>
      <c r="F79" s="2999"/>
      <c r="G79" s="2999"/>
      <c r="H79" s="2999"/>
      <c r="I79" s="2841"/>
      <c r="J79" s="2880">
        <f t="shared" si="11"/>
        <v>0</v>
      </c>
      <c r="K79" s="2860"/>
      <c r="L79" s="2867"/>
      <c r="M79" s="2168"/>
    </row>
    <row r="80" spans="1:13" ht="18" hidden="1" customHeight="1" outlineLevel="1">
      <c r="A80" s="2910">
        <v>3421</v>
      </c>
      <c r="B80" s="2887">
        <v>5171</v>
      </c>
      <c r="C80" s="2994"/>
      <c r="D80" s="3000"/>
      <c r="E80" s="3000"/>
      <c r="F80" s="3000"/>
      <c r="G80" s="3000"/>
      <c r="H80" s="3000"/>
      <c r="I80" s="2883"/>
      <c r="J80" s="2880">
        <f t="shared" si="11"/>
        <v>0</v>
      </c>
      <c r="K80" s="2860"/>
      <c r="L80" s="2867"/>
      <c r="M80" s="2168"/>
    </row>
    <row r="81" spans="1:13" ht="12.4" thickBot="1">
      <c r="A81" s="3227" t="s">
        <v>206</v>
      </c>
      <c r="B81" s="3228"/>
      <c r="C81" s="2991"/>
      <c r="D81" s="2997">
        <v>180000</v>
      </c>
      <c r="E81" s="2997">
        <v>180000</v>
      </c>
      <c r="F81" s="2997">
        <v>180000</v>
      </c>
      <c r="G81" s="2997">
        <v>180000</v>
      </c>
      <c r="H81" s="2997">
        <v>180000</v>
      </c>
      <c r="I81" s="2864">
        <f t="shared" ref="I81" si="14">SUM(I77:I80)</f>
        <v>180000</v>
      </c>
      <c r="J81" s="2865">
        <f t="shared" si="11"/>
        <v>0</v>
      </c>
      <c r="K81" s="2866">
        <f>'Výdaje kapitol celkem'!BM35</f>
        <v>180000</v>
      </c>
      <c r="L81" s="2867">
        <f>+K81-I81</f>
        <v>0</v>
      </c>
      <c r="M81" s="2168"/>
    </row>
    <row r="82" spans="1:13" outlineLevel="1">
      <c r="A82" s="2907" t="s">
        <v>192</v>
      </c>
      <c r="B82" s="2824">
        <v>5171</v>
      </c>
      <c r="C82" s="2989" t="s">
        <v>1745</v>
      </c>
      <c r="D82" s="2995">
        <v>90000</v>
      </c>
      <c r="E82" s="2995">
        <v>90000</v>
      </c>
      <c r="F82" s="2995">
        <v>90000</v>
      </c>
      <c r="G82" s="2995">
        <v>90000</v>
      </c>
      <c r="H82" s="2995">
        <v>90000</v>
      </c>
      <c r="I82" s="2826">
        <f>+'[3]MŠ Kollárova'!$B$12</f>
        <v>90000</v>
      </c>
      <c r="J82" s="2827">
        <f t="shared" si="11"/>
        <v>0</v>
      </c>
      <c r="K82" s="2860"/>
      <c r="L82" s="2867"/>
      <c r="M82" s="2168"/>
    </row>
    <row r="83" spans="1:13" ht="20.25" customHeight="1" outlineLevel="1">
      <c r="A83" s="2909" t="s">
        <v>192</v>
      </c>
      <c r="B83" s="2876">
        <v>5171</v>
      </c>
      <c r="C83" s="2990" t="s">
        <v>2216</v>
      </c>
      <c r="D83" s="2996">
        <v>100000</v>
      </c>
      <c r="E83" s="2996">
        <v>100000</v>
      </c>
      <c r="F83" s="2996">
        <v>100000</v>
      </c>
      <c r="G83" s="2996">
        <v>100000</v>
      </c>
      <c r="H83" s="2996">
        <v>100000</v>
      </c>
      <c r="I83" s="2831">
        <f>+'[3]MŠ Kollárova'!$B$13</f>
        <v>100000</v>
      </c>
      <c r="J83" s="2832">
        <f t="shared" si="11"/>
        <v>0</v>
      </c>
      <c r="K83" s="2860"/>
      <c r="L83" s="2867"/>
      <c r="M83" s="2168"/>
    </row>
    <row r="84" spans="1:13" ht="20.25" customHeight="1" outlineLevel="1">
      <c r="A84" s="2909" t="s">
        <v>192</v>
      </c>
      <c r="B84" s="2876">
        <v>5171</v>
      </c>
      <c r="C84" s="2990" t="s">
        <v>2217</v>
      </c>
      <c r="D84" s="2996">
        <v>100000</v>
      </c>
      <c r="E84" s="2996">
        <v>100000</v>
      </c>
      <c r="F84" s="2996">
        <v>100000</v>
      </c>
      <c r="G84" s="2996">
        <v>100000</v>
      </c>
      <c r="H84" s="2996">
        <v>100000</v>
      </c>
      <c r="I84" s="2831">
        <f>+'[3]MŠ Kollárova'!$B$14</f>
        <v>100000</v>
      </c>
      <c r="J84" s="2832">
        <f t="shared" si="11"/>
        <v>0</v>
      </c>
      <c r="K84" s="2860"/>
      <c r="L84" s="2867"/>
      <c r="M84" s="2168"/>
    </row>
    <row r="85" spans="1:13" ht="20.25" customHeight="1" outlineLevel="1">
      <c r="A85" s="2909" t="s">
        <v>192</v>
      </c>
      <c r="B85" s="2876">
        <v>5171</v>
      </c>
      <c r="C85" s="2992" t="s">
        <v>1750</v>
      </c>
      <c r="D85" s="2998">
        <v>200000</v>
      </c>
      <c r="E85" s="2998">
        <v>200000</v>
      </c>
      <c r="F85" s="2998">
        <v>200000</v>
      </c>
      <c r="G85" s="2998">
        <v>200000</v>
      </c>
      <c r="H85" s="2998">
        <v>0</v>
      </c>
      <c r="I85" s="2839">
        <f>+'[3]MŠ Kollárova'!$B$15</f>
        <v>0</v>
      </c>
      <c r="J85" s="2880">
        <f t="shared" si="11"/>
        <v>0</v>
      </c>
      <c r="K85" s="2860"/>
      <c r="L85" s="2867"/>
      <c r="M85" s="2168"/>
    </row>
    <row r="86" spans="1:13" ht="20.25" customHeight="1" outlineLevel="1">
      <c r="A86" s="2909" t="s">
        <v>192</v>
      </c>
      <c r="B86" s="2876">
        <v>5171</v>
      </c>
      <c r="C86" s="2992" t="s">
        <v>2218</v>
      </c>
      <c r="D86" s="2998">
        <v>300000</v>
      </c>
      <c r="E86" s="2998">
        <v>300000</v>
      </c>
      <c r="F86" s="2998">
        <v>300000</v>
      </c>
      <c r="G86" s="2998">
        <v>300000</v>
      </c>
      <c r="H86" s="2998">
        <v>300000</v>
      </c>
      <c r="I86" s="2839">
        <f>+'[3]MŠ Kollárova'!$B$16</f>
        <v>300000</v>
      </c>
      <c r="J86" s="2880">
        <f t="shared" si="11"/>
        <v>0</v>
      </c>
      <c r="K86" s="2860"/>
      <c r="L86" s="2867"/>
      <c r="M86" s="2168"/>
    </row>
    <row r="87" spans="1:13" ht="20.25" hidden="1" customHeight="1" outlineLevel="1">
      <c r="A87" s="2910" t="s">
        <v>192</v>
      </c>
      <c r="B87" s="2887">
        <v>5171</v>
      </c>
      <c r="C87" s="2994"/>
      <c r="D87" s="3000"/>
      <c r="E87" s="3000"/>
      <c r="F87" s="3000"/>
      <c r="G87" s="3000"/>
      <c r="H87" s="3000"/>
      <c r="I87" s="2883"/>
      <c r="J87" s="2880">
        <f t="shared" si="11"/>
        <v>0</v>
      </c>
      <c r="K87" s="2860"/>
      <c r="L87" s="2867"/>
      <c r="M87" s="2168"/>
    </row>
    <row r="88" spans="1:13" ht="12.4" thickBot="1">
      <c r="A88" s="3227" t="s">
        <v>1224</v>
      </c>
      <c r="B88" s="3228"/>
      <c r="C88" s="2991"/>
      <c r="D88" s="2997">
        <v>790000</v>
      </c>
      <c r="E88" s="2997">
        <v>790000</v>
      </c>
      <c r="F88" s="2997">
        <v>790000</v>
      </c>
      <c r="G88" s="2997">
        <v>790000</v>
      </c>
      <c r="H88" s="2997">
        <v>590000</v>
      </c>
      <c r="I88" s="2864">
        <f t="shared" ref="I88" si="15">SUM(I82:I87)</f>
        <v>590000</v>
      </c>
      <c r="J88" s="2865">
        <f t="shared" si="11"/>
        <v>0</v>
      </c>
      <c r="K88" s="2866">
        <f>'Výdaje kapitol celkem'!BS35</f>
        <v>590000</v>
      </c>
      <c r="L88" s="2867">
        <f>+K88-I88</f>
        <v>0</v>
      </c>
      <c r="M88" s="2168"/>
    </row>
    <row r="89" spans="1:13" ht="20.25" customHeight="1" outlineLevel="1">
      <c r="A89" s="2907" t="s">
        <v>193</v>
      </c>
      <c r="B89" s="2824">
        <v>5171</v>
      </c>
      <c r="C89" s="2989" t="s">
        <v>1745</v>
      </c>
      <c r="D89" s="2995">
        <v>120000</v>
      </c>
      <c r="E89" s="2995">
        <v>120000</v>
      </c>
      <c r="F89" s="2995">
        <v>120000</v>
      </c>
      <c r="G89" s="2995">
        <v>120000</v>
      </c>
      <c r="H89" s="2995">
        <v>120000</v>
      </c>
      <c r="I89" s="2826">
        <f>+'[3]MŠ Pražská'!$B$12</f>
        <v>120000</v>
      </c>
      <c r="J89" s="2827">
        <f t="shared" si="11"/>
        <v>0</v>
      </c>
      <c r="K89" s="2860"/>
      <c r="L89" s="2867"/>
      <c r="M89" s="2168"/>
    </row>
    <row r="90" spans="1:13" ht="20.25" customHeight="1" outlineLevel="1">
      <c r="A90" s="2911" t="s">
        <v>193</v>
      </c>
      <c r="B90" s="2888">
        <v>5171</v>
      </c>
      <c r="C90" s="2993" t="s">
        <v>1751</v>
      </c>
      <c r="D90" s="2999">
        <v>300000</v>
      </c>
      <c r="E90" s="2999">
        <v>300000</v>
      </c>
      <c r="F90" s="2999">
        <v>300000</v>
      </c>
      <c r="G90" s="2999">
        <v>300000</v>
      </c>
      <c r="H90" s="2999">
        <v>300000</v>
      </c>
      <c r="I90" s="2841">
        <f>+'[3]MŠ Pražská'!$B$13</f>
        <v>300000</v>
      </c>
      <c r="J90" s="2832">
        <f t="shared" si="11"/>
        <v>0</v>
      </c>
      <c r="K90" s="2860"/>
      <c r="L90" s="2867"/>
      <c r="M90" s="2168"/>
    </row>
    <row r="91" spans="1:13" ht="20.25" customHeight="1" outlineLevel="1">
      <c r="A91" s="2910" t="s">
        <v>193</v>
      </c>
      <c r="B91" s="2887">
        <v>5171</v>
      </c>
      <c r="C91" s="2994" t="s">
        <v>2622</v>
      </c>
      <c r="D91" s="3000">
        <v>1500000</v>
      </c>
      <c r="E91" s="3000">
        <v>1500000</v>
      </c>
      <c r="F91" s="3000">
        <v>1500000</v>
      </c>
      <c r="G91" s="3000">
        <v>1500000</v>
      </c>
      <c r="H91" s="3000">
        <v>1500000</v>
      </c>
      <c r="I91" s="2883">
        <f>+'[3]MŠ Pražská'!$B$14</f>
        <v>1500000</v>
      </c>
      <c r="J91" s="2880">
        <f t="shared" si="11"/>
        <v>0</v>
      </c>
      <c r="K91" s="2860"/>
      <c r="L91" s="2867"/>
      <c r="M91" s="2168"/>
    </row>
    <row r="92" spans="1:13" ht="12.4" thickBot="1">
      <c r="A92" s="3227" t="s">
        <v>208</v>
      </c>
      <c r="B92" s="3228"/>
      <c r="C92" s="2991"/>
      <c r="D92" s="2997">
        <v>1920000</v>
      </c>
      <c r="E92" s="2997">
        <v>1920000</v>
      </c>
      <c r="F92" s="2997">
        <v>1920000</v>
      </c>
      <c r="G92" s="2997">
        <v>1920000</v>
      </c>
      <c r="H92" s="2997">
        <v>1920000</v>
      </c>
      <c r="I92" s="2864">
        <f t="shared" ref="I92" si="16">SUM(I89:I91)</f>
        <v>1920000</v>
      </c>
      <c r="J92" s="2865">
        <f t="shared" si="11"/>
        <v>0</v>
      </c>
      <c r="K92" s="2866">
        <f>'Výdaje kapitol celkem'!BP35</f>
        <v>1920000</v>
      </c>
      <c r="L92" s="2867">
        <f>+K92-I92</f>
        <v>0</v>
      </c>
      <c r="M92" s="2168"/>
    </row>
    <row r="93" spans="1:13" ht="20.25" customHeight="1" outlineLevel="1">
      <c r="A93" s="2907" t="s">
        <v>218</v>
      </c>
      <c r="B93" s="2824">
        <v>5171</v>
      </c>
      <c r="C93" s="2989" t="s">
        <v>1743</v>
      </c>
      <c r="D93" s="2995">
        <v>80000</v>
      </c>
      <c r="E93" s="2995">
        <v>80000</v>
      </c>
      <c r="F93" s="2995">
        <v>80000</v>
      </c>
      <c r="G93" s="2995">
        <v>80000</v>
      </c>
      <c r="H93" s="2995">
        <v>80000</v>
      </c>
      <c r="I93" s="2826">
        <f>+'[3]MŠ Cukrovar'!$B$13</f>
        <v>80000</v>
      </c>
      <c r="J93" s="2893">
        <f t="shared" si="11"/>
        <v>0</v>
      </c>
      <c r="K93" s="2860"/>
      <c r="L93" s="2867"/>
      <c r="M93" s="2168"/>
    </row>
    <row r="94" spans="1:13" ht="20.25" customHeight="1" outlineLevel="1">
      <c r="A94" s="2911" t="s">
        <v>218</v>
      </c>
      <c r="B94" s="2888">
        <v>5171</v>
      </c>
      <c r="C94" s="2993" t="s">
        <v>1744</v>
      </c>
      <c r="D94" s="2999">
        <v>50000</v>
      </c>
      <c r="E94" s="2999">
        <v>50000</v>
      </c>
      <c r="F94" s="2999">
        <v>50000</v>
      </c>
      <c r="G94" s="2999">
        <v>50000</v>
      </c>
      <c r="H94" s="2999">
        <v>50000</v>
      </c>
      <c r="I94" s="2841">
        <f>+'[3]MŠ Cukrovar'!$B$14</f>
        <v>50000</v>
      </c>
      <c r="J94" s="2873">
        <f t="shared" si="11"/>
        <v>0</v>
      </c>
      <c r="K94" s="2860"/>
      <c r="L94" s="2867"/>
      <c r="M94" s="2168"/>
    </row>
    <row r="95" spans="1:13" ht="20.25" customHeight="1" outlineLevel="1">
      <c r="A95" s="2910" t="s">
        <v>218</v>
      </c>
      <c r="B95" s="2887">
        <v>5171</v>
      </c>
      <c r="C95" s="2994" t="s">
        <v>1745</v>
      </c>
      <c r="D95" s="3000">
        <v>60000</v>
      </c>
      <c r="E95" s="3000">
        <v>60000</v>
      </c>
      <c r="F95" s="3000">
        <v>60000</v>
      </c>
      <c r="G95" s="3000">
        <v>60000</v>
      </c>
      <c r="H95" s="3000">
        <v>60000</v>
      </c>
      <c r="I95" s="2883">
        <f>+'[3]MŠ Cukrovar'!$B$15</f>
        <v>60000</v>
      </c>
      <c r="J95" s="2838">
        <f t="shared" si="11"/>
        <v>0</v>
      </c>
      <c r="K95" s="2860"/>
      <c r="L95" s="2867"/>
      <c r="M95" s="2168"/>
    </row>
    <row r="96" spans="1:13" ht="20.25" customHeight="1" outlineLevel="1">
      <c r="A96" s="2910" t="s">
        <v>650</v>
      </c>
      <c r="B96" s="2887">
        <v>5172</v>
      </c>
      <c r="C96" s="2994" t="s">
        <v>1746</v>
      </c>
      <c r="D96" s="3000">
        <v>100000</v>
      </c>
      <c r="E96" s="3000">
        <v>100000</v>
      </c>
      <c r="F96" s="3000">
        <v>100000</v>
      </c>
      <c r="G96" s="3000">
        <v>100000</v>
      </c>
      <c r="H96" s="3000">
        <v>100000</v>
      </c>
      <c r="I96" s="2883">
        <f>+'[3]MŠ Cukrovar'!$B$16</f>
        <v>100000</v>
      </c>
      <c r="J96" s="2838">
        <f t="shared" si="11"/>
        <v>0</v>
      </c>
      <c r="K96" s="2860"/>
      <c r="L96" s="2867"/>
      <c r="M96" s="2168"/>
    </row>
    <row r="97" spans="1:13" ht="12.4" thickBot="1">
      <c r="A97" s="3227" t="s">
        <v>1575</v>
      </c>
      <c r="B97" s="3228"/>
      <c r="C97" s="2991"/>
      <c r="D97" s="2997">
        <v>290000</v>
      </c>
      <c r="E97" s="2997">
        <v>290000</v>
      </c>
      <c r="F97" s="2997">
        <v>290000</v>
      </c>
      <c r="G97" s="2997">
        <v>290000</v>
      </c>
      <c r="H97" s="2997">
        <v>290000</v>
      </c>
      <c r="I97" s="2864">
        <f t="shared" ref="I97" si="17">SUM(I93:I96)</f>
        <v>290000</v>
      </c>
      <c r="J97" s="2865">
        <f t="shared" si="11"/>
        <v>0</v>
      </c>
      <c r="K97" s="2866">
        <f>'Výdaje kapitol celkem'!BZ35</f>
        <v>290000</v>
      </c>
      <c r="L97" s="2867">
        <f>+K97-I97</f>
        <v>0</v>
      </c>
      <c r="M97" s="2168"/>
    </row>
    <row r="98" spans="1:13" ht="20.25" customHeight="1" outlineLevel="1">
      <c r="A98" s="2911" t="s">
        <v>194</v>
      </c>
      <c r="B98" s="2888">
        <v>5171</v>
      </c>
      <c r="C98" s="2993" t="s">
        <v>2219</v>
      </c>
      <c r="D98" s="2999">
        <v>2500000</v>
      </c>
      <c r="E98" s="2999">
        <v>2500000</v>
      </c>
      <c r="F98" s="2999">
        <v>2500000</v>
      </c>
      <c r="G98" s="2999">
        <v>2500000</v>
      </c>
      <c r="H98" s="2999">
        <v>1500000</v>
      </c>
      <c r="I98" s="2841">
        <f>+'[3]Jídelna ZŠ'!$B$12</f>
        <v>1500000</v>
      </c>
      <c r="J98" s="2832">
        <f t="shared" si="11"/>
        <v>0</v>
      </c>
      <c r="K98" s="2860"/>
      <c r="L98" s="2867"/>
      <c r="M98" s="2168"/>
    </row>
    <row r="99" spans="1:13" ht="20.25" customHeight="1" outlineLevel="1">
      <c r="A99" s="2910" t="s">
        <v>194</v>
      </c>
      <c r="B99" s="2887">
        <v>5171</v>
      </c>
      <c r="C99" s="2994"/>
      <c r="D99" s="3000">
        <v>0</v>
      </c>
      <c r="E99" s="3000">
        <v>0</v>
      </c>
      <c r="F99" s="3000">
        <v>0</v>
      </c>
      <c r="G99" s="3000">
        <v>0</v>
      </c>
      <c r="H99" s="3000">
        <v>0</v>
      </c>
      <c r="I99" s="2883">
        <f>+'[3]Jídelna ZŠ'!$B$13</f>
        <v>0</v>
      </c>
      <c r="J99" s="2880">
        <f t="shared" si="11"/>
        <v>0</v>
      </c>
      <c r="K99" s="2860"/>
      <c r="L99" s="2867"/>
      <c r="M99" s="2168"/>
    </row>
    <row r="100" spans="1:13" ht="20.25" customHeight="1" thickBot="1">
      <c r="A100" s="3227" t="s">
        <v>209</v>
      </c>
      <c r="B100" s="3228"/>
      <c r="C100" s="2991"/>
      <c r="D100" s="2997">
        <v>2500000</v>
      </c>
      <c r="E100" s="2997">
        <v>2500000</v>
      </c>
      <c r="F100" s="2997">
        <v>2500000</v>
      </c>
      <c r="G100" s="2997">
        <v>2500000</v>
      </c>
      <c r="H100" s="2997">
        <v>1500000</v>
      </c>
      <c r="I100" s="2864">
        <f>SUM(I98:I99)</f>
        <v>1500000</v>
      </c>
      <c r="J100" s="2865">
        <f t="shared" si="11"/>
        <v>0</v>
      </c>
      <c r="K100" s="2866">
        <f>'Výdaje kapitol celkem'!BV35</f>
        <v>1500000</v>
      </c>
      <c r="L100" s="2867">
        <f>+K100-I100</f>
        <v>0</v>
      </c>
      <c r="M100" s="2168"/>
    </row>
    <row r="101" spans="1:13" ht="20.25" customHeight="1" outlineLevel="1">
      <c r="A101" s="2911" t="s">
        <v>195</v>
      </c>
      <c r="B101" s="2888">
        <v>5171</v>
      </c>
      <c r="C101" s="2993" t="s">
        <v>1748</v>
      </c>
      <c r="D101" s="2999">
        <v>50000</v>
      </c>
      <c r="E101" s="2999">
        <v>50000</v>
      </c>
      <c r="F101" s="2999">
        <v>50000</v>
      </c>
      <c r="G101" s="2999">
        <v>50000</v>
      </c>
      <c r="H101" s="2999">
        <v>50000</v>
      </c>
      <c r="I101" s="2841">
        <f>+'[3]Jídelna MŠ'!$B$12</f>
        <v>50000</v>
      </c>
      <c r="J101" s="2832">
        <f t="shared" si="11"/>
        <v>0</v>
      </c>
      <c r="K101" s="2860"/>
      <c r="L101" s="2867"/>
      <c r="M101" s="2168"/>
    </row>
    <row r="102" spans="1:13" ht="16.5" customHeight="1" outlineLevel="1">
      <c r="A102" s="2910" t="s">
        <v>195</v>
      </c>
      <c r="B102" s="2887">
        <v>5171</v>
      </c>
      <c r="C102" s="2994"/>
      <c r="D102" s="3000">
        <v>0</v>
      </c>
      <c r="E102" s="3000">
        <v>0</v>
      </c>
      <c r="F102" s="3000">
        <v>0</v>
      </c>
      <c r="G102" s="3000">
        <v>0</v>
      </c>
      <c r="H102" s="3000">
        <v>0</v>
      </c>
      <c r="I102" s="2883">
        <f>+'[3]Jídelna MŠ'!$B$13</f>
        <v>0</v>
      </c>
      <c r="J102" s="2873">
        <f t="shared" si="11"/>
        <v>0</v>
      </c>
      <c r="K102" s="2860"/>
      <c r="L102" s="2867"/>
      <c r="M102" s="2168"/>
    </row>
    <row r="103" spans="1:13" ht="20.25" customHeight="1" thickBot="1">
      <c r="A103" s="3227" t="s">
        <v>210</v>
      </c>
      <c r="B103" s="3228"/>
      <c r="C103" s="2991"/>
      <c r="D103" s="2997">
        <v>50000</v>
      </c>
      <c r="E103" s="2997">
        <v>50000</v>
      </c>
      <c r="F103" s="2997">
        <v>50000</v>
      </c>
      <c r="G103" s="2997">
        <v>50000</v>
      </c>
      <c r="H103" s="2997">
        <v>50000</v>
      </c>
      <c r="I103" s="2864">
        <f>SUM(I101:I102)</f>
        <v>50000</v>
      </c>
      <c r="J103" s="2865">
        <f t="shared" si="11"/>
        <v>0</v>
      </c>
      <c r="K103" s="2866">
        <f>'Výdaje kapitol celkem'!BY35</f>
        <v>50000</v>
      </c>
      <c r="L103" s="2867">
        <f>+K103-I103</f>
        <v>0</v>
      </c>
      <c r="M103" s="2168"/>
    </row>
    <row r="104" spans="1:13" ht="20.25" customHeight="1" outlineLevel="1">
      <c r="A104" s="2907">
        <v>3631</v>
      </c>
      <c r="B104" s="2824">
        <v>5171</v>
      </c>
      <c r="C104" s="2989" t="s">
        <v>2604</v>
      </c>
      <c r="D104" s="2995">
        <v>350000</v>
      </c>
      <c r="E104" s="2995">
        <v>350000</v>
      </c>
      <c r="F104" s="2995">
        <v>350000</v>
      </c>
      <c r="G104" s="2995">
        <v>350000</v>
      </c>
      <c r="H104" s="2995">
        <v>350000</v>
      </c>
      <c r="I104" s="2826">
        <f>+[3]VO!$B$30</f>
        <v>350000</v>
      </c>
      <c r="J104" s="2827">
        <f t="shared" si="11"/>
        <v>0</v>
      </c>
      <c r="K104" s="2866"/>
      <c r="L104" s="2867"/>
      <c r="M104" s="2168"/>
    </row>
    <row r="105" spans="1:13" ht="20.25" customHeight="1" outlineLevel="1">
      <c r="A105" s="2909">
        <v>3631</v>
      </c>
      <c r="B105" s="2876">
        <v>5171</v>
      </c>
      <c r="C105" s="2992" t="s">
        <v>1739</v>
      </c>
      <c r="D105" s="2998">
        <v>100000</v>
      </c>
      <c r="E105" s="2998">
        <v>100000</v>
      </c>
      <c r="F105" s="2998">
        <v>200000</v>
      </c>
      <c r="G105" s="2998">
        <v>200000</v>
      </c>
      <c r="H105" s="2998">
        <v>200000</v>
      </c>
      <c r="I105" s="2839">
        <f>+[3]VO!$B$31</f>
        <v>200000</v>
      </c>
      <c r="J105" s="2880">
        <f t="shared" si="11"/>
        <v>0</v>
      </c>
      <c r="K105" s="2866"/>
      <c r="L105" s="2867"/>
      <c r="M105" s="2168"/>
    </row>
    <row r="106" spans="1:13" ht="20.25" customHeight="1" outlineLevel="1">
      <c r="A106" s="2909">
        <v>3631</v>
      </c>
      <c r="B106" s="2876">
        <v>5171</v>
      </c>
      <c r="C106" s="2993" t="s">
        <v>2605</v>
      </c>
      <c r="D106" s="2999">
        <v>100000</v>
      </c>
      <c r="E106" s="2999">
        <v>100000</v>
      </c>
      <c r="F106" s="2999">
        <v>100000</v>
      </c>
      <c r="G106" s="2999">
        <v>100000</v>
      </c>
      <c r="H106" s="2999">
        <v>100000</v>
      </c>
      <c r="I106" s="2841">
        <f>+[3]VO!$B$32</f>
        <v>100000</v>
      </c>
      <c r="J106" s="2832">
        <f t="shared" si="11"/>
        <v>0</v>
      </c>
      <c r="K106" s="2866"/>
      <c r="L106" s="2867"/>
      <c r="M106" s="2168"/>
    </row>
    <row r="107" spans="1:13" ht="20.25" hidden="1" customHeight="1" outlineLevel="1">
      <c r="A107" s="2911">
        <v>3631</v>
      </c>
      <c r="B107" s="2887">
        <v>5171</v>
      </c>
      <c r="C107" s="2994"/>
      <c r="D107" s="3000"/>
      <c r="E107" s="3000"/>
      <c r="F107" s="3000"/>
      <c r="G107" s="3000"/>
      <c r="H107" s="3000"/>
      <c r="I107" s="2883"/>
      <c r="J107" s="2880">
        <f t="shared" si="11"/>
        <v>0</v>
      </c>
      <c r="K107" s="2866"/>
      <c r="L107" s="2867"/>
      <c r="M107" s="2168"/>
    </row>
    <row r="108" spans="1:13" ht="12.4" thickBot="1">
      <c r="A108" s="3227" t="s">
        <v>630</v>
      </c>
      <c r="B108" s="3228"/>
      <c r="C108" s="2991"/>
      <c r="D108" s="2997">
        <v>550000</v>
      </c>
      <c r="E108" s="2997">
        <v>550000</v>
      </c>
      <c r="F108" s="2997">
        <v>650000</v>
      </c>
      <c r="G108" s="2997">
        <v>650000</v>
      </c>
      <c r="H108" s="2997">
        <v>650000</v>
      </c>
      <c r="I108" s="2864">
        <f t="shared" ref="I108" si="18">SUM(I104:I107)</f>
        <v>650000</v>
      </c>
      <c r="J108" s="2865">
        <f t="shared" si="11"/>
        <v>0</v>
      </c>
      <c r="K108" s="2866">
        <f>'Výdaje kapitol celkem'!CD35</f>
        <v>650000</v>
      </c>
      <c r="L108" s="2867">
        <f>+K108-I108</f>
        <v>0</v>
      </c>
      <c r="M108" s="2168"/>
    </row>
    <row r="109" spans="1:13" ht="16.5" customHeight="1" outlineLevel="1">
      <c r="A109" s="2910">
        <v>2212</v>
      </c>
      <c r="B109" s="2887">
        <v>5171</v>
      </c>
      <c r="C109" s="2994" t="s">
        <v>2740</v>
      </c>
      <c r="D109" s="3000">
        <v>300000</v>
      </c>
      <c r="E109" s="3000">
        <v>600000</v>
      </c>
      <c r="F109" s="3000">
        <v>600000</v>
      </c>
      <c r="G109" s="3000">
        <v>600000</v>
      </c>
      <c r="H109" s="3000">
        <v>600000</v>
      </c>
      <c r="I109" s="2883">
        <f>+[3]Silnice!$B$40</f>
        <v>600000</v>
      </c>
      <c r="J109" s="2880">
        <f t="shared" si="11"/>
        <v>0</v>
      </c>
      <c r="K109" s="2860"/>
      <c r="L109" s="2867"/>
      <c r="M109" s="2168"/>
    </row>
    <row r="110" spans="1:13" ht="14.25" customHeight="1" outlineLevel="1">
      <c r="A110" s="2910">
        <v>2212</v>
      </c>
      <c r="B110" s="2887">
        <v>5171</v>
      </c>
      <c r="C110" s="2994" t="s">
        <v>2741</v>
      </c>
      <c r="D110" s="3000">
        <v>500000</v>
      </c>
      <c r="E110" s="3000">
        <v>500000</v>
      </c>
      <c r="F110" s="3000">
        <v>500000</v>
      </c>
      <c r="G110" s="3000">
        <v>500000</v>
      </c>
      <c r="H110" s="3000">
        <v>500000</v>
      </c>
      <c r="I110" s="2883">
        <f>+[3]Silnice!$B$41</f>
        <v>500000</v>
      </c>
      <c r="J110" s="2880">
        <f t="shared" si="11"/>
        <v>0</v>
      </c>
      <c r="K110" s="2860"/>
      <c r="L110" s="2867"/>
      <c r="M110" s="2168"/>
    </row>
    <row r="111" spans="1:13" ht="22.5" customHeight="1" outlineLevel="1">
      <c r="A111" s="2910">
        <v>2212</v>
      </c>
      <c r="B111" s="2887">
        <v>5171</v>
      </c>
      <c r="C111" s="2994" t="s">
        <v>1728</v>
      </c>
      <c r="D111" s="3000">
        <v>500000</v>
      </c>
      <c r="E111" s="3000">
        <v>500000</v>
      </c>
      <c r="F111" s="3000">
        <v>500000</v>
      </c>
      <c r="G111" s="3000">
        <v>500000</v>
      </c>
      <c r="H111" s="3000">
        <v>500000</v>
      </c>
      <c r="I111" s="2883">
        <f>+[3]Silnice!$B$42</f>
        <v>500000</v>
      </c>
      <c r="J111" s="2880">
        <f t="shared" si="11"/>
        <v>0</v>
      </c>
      <c r="K111" s="2860"/>
      <c r="L111" s="2867"/>
      <c r="M111" s="2168"/>
    </row>
    <row r="112" spans="1:13" ht="20.25" customHeight="1" outlineLevel="1">
      <c r="A112" s="2910">
        <v>2212</v>
      </c>
      <c r="B112" s="2887">
        <v>5171</v>
      </c>
      <c r="C112" s="2994" t="s">
        <v>1729</v>
      </c>
      <c r="D112" s="3000">
        <v>650000</v>
      </c>
      <c r="E112" s="3000">
        <v>650000</v>
      </c>
      <c r="F112" s="3000">
        <v>650000</v>
      </c>
      <c r="G112" s="3000">
        <v>650000</v>
      </c>
      <c r="H112" s="3000">
        <v>650000</v>
      </c>
      <c r="I112" s="2883">
        <f>+[3]Silnice!$B$43</f>
        <v>650000</v>
      </c>
      <c r="J112" s="2880">
        <f t="shared" si="11"/>
        <v>0</v>
      </c>
      <c r="K112" s="2860"/>
      <c r="L112" s="2867"/>
      <c r="M112" s="2168"/>
    </row>
    <row r="113" spans="1:13" ht="26.25" customHeight="1" outlineLevel="1">
      <c r="A113" s="2910">
        <v>2212</v>
      </c>
      <c r="B113" s="2887">
        <v>5171</v>
      </c>
      <c r="C113" s="2994" t="s">
        <v>1730</v>
      </c>
      <c r="D113" s="3000">
        <v>500000</v>
      </c>
      <c r="E113" s="3000">
        <v>500000</v>
      </c>
      <c r="F113" s="3000">
        <v>500000</v>
      </c>
      <c r="G113" s="3000">
        <v>500000</v>
      </c>
      <c r="H113" s="3000">
        <v>500000</v>
      </c>
      <c r="I113" s="2883">
        <f>+[3]Silnice!$B$44</f>
        <v>500000</v>
      </c>
      <c r="J113" s="2880">
        <f t="shared" si="11"/>
        <v>0</v>
      </c>
      <c r="K113" s="2860"/>
      <c r="L113" s="2867"/>
      <c r="M113" s="2168"/>
    </row>
    <row r="114" spans="1:13" ht="20.25" customHeight="1" outlineLevel="1">
      <c r="A114" s="2910">
        <v>2212</v>
      </c>
      <c r="B114" s="2887">
        <v>5171</v>
      </c>
      <c r="C114" s="2994" t="s">
        <v>2345</v>
      </c>
      <c r="D114" s="3000">
        <v>100000</v>
      </c>
      <c r="E114" s="3000">
        <v>100000</v>
      </c>
      <c r="F114" s="3000">
        <v>100000</v>
      </c>
      <c r="G114" s="3000">
        <v>100000</v>
      </c>
      <c r="H114" s="3000">
        <v>100000</v>
      </c>
      <c r="I114" s="2883">
        <f>+[3]Silnice!$B$45</f>
        <v>100000</v>
      </c>
      <c r="J114" s="2880">
        <f t="shared" si="11"/>
        <v>0</v>
      </c>
      <c r="K114" s="2860"/>
      <c r="L114" s="2867"/>
      <c r="M114" s="2168"/>
    </row>
    <row r="115" spans="1:13" s="2899" customFormat="1" ht="20.25" customHeight="1" outlineLevel="1">
      <c r="A115" s="3069">
        <v>2212</v>
      </c>
      <c r="B115" s="3070">
        <v>5171</v>
      </c>
      <c r="C115" s="3068" t="s">
        <v>2855</v>
      </c>
      <c r="D115" s="3071"/>
      <c r="E115" s="3071"/>
      <c r="F115" s="3071"/>
      <c r="G115" s="3071"/>
      <c r="H115" s="3071">
        <v>895400</v>
      </c>
      <c r="I115" s="2890">
        <f>+[3]Silnice!$B$46</f>
        <v>895400</v>
      </c>
      <c r="J115" s="2880">
        <f t="shared" si="11"/>
        <v>0</v>
      </c>
      <c r="K115" s="2898"/>
      <c r="L115" s="2867"/>
      <c r="M115" s="3072"/>
    </row>
    <row r="116" spans="1:13" ht="20.25" hidden="1" customHeight="1" outlineLevel="1">
      <c r="A116" s="2910">
        <v>2212</v>
      </c>
      <c r="B116" s="2887">
        <v>5171</v>
      </c>
      <c r="C116" s="2994" t="s">
        <v>1731</v>
      </c>
      <c r="D116" s="3000"/>
      <c r="E116" s="3000"/>
      <c r="F116" s="3000"/>
      <c r="G116" s="3000"/>
      <c r="H116" s="3000">
        <v>0</v>
      </c>
      <c r="I116" s="2883">
        <f>+[3]Silnice!$B$47</f>
        <v>0</v>
      </c>
      <c r="J116" s="2880">
        <f t="shared" si="11"/>
        <v>0</v>
      </c>
      <c r="K116" s="2860"/>
      <c r="L116" s="2867"/>
      <c r="M116" s="2168"/>
    </row>
    <row r="117" spans="1:13" s="2899" customFormat="1" ht="20.25" customHeight="1" outlineLevel="1">
      <c r="A117" s="3069">
        <v>2212</v>
      </c>
      <c r="B117" s="3070">
        <v>5171</v>
      </c>
      <c r="C117" s="3068" t="s">
        <v>2866</v>
      </c>
      <c r="D117" s="3071">
        <v>0</v>
      </c>
      <c r="E117" s="3071">
        <v>0</v>
      </c>
      <c r="F117" s="3071">
        <v>0</v>
      </c>
      <c r="G117" s="3071">
        <v>0</v>
      </c>
      <c r="H117" s="3071">
        <v>822800</v>
      </c>
      <c r="I117" s="2890">
        <f>+[3]Silnice!$B$48</f>
        <v>822800</v>
      </c>
      <c r="J117" s="2880">
        <f t="shared" si="11"/>
        <v>0</v>
      </c>
      <c r="K117" s="2898"/>
      <c r="L117" s="2867"/>
      <c r="M117" s="3072"/>
    </row>
    <row r="118" spans="1:13" ht="20.25" customHeight="1" outlineLevel="1">
      <c r="A118" s="2910">
        <v>2212</v>
      </c>
      <c r="B118" s="2887">
        <v>5171</v>
      </c>
      <c r="C118" s="2994" t="s">
        <v>2856</v>
      </c>
      <c r="D118" s="3000">
        <v>0</v>
      </c>
      <c r="E118" s="3000">
        <v>0</v>
      </c>
      <c r="F118" s="3000">
        <v>0</v>
      </c>
      <c r="G118" s="3000">
        <v>1000000</v>
      </c>
      <c r="H118" s="3000">
        <v>1000000</v>
      </c>
      <c r="I118" s="2883">
        <f>+[3]Silnice!$B$49</f>
        <v>1000000</v>
      </c>
      <c r="J118" s="2880">
        <f t="shared" si="11"/>
        <v>0</v>
      </c>
      <c r="K118" s="2860"/>
      <c r="L118" s="2867"/>
      <c r="M118" s="2168"/>
    </row>
    <row r="119" spans="1:13" ht="20.25" hidden="1" customHeight="1" outlineLevel="1">
      <c r="A119" s="2910">
        <v>2212</v>
      </c>
      <c r="B119" s="2887">
        <v>5171</v>
      </c>
      <c r="C119" s="2994" t="s">
        <v>2227</v>
      </c>
      <c r="D119" s="3000">
        <v>0</v>
      </c>
      <c r="E119" s="3000">
        <v>0</v>
      </c>
      <c r="F119" s="3000">
        <v>0</v>
      </c>
      <c r="G119" s="3000">
        <v>0</v>
      </c>
      <c r="H119" s="3000"/>
      <c r="I119" s="2883"/>
      <c r="J119" s="2880">
        <f t="shared" si="11"/>
        <v>0</v>
      </c>
      <c r="K119" s="2860"/>
      <c r="L119" s="2867"/>
      <c r="M119" s="2168"/>
    </row>
    <row r="120" spans="1:13" ht="20.25" hidden="1" customHeight="1" outlineLevel="1">
      <c r="A120" s="2910">
        <v>2212</v>
      </c>
      <c r="B120" s="2887">
        <v>5171</v>
      </c>
      <c r="C120" s="2994" t="s">
        <v>2346</v>
      </c>
      <c r="D120" s="3000">
        <v>1000000</v>
      </c>
      <c r="E120" s="3000">
        <v>1000000</v>
      </c>
      <c r="F120" s="3000">
        <v>1000000</v>
      </c>
      <c r="G120" s="3000"/>
      <c r="H120" s="3000"/>
      <c r="I120" s="2883"/>
      <c r="J120" s="2880">
        <f t="shared" si="11"/>
        <v>0</v>
      </c>
      <c r="K120" s="2860"/>
      <c r="L120" s="2867"/>
      <c r="M120" s="2168"/>
    </row>
    <row r="121" spans="1:13" ht="19.5" customHeight="1" outlineLevel="1">
      <c r="A121" s="2910">
        <v>2212</v>
      </c>
      <c r="B121" s="2887">
        <v>5171</v>
      </c>
      <c r="C121" s="2994" t="s">
        <v>2347</v>
      </c>
      <c r="D121" s="3000">
        <v>1000000</v>
      </c>
      <c r="E121" s="3000">
        <v>1000000</v>
      </c>
      <c r="F121" s="3000">
        <v>1000000</v>
      </c>
      <c r="G121" s="3000">
        <v>1000000</v>
      </c>
      <c r="H121" s="3000">
        <v>1000000</v>
      </c>
      <c r="I121" s="2883">
        <f>+[3]Silnice!$B$50</f>
        <v>1000000</v>
      </c>
      <c r="J121" s="2880">
        <f t="shared" si="11"/>
        <v>0</v>
      </c>
      <c r="K121" s="2860"/>
      <c r="L121" s="2867"/>
      <c r="M121" s="2168"/>
    </row>
    <row r="122" spans="1:13" ht="25.5" customHeight="1" outlineLevel="1">
      <c r="A122" s="2910">
        <v>2212</v>
      </c>
      <c r="B122" s="2887">
        <v>5171</v>
      </c>
      <c r="C122" s="2994" t="s">
        <v>1732</v>
      </c>
      <c r="D122" s="3000">
        <v>150000</v>
      </c>
      <c r="E122" s="3000">
        <v>150000</v>
      </c>
      <c r="F122" s="3000">
        <v>150000</v>
      </c>
      <c r="G122" s="3000">
        <v>150000</v>
      </c>
      <c r="H122" s="3000">
        <v>150000</v>
      </c>
      <c r="I122" s="2883">
        <f>+[3]Silnice!$B$51</f>
        <v>150000</v>
      </c>
      <c r="J122" s="2880">
        <f t="shared" si="11"/>
        <v>0</v>
      </c>
      <c r="K122" s="2860"/>
      <c r="L122" s="2867"/>
      <c r="M122" s="2168"/>
    </row>
    <row r="123" spans="1:13" ht="20.25" customHeight="1" outlineLevel="1">
      <c r="A123" s="2910">
        <v>2212</v>
      </c>
      <c r="B123" s="2887">
        <v>5171</v>
      </c>
      <c r="C123" s="2994" t="s">
        <v>1733</v>
      </c>
      <c r="D123" s="3000">
        <v>430000</v>
      </c>
      <c r="E123" s="3000">
        <v>430000</v>
      </c>
      <c r="F123" s="3000">
        <v>430000</v>
      </c>
      <c r="G123" s="3000">
        <v>430000</v>
      </c>
      <c r="H123" s="3000">
        <v>0</v>
      </c>
      <c r="I123" s="2883">
        <f>+[3]Silnice!$B$52</f>
        <v>0</v>
      </c>
      <c r="J123" s="2880">
        <f t="shared" si="11"/>
        <v>0</v>
      </c>
      <c r="K123" s="2860"/>
      <c r="L123" s="2867"/>
      <c r="M123" s="2168"/>
    </row>
    <row r="124" spans="1:13" s="2899" customFormat="1" ht="20.25" hidden="1" customHeight="1" outlineLevel="1">
      <c r="A124" s="3069">
        <v>2212</v>
      </c>
      <c r="B124" s="3070">
        <v>5171</v>
      </c>
      <c r="C124" s="3068" t="s">
        <v>2865</v>
      </c>
      <c r="D124" s="3071"/>
      <c r="E124" s="3071"/>
      <c r="F124" s="3071"/>
      <c r="G124" s="3071"/>
      <c r="H124" s="3071">
        <v>0</v>
      </c>
      <c r="I124" s="2890">
        <f>+[3]Silnice!$B$53</f>
        <v>0</v>
      </c>
      <c r="J124" s="2880">
        <f t="shared" si="11"/>
        <v>0</v>
      </c>
      <c r="K124" s="2898"/>
      <c r="L124" s="2867"/>
      <c r="M124" s="3072"/>
    </row>
    <row r="125" spans="1:13" ht="20.25" hidden="1" customHeight="1" outlineLevel="1">
      <c r="A125" s="2910">
        <v>2212</v>
      </c>
      <c r="B125" s="2887">
        <v>5171</v>
      </c>
      <c r="C125" s="2994"/>
      <c r="D125" s="3000">
        <v>0</v>
      </c>
      <c r="E125" s="3000">
        <v>0</v>
      </c>
      <c r="F125" s="3000">
        <v>0</v>
      </c>
      <c r="G125" s="3000">
        <v>0</v>
      </c>
      <c r="H125" s="3000"/>
      <c r="I125" s="2883"/>
      <c r="J125" s="2880">
        <f t="shared" si="11"/>
        <v>0</v>
      </c>
      <c r="K125" s="2860"/>
      <c r="L125" s="2867"/>
      <c r="M125" s="2168"/>
    </row>
    <row r="126" spans="1:13" ht="20.25" customHeight="1" outlineLevel="1">
      <c r="A126" s="2910">
        <v>2212</v>
      </c>
      <c r="B126" s="2887">
        <v>5171</v>
      </c>
      <c r="C126" s="2994" t="s">
        <v>1734</v>
      </c>
      <c r="D126" s="3000">
        <v>711480</v>
      </c>
      <c r="E126" s="3000">
        <v>300000</v>
      </c>
      <c r="F126" s="3000">
        <v>300000</v>
      </c>
      <c r="G126" s="3000">
        <v>300000</v>
      </c>
      <c r="H126" s="3000">
        <v>300000</v>
      </c>
      <c r="I126" s="2883">
        <f>+[3]Silnice!$B$54</f>
        <v>300000</v>
      </c>
      <c r="J126" s="2880">
        <f t="shared" si="11"/>
        <v>0</v>
      </c>
      <c r="K126" s="2860"/>
      <c r="L126" s="2867"/>
      <c r="M126" s="2168"/>
    </row>
    <row r="127" spans="1:13" ht="20.25" customHeight="1" outlineLevel="1">
      <c r="A127" s="2910">
        <v>2212</v>
      </c>
      <c r="B127" s="2887">
        <v>5171</v>
      </c>
      <c r="C127" s="2994" t="s">
        <v>2683</v>
      </c>
      <c r="D127" s="3000">
        <v>2100000</v>
      </c>
      <c r="E127" s="3000">
        <v>4100000</v>
      </c>
      <c r="F127" s="3000">
        <v>4100000</v>
      </c>
      <c r="G127" s="3000">
        <v>4100000</v>
      </c>
      <c r="H127" s="3000">
        <v>0</v>
      </c>
      <c r="I127" s="2883">
        <f>+[3]Silnice!$B$55</f>
        <v>0</v>
      </c>
      <c r="J127" s="2880">
        <f t="shared" si="11"/>
        <v>0</v>
      </c>
      <c r="K127" s="2860"/>
      <c r="L127" s="2867"/>
      <c r="M127" s="2168"/>
    </row>
    <row r="128" spans="1:13" s="2899" customFormat="1" ht="20.25" customHeight="1" outlineLevel="1">
      <c r="A128" s="3069">
        <v>2212</v>
      </c>
      <c r="B128" s="3070">
        <v>5171</v>
      </c>
      <c r="C128" s="3068" t="s">
        <v>2863</v>
      </c>
      <c r="D128" s="3071"/>
      <c r="E128" s="3071"/>
      <c r="F128" s="3071"/>
      <c r="G128" s="3071"/>
      <c r="H128" s="3071">
        <v>1900000</v>
      </c>
      <c r="I128" s="2890">
        <f>+[3]Silnice!$B$56</f>
        <v>1900000</v>
      </c>
      <c r="J128" s="2880">
        <f t="shared" si="11"/>
        <v>0</v>
      </c>
      <c r="K128" s="2898"/>
      <c r="L128" s="2867"/>
      <c r="M128" s="3072"/>
    </row>
    <row r="129" spans="1:13" s="2899" customFormat="1" ht="20.25" customHeight="1" outlineLevel="1">
      <c r="A129" s="3069">
        <v>2212</v>
      </c>
      <c r="B129" s="3070">
        <v>5171</v>
      </c>
      <c r="C129" s="3068" t="s">
        <v>2851</v>
      </c>
      <c r="D129" s="3071"/>
      <c r="E129" s="3071"/>
      <c r="F129" s="3071"/>
      <c r="G129" s="3071"/>
      <c r="H129" s="3071">
        <v>400000</v>
      </c>
      <c r="I129" s="2890">
        <f>+[3]Silnice!$B$57</f>
        <v>400000</v>
      </c>
      <c r="J129" s="2880">
        <f t="shared" si="11"/>
        <v>0</v>
      </c>
      <c r="K129" s="2898"/>
      <c r="L129" s="2867"/>
      <c r="M129" s="3072"/>
    </row>
    <row r="130" spans="1:13" s="2899" customFormat="1" ht="20.25" customHeight="1" outlineLevel="1">
      <c r="A130" s="3069">
        <v>2212</v>
      </c>
      <c r="B130" s="3070">
        <v>5171</v>
      </c>
      <c r="C130" s="3068" t="s">
        <v>2864</v>
      </c>
      <c r="D130" s="3071"/>
      <c r="E130" s="3071"/>
      <c r="F130" s="3071"/>
      <c r="G130" s="3071"/>
      <c r="H130" s="3071">
        <v>340000</v>
      </c>
      <c r="I130" s="2890">
        <f>+[3]Silnice!$B$58</f>
        <v>340000</v>
      </c>
      <c r="J130" s="2880">
        <f t="shared" si="11"/>
        <v>0</v>
      </c>
      <c r="K130" s="2898"/>
      <c r="L130" s="2867"/>
      <c r="M130" s="3072"/>
    </row>
    <row r="131" spans="1:13" ht="20.25" customHeight="1" outlineLevel="1">
      <c r="A131" s="2910">
        <v>2212</v>
      </c>
      <c r="B131" s="2887">
        <v>5171</v>
      </c>
      <c r="C131" s="2994" t="s">
        <v>2599</v>
      </c>
      <c r="D131" s="3000">
        <v>500000</v>
      </c>
      <c r="E131" s="3000">
        <v>500000</v>
      </c>
      <c r="F131" s="3000">
        <v>500000</v>
      </c>
      <c r="G131" s="3000">
        <v>500000</v>
      </c>
      <c r="H131" s="3000">
        <v>0</v>
      </c>
      <c r="I131" s="2883">
        <f>+[3]Silnice!$B$59</f>
        <v>0</v>
      </c>
      <c r="J131" s="2880">
        <f t="shared" si="11"/>
        <v>0</v>
      </c>
      <c r="K131" s="2860"/>
      <c r="L131" s="2867"/>
      <c r="M131" s="2168"/>
    </row>
    <row r="132" spans="1:13" ht="20.25" customHeight="1" outlineLevel="1">
      <c r="A132" s="2910">
        <v>2212</v>
      </c>
      <c r="B132" s="2887">
        <v>5171</v>
      </c>
      <c r="C132" s="2994" t="s">
        <v>2877</v>
      </c>
      <c r="D132" s="3000">
        <v>1200000</v>
      </c>
      <c r="E132" s="3000">
        <v>1200000</v>
      </c>
      <c r="F132" s="3000">
        <v>1200000</v>
      </c>
      <c r="G132" s="3000">
        <v>1200000</v>
      </c>
      <c r="H132" s="3000">
        <v>3900000</v>
      </c>
      <c r="I132" s="3061">
        <f>+[3]Silnice!$B$60</f>
        <v>3900000</v>
      </c>
      <c r="J132" s="2880">
        <f t="shared" si="11"/>
        <v>0</v>
      </c>
      <c r="K132" s="2866"/>
      <c r="L132" s="2867"/>
      <c r="M132" s="2168"/>
    </row>
    <row r="133" spans="1:13" s="2899" customFormat="1" ht="20.25" customHeight="1" outlineLevel="1">
      <c r="A133" s="3069">
        <v>2212</v>
      </c>
      <c r="B133" s="3070">
        <v>5171</v>
      </c>
      <c r="C133" s="3068" t="s">
        <v>2852</v>
      </c>
      <c r="D133" s="3071"/>
      <c r="E133" s="3071"/>
      <c r="F133" s="3071"/>
      <c r="G133" s="3071"/>
      <c r="H133" s="3071">
        <v>59000</v>
      </c>
      <c r="I133" s="3073">
        <f>+[3]Silnice!$B$61</f>
        <v>59000</v>
      </c>
      <c r="J133" s="2880">
        <f t="shared" si="11"/>
        <v>0</v>
      </c>
      <c r="K133" s="2859"/>
      <c r="L133" s="2867"/>
      <c r="M133" s="3072"/>
    </row>
    <row r="134" spans="1:13" s="2899" customFormat="1" ht="20.25" customHeight="1" outlineLevel="1">
      <c r="A134" s="3069">
        <v>2212</v>
      </c>
      <c r="B134" s="3070">
        <v>5171</v>
      </c>
      <c r="C134" s="3068" t="s">
        <v>2859</v>
      </c>
      <c r="D134" s="3071"/>
      <c r="E134" s="3071"/>
      <c r="F134" s="3071"/>
      <c r="G134" s="3071"/>
      <c r="H134" s="3071">
        <v>530000</v>
      </c>
      <c r="I134" s="3073">
        <f>+[3]Silnice!$B$62</f>
        <v>530000</v>
      </c>
      <c r="J134" s="2880">
        <f t="shared" ref="J134:J179" si="19">+I134-H134</f>
        <v>0</v>
      </c>
      <c r="K134" s="2859"/>
      <c r="L134" s="2867"/>
      <c r="M134" s="3072"/>
    </row>
    <row r="135" spans="1:13" s="2899" customFormat="1" ht="20.25" hidden="1" customHeight="1" outlineLevel="1">
      <c r="A135" s="3069">
        <v>2212</v>
      </c>
      <c r="B135" s="3070">
        <v>5171</v>
      </c>
      <c r="C135" s="3068" t="s">
        <v>2860</v>
      </c>
      <c r="D135" s="3071"/>
      <c r="E135" s="3071"/>
      <c r="F135" s="3071"/>
      <c r="G135" s="3071"/>
      <c r="H135" s="3071">
        <v>0</v>
      </c>
      <c r="I135" s="3073">
        <f>+[3]Silnice!$B$63</f>
        <v>0</v>
      </c>
      <c r="J135" s="2880">
        <f t="shared" si="19"/>
        <v>0</v>
      </c>
      <c r="K135" s="2859"/>
      <c r="L135" s="2867"/>
      <c r="M135" s="3072"/>
    </row>
    <row r="136" spans="1:13" s="2899" customFormat="1" ht="20.25" hidden="1" customHeight="1" outlineLevel="1">
      <c r="A136" s="3069">
        <v>2212</v>
      </c>
      <c r="B136" s="3070">
        <v>5171</v>
      </c>
      <c r="C136" s="3068" t="s">
        <v>2853</v>
      </c>
      <c r="D136" s="3071"/>
      <c r="E136" s="3071"/>
      <c r="F136" s="3071"/>
      <c r="G136" s="3071"/>
      <c r="H136" s="3071">
        <v>0</v>
      </c>
      <c r="I136" s="3073">
        <f>+[3]Silnice!$B$64</f>
        <v>0</v>
      </c>
      <c r="J136" s="2880">
        <f t="shared" si="19"/>
        <v>0</v>
      </c>
      <c r="K136" s="2859"/>
      <c r="L136" s="2867"/>
      <c r="M136" s="3072"/>
    </row>
    <row r="137" spans="1:13" s="2899" customFormat="1" ht="20.25" customHeight="1" outlineLevel="1">
      <c r="A137" s="3069">
        <v>2212</v>
      </c>
      <c r="B137" s="3070">
        <v>5171</v>
      </c>
      <c r="C137" s="3068" t="s">
        <v>2861</v>
      </c>
      <c r="D137" s="3071"/>
      <c r="E137" s="3071"/>
      <c r="F137" s="3071"/>
      <c r="G137" s="3071"/>
      <c r="H137" s="3071">
        <v>1400000</v>
      </c>
      <c r="I137" s="3073">
        <f>+[3]Silnice!$B$65</f>
        <v>1400000</v>
      </c>
      <c r="J137" s="2880">
        <f t="shared" si="19"/>
        <v>0</v>
      </c>
      <c r="K137" s="2859"/>
      <c r="L137" s="2867"/>
      <c r="M137" s="3072"/>
    </row>
    <row r="138" spans="1:13" s="2899" customFormat="1" ht="20.25" customHeight="1" outlineLevel="1">
      <c r="A138" s="3069">
        <v>2212</v>
      </c>
      <c r="B138" s="3070">
        <v>5171</v>
      </c>
      <c r="C138" s="3068" t="s">
        <v>2862</v>
      </c>
      <c r="D138" s="3071"/>
      <c r="E138" s="3071"/>
      <c r="F138" s="3071"/>
      <c r="G138" s="3071"/>
      <c r="H138" s="3071">
        <v>1300000</v>
      </c>
      <c r="I138" s="3073">
        <f>+[3]Silnice!$B$66</f>
        <v>1300000</v>
      </c>
      <c r="J138" s="2880">
        <f t="shared" si="19"/>
        <v>0</v>
      </c>
      <c r="K138" s="2859"/>
      <c r="L138" s="2867"/>
      <c r="M138" s="3072"/>
    </row>
    <row r="139" spans="1:13" s="2899" customFormat="1" ht="20.25" customHeight="1" outlineLevel="1">
      <c r="A139" s="3069">
        <v>2212</v>
      </c>
      <c r="B139" s="3070">
        <v>5171</v>
      </c>
      <c r="C139" s="3068" t="s">
        <v>2854</v>
      </c>
      <c r="D139" s="3071"/>
      <c r="E139" s="3071"/>
      <c r="F139" s="3071"/>
      <c r="G139" s="3071"/>
      <c r="H139" s="3071">
        <v>1089000</v>
      </c>
      <c r="I139" s="3073">
        <f>+[3]Silnice!$B$67</f>
        <v>1089000</v>
      </c>
      <c r="J139" s="2880">
        <f t="shared" si="19"/>
        <v>0</v>
      </c>
      <c r="K139" s="2859"/>
      <c r="L139" s="2867"/>
      <c r="M139" s="3072"/>
    </row>
    <row r="140" spans="1:13" ht="20.25" hidden="1" customHeight="1" outlineLevel="1">
      <c r="A140" s="2910">
        <v>2212</v>
      </c>
      <c r="B140" s="2887">
        <v>5171</v>
      </c>
      <c r="C140" s="2994" t="s">
        <v>2684</v>
      </c>
      <c r="D140" s="3000"/>
      <c r="E140" s="3000"/>
      <c r="F140" s="3000"/>
      <c r="G140" s="3000"/>
      <c r="H140" s="3000"/>
      <c r="I140" s="3061"/>
      <c r="J140" s="2880">
        <f t="shared" si="19"/>
        <v>0</v>
      </c>
      <c r="K140" s="2866"/>
      <c r="L140" s="2867"/>
      <c r="M140" s="2168"/>
    </row>
    <row r="141" spans="1:13" s="2899" customFormat="1" ht="20.25" hidden="1" customHeight="1" outlineLevel="1">
      <c r="A141" s="3069">
        <v>2212</v>
      </c>
      <c r="B141" s="3070">
        <v>5171</v>
      </c>
      <c r="C141" s="3068" t="s">
        <v>2858</v>
      </c>
      <c r="D141" s="3071"/>
      <c r="E141" s="3071"/>
      <c r="F141" s="3071"/>
      <c r="G141" s="3071"/>
      <c r="H141" s="3071">
        <v>0</v>
      </c>
      <c r="I141" s="3073">
        <f>+[3]Silnice!$B$69</f>
        <v>0</v>
      </c>
      <c r="J141" s="2880">
        <f t="shared" si="19"/>
        <v>0</v>
      </c>
      <c r="K141" s="2859"/>
      <c r="L141" s="2867"/>
      <c r="M141" s="3072"/>
    </row>
    <row r="142" spans="1:13" ht="20.25" hidden="1" customHeight="1" outlineLevel="1">
      <c r="A142" s="2910">
        <v>2212</v>
      </c>
      <c r="B142" s="2887">
        <v>5171</v>
      </c>
      <c r="C142" s="2994" t="s">
        <v>2835</v>
      </c>
      <c r="D142" s="3000">
        <v>0</v>
      </c>
      <c r="E142" s="3000">
        <v>0</v>
      </c>
      <c r="F142" s="3000">
        <v>0</v>
      </c>
      <c r="G142" s="3000">
        <v>0</v>
      </c>
      <c r="H142" s="3000"/>
      <c r="I142" s="2883"/>
      <c r="J142" s="2880">
        <f t="shared" si="19"/>
        <v>0</v>
      </c>
      <c r="K142" s="2860"/>
      <c r="L142" s="2867"/>
      <c r="M142" s="2168"/>
    </row>
    <row r="143" spans="1:13" ht="20.25" customHeight="1" outlineLevel="1">
      <c r="A143" s="2910">
        <v>2212</v>
      </c>
      <c r="B143" s="2887">
        <v>5171</v>
      </c>
      <c r="C143" s="2994" t="s">
        <v>2228</v>
      </c>
      <c r="D143" s="3000">
        <v>500000</v>
      </c>
      <c r="E143" s="3000">
        <v>500000</v>
      </c>
      <c r="F143" s="3000">
        <v>500000</v>
      </c>
      <c r="G143" s="3000">
        <v>500000</v>
      </c>
      <c r="H143" s="3000">
        <v>500000</v>
      </c>
      <c r="I143" s="2883">
        <f>+[3]Silnice!$D$70</f>
        <v>500000</v>
      </c>
      <c r="J143" s="2880">
        <f t="shared" si="19"/>
        <v>0</v>
      </c>
      <c r="K143" s="2860"/>
      <c r="L143" s="2867"/>
      <c r="M143" s="2168"/>
    </row>
    <row r="144" spans="1:13" s="2899" customFormat="1" ht="20.25" customHeight="1" outlineLevel="1">
      <c r="A144" s="3069">
        <v>2212</v>
      </c>
      <c r="B144" s="3070">
        <v>5171</v>
      </c>
      <c r="C144" s="3068" t="s">
        <v>2857</v>
      </c>
      <c r="D144" s="3071">
        <v>0</v>
      </c>
      <c r="E144" s="3071">
        <v>0</v>
      </c>
      <c r="F144" s="3071">
        <v>0</v>
      </c>
      <c r="G144" s="3071">
        <v>0</v>
      </c>
      <c r="H144" s="3071">
        <v>250000</v>
      </c>
      <c r="I144" s="2890">
        <f>+[3]Silnice!$B$71</f>
        <v>250000</v>
      </c>
      <c r="J144" s="2880">
        <f t="shared" si="19"/>
        <v>0</v>
      </c>
      <c r="K144" s="2898"/>
      <c r="L144" s="2867"/>
      <c r="M144" s="3072"/>
    </row>
    <row r="145" spans="1:13" ht="20.25" customHeight="1" outlineLevel="1">
      <c r="A145" s="2910">
        <v>2212</v>
      </c>
      <c r="B145" s="2887">
        <v>5171</v>
      </c>
      <c r="C145" s="2994" t="s">
        <v>2229</v>
      </c>
      <c r="D145" s="3000">
        <v>2000000</v>
      </c>
      <c r="E145" s="3000">
        <v>2000000</v>
      </c>
      <c r="F145" s="3000">
        <v>2000000</v>
      </c>
      <c r="G145" s="3000">
        <v>2000000</v>
      </c>
      <c r="H145" s="3000">
        <v>2000000</v>
      </c>
      <c r="I145" s="2883">
        <f>+[3]Silnice!$B$72</f>
        <v>2000000</v>
      </c>
      <c r="J145" s="2880">
        <f t="shared" si="19"/>
        <v>0</v>
      </c>
      <c r="K145" s="2860"/>
      <c r="L145" s="2867"/>
      <c r="M145" s="2168"/>
    </row>
    <row r="146" spans="1:13" ht="20.25" customHeight="1" outlineLevel="1">
      <c r="A146" s="2910">
        <v>2212</v>
      </c>
      <c r="B146" s="2887">
        <v>5171</v>
      </c>
      <c r="C146" s="2994" t="s">
        <v>2308</v>
      </c>
      <c r="D146" s="3000">
        <v>500000</v>
      </c>
      <c r="E146" s="3000">
        <v>500000</v>
      </c>
      <c r="F146" s="3000">
        <v>500000</v>
      </c>
      <c r="G146" s="3000">
        <v>500000</v>
      </c>
      <c r="H146" s="3000">
        <v>500000</v>
      </c>
      <c r="I146" s="2883">
        <f>+[3]Silnice!$B$73</f>
        <v>500000</v>
      </c>
      <c r="J146" s="2880">
        <f t="shared" si="19"/>
        <v>0</v>
      </c>
      <c r="K146" s="2860"/>
      <c r="L146" s="2867"/>
      <c r="M146" s="2168"/>
    </row>
    <row r="147" spans="1:13" ht="20.25" hidden="1" customHeight="1" outlineLevel="1">
      <c r="A147" s="2910">
        <v>2212</v>
      </c>
      <c r="B147" s="2887">
        <v>5171</v>
      </c>
      <c r="C147" s="2994"/>
      <c r="D147" s="3000"/>
      <c r="E147" s="3000"/>
      <c r="F147" s="3000"/>
      <c r="G147" s="3000"/>
      <c r="H147" s="3000"/>
      <c r="I147" s="2883"/>
      <c r="J147" s="2880">
        <f t="shared" si="19"/>
        <v>0</v>
      </c>
      <c r="K147" s="2860"/>
      <c r="L147" s="2867"/>
      <c r="M147" s="2168"/>
    </row>
    <row r="148" spans="1:13" ht="20.25" hidden="1" customHeight="1" outlineLevel="1">
      <c r="A148" s="2910">
        <v>2212</v>
      </c>
      <c r="B148" s="2887">
        <v>5171</v>
      </c>
      <c r="C148" s="2994"/>
      <c r="D148" s="3000"/>
      <c r="E148" s="3000"/>
      <c r="F148" s="3000"/>
      <c r="G148" s="3000"/>
      <c r="H148" s="3000"/>
      <c r="I148" s="2883"/>
      <c r="J148" s="2880">
        <f t="shared" si="19"/>
        <v>0</v>
      </c>
      <c r="K148" s="2860"/>
      <c r="L148" s="2867"/>
      <c r="M148" s="2168"/>
    </row>
    <row r="149" spans="1:13" ht="12.4" thickBot="1">
      <c r="A149" s="3227" t="s">
        <v>254</v>
      </c>
      <c r="B149" s="3228"/>
      <c r="C149" s="2991"/>
      <c r="D149" s="2997">
        <v>12641480</v>
      </c>
      <c r="E149" s="2997">
        <v>14530000</v>
      </c>
      <c r="F149" s="2997">
        <v>14530000</v>
      </c>
      <c r="G149" s="2997">
        <v>14530000</v>
      </c>
      <c r="H149" s="2997">
        <v>21186200</v>
      </c>
      <c r="I149" s="2864">
        <f>SUM(I109:I148)</f>
        <v>21186200</v>
      </c>
      <c r="J149" s="2865">
        <f t="shared" si="19"/>
        <v>0</v>
      </c>
      <c r="K149" s="2866">
        <f>'Výdaje kapitol celkem'!CG35</f>
        <v>21186200</v>
      </c>
      <c r="L149" s="2867">
        <f>+K149-I149</f>
        <v>0</v>
      </c>
      <c r="M149" s="2168"/>
    </row>
    <row r="150" spans="1:13" ht="19.5" customHeight="1" outlineLevel="1">
      <c r="A150" s="2907">
        <v>2310</v>
      </c>
      <c r="B150" s="2824">
        <v>5171</v>
      </c>
      <c r="C150" s="2989" t="s">
        <v>1726</v>
      </c>
      <c r="D150" s="2995">
        <v>0</v>
      </c>
      <c r="E150" s="2995">
        <v>0</v>
      </c>
      <c r="F150" s="2995">
        <v>0</v>
      </c>
      <c r="G150" s="2995">
        <v>0</v>
      </c>
      <c r="H150" s="2995">
        <v>0</v>
      </c>
      <c r="I150" s="2826">
        <f>+[3]Vodovod!$B$20</f>
        <v>0</v>
      </c>
      <c r="J150" s="2827">
        <f t="shared" si="19"/>
        <v>0</v>
      </c>
      <c r="K150" s="2860"/>
      <c r="L150" s="2867"/>
      <c r="M150" s="2168"/>
    </row>
    <row r="151" spans="1:13" ht="19.5" customHeight="1" outlineLevel="1">
      <c r="A151" s="2910">
        <v>2310</v>
      </c>
      <c r="B151" s="2887">
        <v>5171</v>
      </c>
      <c r="C151" s="2993" t="s">
        <v>1727</v>
      </c>
      <c r="D151" s="2999">
        <v>100000</v>
      </c>
      <c r="E151" s="2999">
        <v>100000</v>
      </c>
      <c r="F151" s="2999">
        <v>100000</v>
      </c>
      <c r="G151" s="2999">
        <v>100000</v>
      </c>
      <c r="H151" s="2999">
        <v>100000</v>
      </c>
      <c r="I151" s="2841">
        <f>+[3]Vodovod!$B$21</f>
        <v>100000</v>
      </c>
      <c r="J151" s="2832">
        <f t="shared" si="19"/>
        <v>0</v>
      </c>
      <c r="K151" s="2860"/>
      <c r="L151" s="2867"/>
      <c r="M151" s="2168"/>
    </row>
    <row r="152" spans="1:13" ht="15" hidden="1" customHeight="1" outlineLevel="1">
      <c r="A152" s="2910">
        <v>2310</v>
      </c>
      <c r="B152" s="2887">
        <v>5171</v>
      </c>
      <c r="C152" s="2994"/>
      <c r="D152" s="3000"/>
      <c r="E152" s="3000"/>
      <c r="F152" s="3000"/>
      <c r="G152" s="3000"/>
      <c r="H152" s="3000"/>
      <c r="I152" s="2883"/>
      <c r="J152" s="2880">
        <f t="shared" si="19"/>
        <v>0</v>
      </c>
      <c r="K152" s="2860"/>
      <c r="L152" s="2867"/>
      <c r="M152" s="2168"/>
    </row>
    <row r="153" spans="1:13" ht="12.4" thickBot="1">
      <c r="A153" s="3227" t="s">
        <v>211</v>
      </c>
      <c r="B153" s="3228"/>
      <c r="C153" s="2991"/>
      <c r="D153" s="2997">
        <v>100000</v>
      </c>
      <c r="E153" s="2997">
        <v>100000</v>
      </c>
      <c r="F153" s="2997">
        <v>100000</v>
      </c>
      <c r="G153" s="2997">
        <v>100000</v>
      </c>
      <c r="H153" s="2997">
        <v>100000</v>
      </c>
      <c r="I153" s="2864">
        <f t="shared" ref="I153" si="20">SUM(I150:I152)</f>
        <v>100000</v>
      </c>
      <c r="J153" s="2865">
        <f t="shared" si="19"/>
        <v>0</v>
      </c>
      <c r="K153" s="2866">
        <f>'Výdaje kapitol celkem'!CK35</f>
        <v>100000</v>
      </c>
      <c r="L153" s="2867">
        <f>+K153-I153</f>
        <v>0</v>
      </c>
      <c r="M153" s="2168"/>
    </row>
    <row r="154" spans="1:13" ht="20.25" customHeight="1" outlineLevel="1">
      <c r="A154" s="2911">
        <v>3633</v>
      </c>
      <c r="B154" s="2888">
        <v>5171</v>
      </c>
      <c r="C154" s="2993" t="s">
        <v>2387</v>
      </c>
      <c r="D154" s="2999">
        <v>400000</v>
      </c>
      <c r="E154" s="2999">
        <v>400000</v>
      </c>
      <c r="F154" s="2999">
        <v>400000</v>
      </c>
      <c r="G154" s="2999">
        <v>400000</v>
      </c>
      <c r="H154" s="2999">
        <v>400000</v>
      </c>
      <c r="I154" s="2826">
        <f>+'[3]Inženýrské sítě'!$B$12</f>
        <v>400000</v>
      </c>
      <c r="J154" s="2838">
        <f t="shared" si="19"/>
        <v>0</v>
      </c>
      <c r="K154" s="2860"/>
      <c r="L154" s="2867"/>
      <c r="M154" s="2168"/>
    </row>
    <row r="155" spans="1:13" ht="20.25" customHeight="1" outlineLevel="1">
      <c r="A155" s="2910">
        <v>3633</v>
      </c>
      <c r="B155" s="2887">
        <v>5171</v>
      </c>
      <c r="C155" s="2994" t="s">
        <v>2388</v>
      </c>
      <c r="D155" s="2998">
        <v>800000</v>
      </c>
      <c r="E155" s="2998">
        <v>800000</v>
      </c>
      <c r="F155" s="2998">
        <v>800000</v>
      </c>
      <c r="G155" s="2998">
        <v>800000</v>
      </c>
      <c r="H155" s="2998">
        <v>800000</v>
      </c>
      <c r="I155" s="2839">
        <f>+'[3]Inženýrské sítě'!$B$13</f>
        <v>800000</v>
      </c>
      <c r="J155" s="2838">
        <f t="shared" si="19"/>
        <v>0</v>
      </c>
      <c r="K155" s="2860"/>
      <c r="L155" s="2867"/>
      <c r="M155" s="2168"/>
    </row>
    <row r="156" spans="1:13" ht="20.25" hidden="1" customHeight="1" outlineLevel="1">
      <c r="A156" s="2910">
        <v>3633</v>
      </c>
      <c r="B156" s="2887">
        <v>5171</v>
      </c>
      <c r="C156" s="2994"/>
      <c r="D156" s="2999"/>
      <c r="E156" s="2999"/>
      <c r="F156" s="2999"/>
      <c r="G156" s="2999"/>
      <c r="H156" s="2999"/>
      <c r="I156" s="2841"/>
      <c r="J156" s="2838">
        <f t="shared" si="19"/>
        <v>0</v>
      </c>
      <c r="K156" s="2860"/>
      <c r="L156" s="2867"/>
      <c r="M156" s="2168"/>
    </row>
    <row r="157" spans="1:13" ht="20.25" customHeight="1" thickBot="1">
      <c r="A157" s="3227" t="s">
        <v>251</v>
      </c>
      <c r="B157" s="3228"/>
      <c r="C157" s="2991"/>
      <c r="D157" s="2997">
        <v>1200000</v>
      </c>
      <c r="E157" s="2997">
        <v>1200000</v>
      </c>
      <c r="F157" s="2997">
        <v>1200000</v>
      </c>
      <c r="G157" s="2997">
        <v>1200000</v>
      </c>
      <c r="H157" s="2997">
        <v>1200000</v>
      </c>
      <c r="I157" s="2864">
        <f t="shared" ref="I157" si="21">SUM(I154:I156)</f>
        <v>1200000</v>
      </c>
      <c r="J157" s="2865">
        <f t="shared" si="19"/>
        <v>0</v>
      </c>
      <c r="K157" s="2866">
        <f>'Výdaje kapitol celkem'!CW35</f>
        <v>1200000</v>
      </c>
      <c r="L157" s="2867">
        <f>+K157-I157</f>
        <v>0</v>
      </c>
      <c r="M157" s="2168"/>
    </row>
    <row r="158" spans="1:13" ht="22.5" customHeight="1" outlineLevel="1">
      <c r="A158" s="2911" t="s">
        <v>219</v>
      </c>
      <c r="B158" s="2888">
        <v>5171</v>
      </c>
      <c r="C158" s="2993" t="s">
        <v>1715</v>
      </c>
      <c r="D158" s="2999">
        <v>2500000</v>
      </c>
      <c r="E158" s="2999">
        <v>2500000</v>
      </c>
      <c r="F158" s="2999">
        <v>2500000</v>
      </c>
      <c r="G158" s="2999">
        <v>2500000</v>
      </c>
      <c r="H158" s="2999">
        <v>2500000</v>
      </c>
      <c r="I158" s="2841">
        <f>+'[4]Kanalizace obnova'!$B$6</f>
        <v>2500000</v>
      </c>
      <c r="J158" s="2832">
        <f t="shared" si="19"/>
        <v>0</v>
      </c>
      <c r="K158" s="2860"/>
      <c r="L158" s="2867"/>
      <c r="M158" s="2168"/>
    </row>
    <row r="159" spans="1:13" ht="20.25" customHeight="1" outlineLevel="1">
      <c r="A159" s="2910" t="s">
        <v>219</v>
      </c>
      <c r="B159" s="2887">
        <v>5171</v>
      </c>
      <c r="C159" s="2994"/>
      <c r="D159" s="3000">
        <v>0</v>
      </c>
      <c r="E159" s="3000">
        <v>0</v>
      </c>
      <c r="F159" s="3000">
        <v>0</v>
      </c>
      <c r="G159" s="3000">
        <v>0</v>
      </c>
      <c r="H159" s="3000">
        <v>0</v>
      </c>
      <c r="I159" s="2883">
        <f>+'[4]Kanalizace obnova'!$B$7</f>
        <v>0</v>
      </c>
      <c r="J159" s="2880">
        <f t="shared" si="19"/>
        <v>0</v>
      </c>
      <c r="K159" s="2860"/>
      <c r="L159" s="2867"/>
      <c r="M159" s="2168"/>
    </row>
    <row r="160" spans="1:13" ht="20.25" hidden="1" customHeight="1" outlineLevel="1">
      <c r="A160" s="2910" t="s">
        <v>219</v>
      </c>
      <c r="B160" s="2887">
        <v>5171</v>
      </c>
      <c r="C160" s="2992"/>
      <c r="D160" s="3000"/>
      <c r="E160" s="3000"/>
      <c r="F160" s="3000"/>
      <c r="G160" s="3000"/>
      <c r="H160" s="3000"/>
      <c r="I160" s="2883"/>
      <c r="J160" s="2873">
        <f t="shared" si="19"/>
        <v>0</v>
      </c>
      <c r="K160" s="2860"/>
      <c r="L160" s="2867"/>
      <c r="M160" s="2168"/>
    </row>
    <row r="161" spans="1:13" ht="25.5" customHeight="1" thickBot="1">
      <c r="A161" s="3227" t="s">
        <v>250</v>
      </c>
      <c r="B161" s="3228"/>
      <c r="C161" s="2991"/>
      <c r="D161" s="2997">
        <v>2500000</v>
      </c>
      <c r="E161" s="2997">
        <v>2500000</v>
      </c>
      <c r="F161" s="2997">
        <v>2500000</v>
      </c>
      <c r="G161" s="2997">
        <v>2500000</v>
      </c>
      <c r="H161" s="2997">
        <v>2500000</v>
      </c>
      <c r="I161" s="2864">
        <f t="shared" ref="I161" si="22">SUM(I158:I160)</f>
        <v>2500000</v>
      </c>
      <c r="J161" s="2865">
        <f t="shared" si="19"/>
        <v>0</v>
      </c>
      <c r="K161" s="2866">
        <f>'Výdaje kapitol celkem'!CT35</f>
        <v>2500000</v>
      </c>
      <c r="L161" s="2867">
        <f>+K161-I161</f>
        <v>0</v>
      </c>
      <c r="M161" s="2168"/>
    </row>
    <row r="162" spans="1:13" ht="20.25" customHeight="1" outlineLevel="1">
      <c r="A162" s="2909" t="s">
        <v>196</v>
      </c>
      <c r="B162" s="2876">
        <v>5171</v>
      </c>
      <c r="C162" s="2992" t="s">
        <v>1719</v>
      </c>
      <c r="D162" s="2998">
        <v>200000</v>
      </c>
      <c r="E162" s="2998">
        <v>200000</v>
      </c>
      <c r="F162" s="2998">
        <v>200000</v>
      </c>
      <c r="G162" s="2998">
        <v>200000</v>
      </c>
      <c r="H162" s="2998">
        <v>200000</v>
      </c>
      <c r="I162" s="2839">
        <f>+[3]Kanalizace!$B$21</f>
        <v>200000</v>
      </c>
      <c r="J162" s="2890">
        <f t="shared" si="19"/>
        <v>0</v>
      </c>
      <c r="K162" s="2860"/>
      <c r="L162" s="2867"/>
      <c r="M162" s="2168"/>
    </row>
    <row r="163" spans="1:13" ht="20.25" customHeight="1" outlineLevel="1">
      <c r="A163" s="2910" t="s">
        <v>196</v>
      </c>
      <c r="B163" s="2887">
        <v>5171</v>
      </c>
      <c r="C163" s="2992" t="s">
        <v>1720</v>
      </c>
      <c r="D163" s="2998">
        <v>140000</v>
      </c>
      <c r="E163" s="2998">
        <v>140000</v>
      </c>
      <c r="F163" s="2998">
        <v>140000</v>
      </c>
      <c r="G163" s="2998">
        <v>140000</v>
      </c>
      <c r="H163" s="2998">
        <v>140000</v>
      </c>
      <c r="I163" s="2839">
        <f>+[3]Kanalizace!$B$22</f>
        <v>140000</v>
      </c>
      <c r="J163" s="2880">
        <f t="shared" si="19"/>
        <v>0</v>
      </c>
      <c r="K163" s="2860"/>
      <c r="L163" s="2867"/>
      <c r="M163" s="2168"/>
    </row>
    <row r="164" spans="1:13" ht="20.25" customHeight="1" outlineLevel="1">
      <c r="A164" s="2910" t="s">
        <v>196</v>
      </c>
      <c r="B164" s="2887">
        <v>5171</v>
      </c>
      <c r="C164" s="2992"/>
      <c r="D164" s="3000"/>
      <c r="E164" s="3000"/>
      <c r="F164" s="3000"/>
      <c r="G164" s="3000"/>
      <c r="H164" s="3000"/>
      <c r="I164" s="2883"/>
      <c r="J164" s="2873">
        <f t="shared" si="19"/>
        <v>0</v>
      </c>
      <c r="K164" s="2860"/>
      <c r="L164" s="2867"/>
      <c r="M164" s="2168"/>
    </row>
    <row r="165" spans="1:13" ht="12.4" thickBot="1">
      <c r="A165" s="3227" t="s">
        <v>685</v>
      </c>
      <c r="B165" s="3228"/>
      <c r="C165" s="2991"/>
      <c r="D165" s="2997">
        <v>340000</v>
      </c>
      <c r="E165" s="2997">
        <v>340000</v>
      </c>
      <c r="F165" s="2997">
        <v>340000</v>
      </c>
      <c r="G165" s="2997">
        <v>340000</v>
      </c>
      <c r="H165" s="2997">
        <v>340000</v>
      </c>
      <c r="I165" s="2864">
        <f t="shared" ref="I165" si="23">SUM(I162:I164)</f>
        <v>340000</v>
      </c>
      <c r="J165" s="2865">
        <f t="shared" si="19"/>
        <v>0</v>
      </c>
      <c r="K165" s="2866">
        <f>'Výdaje kapitol celkem'!CQ35</f>
        <v>340000</v>
      </c>
      <c r="L165" s="2867">
        <f>+K165-I165</f>
        <v>0</v>
      </c>
      <c r="M165" s="2168"/>
    </row>
    <row r="166" spans="1:13" ht="20.25" customHeight="1" outlineLevel="1">
      <c r="A166" s="2907">
        <v>3114</v>
      </c>
      <c r="B166" s="2824">
        <v>5171</v>
      </c>
      <c r="C166" s="2989" t="s">
        <v>1745</v>
      </c>
      <c r="D166" s="2995">
        <v>80000</v>
      </c>
      <c r="E166" s="2995">
        <v>80000</v>
      </c>
      <c r="F166" s="2995">
        <v>80000</v>
      </c>
      <c r="G166" s="2995">
        <v>80000</v>
      </c>
      <c r="H166" s="2995">
        <v>80000</v>
      </c>
      <c r="I166" s="2826">
        <f>+'[3]Č.p. 65'!$B$12</f>
        <v>80000</v>
      </c>
      <c r="J166" s="2827">
        <f t="shared" si="19"/>
        <v>0</v>
      </c>
      <c r="K166" s="2860"/>
      <c r="L166" s="2867"/>
      <c r="M166" s="2168"/>
    </row>
    <row r="167" spans="1:13" ht="20.25" customHeight="1" outlineLevel="1">
      <c r="A167" s="2909">
        <v>3114</v>
      </c>
      <c r="B167" s="2876">
        <v>5171</v>
      </c>
      <c r="C167" s="2992" t="s">
        <v>2385</v>
      </c>
      <c r="D167" s="2998">
        <v>100000</v>
      </c>
      <c r="E167" s="2998">
        <v>100000</v>
      </c>
      <c r="F167" s="2998">
        <v>100000</v>
      </c>
      <c r="G167" s="2998">
        <v>100000</v>
      </c>
      <c r="H167" s="2998">
        <v>100000</v>
      </c>
      <c r="I167" s="2839">
        <f>+'[3]Č.p. 65'!$B$13</f>
        <v>100000</v>
      </c>
      <c r="J167" s="2880">
        <f t="shared" si="19"/>
        <v>0</v>
      </c>
      <c r="K167" s="2860"/>
      <c r="L167" s="2867"/>
      <c r="M167" s="2168"/>
    </row>
    <row r="168" spans="1:13" ht="20.25" customHeight="1" outlineLevel="1">
      <c r="A168" s="2909">
        <v>3114</v>
      </c>
      <c r="B168" s="2876">
        <v>5171</v>
      </c>
      <c r="C168" s="2992"/>
      <c r="D168" s="2998">
        <v>0</v>
      </c>
      <c r="E168" s="2998">
        <v>0</v>
      </c>
      <c r="F168" s="2998">
        <v>0</v>
      </c>
      <c r="G168" s="2998">
        <v>0</v>
      </c>
      <c r="H168" s="2998">
        <v>0</v>
      </c>
      <c r="I168" s="2839">
        <f>+[2]č.p.65!$B$33</f>
        <v>0</v>
      </c>
      <c r="J168" s="2832">
        <f t="shared" si="19"/>
        <v>0</v>
      </c>
      <c r="K168" s="2860"/>
      <c r="L168" s="2867"/>
      <c r="M168" s="2168"/>
    </row>
    <row r="169" spans="1:13" ht="20.25" hidden="1" customHeight="1" outlineLevel="1">
      <c r="A169" s="2911">
        <v>3114</v>
      </c>
      <c r="B169" s="2888">
        <v>5171</v>
      </c>
      <c r="C169" s="2993"/>
      <c r="D169" s="2999">
        <v>0</v>
      </c>
      <c r="E169" s="2999">
        <v>0</v>
      </c>
      <c r="F169" s="2999">
        <v>0</v>
      </c>
      <c r="G169" s="2999">
        <v>0</v>
      </c>
      <c r="H169" s="2999">
        <v>0</v>
      </c>
      <c r="I169" s="2841">
        <f>+[2]č.p.65!$B$34</f>
        <v>0</v>
      </c>
      <c r="J169" s="2832">
        <f t="shared" si="19"/>
        <v>0</v>
      </c>
      <c r="K169" s="2860"/>
      <c r="L169" s="2867"/>
      <c r="M169" s="2168"/>
    </row>
    <row r="170" spans="1:13" ht="12.4" thickBot="1">
      <c r="A170" s="3227" t="s">
        <v>212</v>
      </c>
      <c r="B170" s="3228"/>
      <c r="C170" s="2991"/>
      <c r="D170" s="2997">
        <v>180000</v>
      </c>
      <c r="E170" s="2997">
        <v>180000</v>
      </c>
      <c r="F170" s="2997">
        <v>180000</v>
      </c>
      <c r="G170" s="2997">
        <v>180000</v>
      </c>
      <c r="H170" s="2997">
        <v>180000</v>
      </c>
      <c r="I170" s="2864">
        <f t="shared" ref="I170" si="24">SUM(I166:I169)</f>
        <v>180000</v>
      </c>
      <c r="J170" s="2865">
        <f t="shared" si="19"/>
        <v>0</v>
      </c>
      <c r="K170" s="2866">
        <f>+'Výdaje kapitol celkem'!BJ35</f>
        <v>180000</v>
      </c>
      <c r="L170" s="2867">
        <f>+K170-I170</f>
        <v>0</v>
      </c>
      <c r="M170" s="2168"/>
    </row>
    <row r="171" spans="1:13" ht="20.25" customHeight="1" outlineLevel="1">
      <c r="A171" s="2911">
        <v>3749</v>
      </c>
      <c r="B171" s="2888">
        <v>5171</v>
      </c>
      <c r="C171" s="2993"/>
      <c r="D171" s="2999">
        <v>0</v>
      </c>
      <c r="E171" s="2999">
        <v>0</v>
      </c>
      <c r="F171" s="2999">
        <v>0</v>
      </c>
      <c r="G171" s="2999">
        <v>0</v>
      </c>
      <c r="H171" s="2999">
        <v>0</v>
      </c>
      <c r="I171" s="2841">
        <f>+[3]Rybníky!$B$12</f>
        <v>0</v>
      </c>
      <c r="J171" s="2832">
        <f t="shared" si="19"/>
        <v>0</v>
      </c>
      <c r="K171" s="2860"/>
      <c r="L171" s="2867"/>
      <c r="M171" s="2168"/>
    </row>
    <row r="172" spans="1:13" ht="20.25" customHeight="1" outlineLevel="1">
      <c r="A172" s="2909">
        <v>3749</v>
      </c>
      <c r="B172" s="2876">
        <v>5171</v>
      </c>
      <c r="C172" s="2992"/>
      <c r="D172" s="2998">
        <v>0</v>
      </c>
      <c r="E172" s="2998">
        <v>0</v>
      </c>
      <c r="F172" s="2998">
        <v>0</v>
      </c>
      <c r="G172" s="2998">
        <v>0</v>
      </c>
      <c r="H172" s="2998">
        <v>0</v>
      </c>
      <c r="I172" s="2839">
        <f>+[3]Rybníky!$B$13</f>
        <v>0</v>
      </c>
      <c r="J172" s="2880">
        <f t="shared" si="19"/>
        <v>0</v>
      </c>
      <c r="K172" s="2860"/>
      <c r="L172" s="2867"/>
      <c r="M172" s="2168"/>
    </row>
    <row r="173" spans="1:13" ht="20.25" customHeight="1" outlineLevel="1">
      <c r="A173" s="2908">
        <v>3749</v>
      </c>
      <c r="B173" s="2829">
        <v>5171</v>
      </c>
      <c r="C173" s="2990"/>
      <c r="D173" s="2996"/>
      <c r="E173" s="2996"/>
      <c r="F173" s="2996"/>
      <c r="G173" s="2996"/>
      <c r="H173" s="2996"/>
      <c r="I173" s="2837"/>
      <c r="J173" s="2838">
        <f t="shared" si="19"/>
        <v>0</v>
      </c>
      <c r="K173" s="2860"/>
      <c r="L173" s="2867"/>
      <c r="M173" s="2168"/>
    </row>
    <row r="174" spans="1:13" ht="20.25" customHeight="1" thickBot="1">
      <c r="A174" s="3227" t="s">
        <v>1197</v>
      </c>
      <c r="B174" s="3228"/>
      <c r="C174" s="2991"/>
      <c r="D174" s="2997">
        <v>0</v>
      </c>
      <c r="E174" s="2997">
        <v>0</v>
      </c>
      <c r="F174" s="2997">
        <v>0</v>
      </c>
      <c r="G174" s="2997">
        <v>0</v>
      </c>
      <c r="H174" s="2997">
        <v>0</v>
      </c>
      <c r="I174" s="2864">
        <f t="shared" ref="I174" si="25">SUM(I171:I173)</f>
        <v>0</v>
      </c>
      <c r="J174" s="2865">
        <f t="shared" si="19"/>
        <v>0</v>
      </c>
      <c r="K174" s="2866">
        <f>'Výdaje kapitol celkem'!DO35</f>
        <v>0</v>
      </c>
      <c r="L174" s="2867">
        <f>+K174-I174</f>
        <v>0</v>
      </c>
      <c r="M174" s="2168"/>
    </row>
    <row r="175" spans="1:13" ht="20.25" customHeight="1" outlineLevel="1">
      <c r="A175" s="2911" t="s">
        <v>198</v>
      </c>
      <c r="B175" s="2888">
        <v>5171</v>
      </c>
      <c r="C175" s="2993" t="s">
        <v>1715</v>
      </c>
      <c r="D175" s="2999">
        <v>3000000</v>
      </c>
      <c r="E175" s="2999">
        <v>3500000</v>
      </c>
      <c r="F175" s="2999">
        <v>5200000</v>
      </c>
      <c r="G175" s="2999">
        <v>5200000</v>
      </c>
      <c r="H175" s="2999">
        <v>5200000</v>
      </c>
      <c r="I175" s="2841">
        <f>+'[4]Vodovod obnova'!$B$6</f>
        <v>5200000</v>
      </c>
      <c r="J175" s="2832">
        <f t="shared" si="19"/>
        <v>0</v>
      </c>
      <c r="K175" s="2860"/>
      <c r="L175" s="2867"/>
      <c r="M175" s="2168"/>
    </row>
    <row r="176" spans="1:13" ht="20.25" customHeight="1" outlineLevel="1">
      <c r="A176" s="2909" t="s">
        <v>198</v>
      </c>
      <c r="B176" s="2876">
        <v>5171</v>
      </c>
      <c r="C176" s="2992" t="s">
        <v>2201</v>
      </c>
      <c r="D176" s="2998">
        <v>0</v>
      </c>
      <c r="E176" s="2998">
        <v>0</v>
      </c>
      <c r="F176" s="2998">
        <v>0</v>
      </c>
      <c r="G176" s="2998">
        <v>0</v>
      </c>
      <c r="H176" s="2998">
        <v>0</v>
      </c>
      <c r="I176" s="2839">
        <f>+'[4]Vodovod obnova'!$B$7</f>
        <v>0</v>
      </c>
      <c r="J176" s="2880">
        <f t="shared" si="19"/>
        <v>0</v>
      </c>
      <c r="K176" s="2860"/>
      <c r="L176" s="2867"/>
      <c r="M176" s="2168"/>
    </row>
    <row r="177" spans="1:13" ht="20.25" hidden="1" customHeight="1" outlineLevel="1">
      <c r="A177" s="2908" t="s">
        <v>198</v>
      </c>
      <c r="B177" s="2829">
        <v>5171</v>
      </c>
      <c r="C177" s="2990"/>
      <c r="D177" s="2996">
        <v>0</v>
      </c>
      <c r="E177" s="2996">
        <v>0</v>
      </c>
      <c r="F177" s="2996">
        <v>0</v>
      </c>
      <c r="G177" s="2996">
        <v>0</v>
      </c>
      <c r="H177" s="2996">
        <v>0</v>
      </c>
      <c r="I177" s="2837">
        <f>+'[4]Vodovod obnova'!$B$8</f>
        <v>0</v>
      </c>
      <c r="J177" s="2838">
        <f t="shared" si="19"/>
        <v>0</v>
      </c>
      <c r="K177" s="2860"/>
      <c r="L177" s="2867"/>
      <c r="M177" s="2168"/>
    </row>
    <row r="178" spans="1:13" ht="12.4" thickBot="1">
      <c r="A178" s="3227" t="s">
        <v>215</v>
      </c>
      <c r="B178" s="3228"/>
      <c r="C178" s="2991"/>
      <c r="D178" s="2997">
        <v>3000000</v>
      </c>
      <c r="E178" s="2997">
        <v>3500000</v>
      </c>
      <c r="F178" s="2997">
        <v>5200000</v>
      </c>
      <c r="G178" s="2997">
        <v>5200000</v>
      </c>
      <c r="H178" s="2997">
        <v>5200000</v>
      </c>
      <c r="I178" s="2864">
        <f t="shared" ref="I178" si="26">SUM(I175:I177)</f>
        <v>5200000</v>
      </c>
      <c r="J178" s="2865">
        <f t="shared" si="19"/>
        <v>0</v>
      </c>
      <c r="K178" s="2866">
        <f>'Výdaje kapitol celkem'!CN35</f>
        <v>5200000</v>
      </c>
      <c r="L178" s="2867">
        <v>0</v>
      </c>
      <c r="M178" s="2168"/>
    </row>
    <row r="179" spans="1:13" s="2868" customFormat="1" ht="18" customHeight="1" thickBot="1">
      <c r="A179" s="3220" t="s">
        <v>216</v>
      </c>
      <c r="B179" s="3221"/>
      <c r="C179" s="3221"/>
      <c r="D179" s="3001">
        <v>37319480</v>
      </c>
      <c r="E179" s="3001">
        <v>42048000</v>
      </c>
      <c r="F179" s="3001">
        <v>44558000</v>
      </c>
      <c r="G179" s="3001">
        <v>44558000</v>
      </c>
      <c r="H179" s="3001">
        <v>51344200</v>
      </c>
      <c r="I179" s="2843">
        <f>+I178+I170+I165+I161+I157+I153+I149+I108+I103+I100+I97+I92+I88+I81+I76+I55+I52+I47+I36+I30+I22+I16+I13+I9+I65+I61+I58+I73+I69+I40</f>
        <v>51344200</v>
      </c>
      <c r="J179" s="2844">
        <f t="shared" si="19"/>
        <v>0</v>
      </c>
      <c r="K179" s="2860"/>
      <c r="L179" s="2896"/>
      <c r="M179" s="2168"/>
    </row>
    <row r="180" spans="1:13">
      <c r="A180" s="2906"/>
      <c r="B180" s="2857"/>
      <c r="C180" s="2857"/>
      <c r="D180" s="2897">
        <v>37319480</v>
      </c>
      <c r="E180" s="2897">
        <v>42048000</v>
      </c>
      <c r="F180" s="2897">
        <v>44558000</v>
      </c>
      <c r="G180" s="2897">
        <v>44558000</v>
      </c>
      <c r="H180" s="2897">
        <v>51344200</v>
      </c>
      <c r="I180" s="2897">
        <f>'Výdaje kapitol celkem'!I35</f>
        <v>51344200</v>
      </c>
      <c r="J180" s="2859"/>
      <c r="K180" s="2860"/>
      <c r="L180" s="2861"/>
    </row>
    <row r="181" spans="1:13" s="2899" customFormat="1">
      <c r="A181" s="2912"/>
      <c r="B181" s="2898"/>
      <c r="C181" s="2898" t="s">
        <v>217</v>
      </c>
      <c r="D181" s="2859">
        <v>0</v>
      </c>
      <c r="E181" s="2859">
        <v>0</v>
      </c>
      <c r="F181" s="2859">
        <v>0</v>
      </c>
      <c r="G181" s="2859">
        <v>0</v>
      </c>
      <c r="H181" s="2859">
        <v>0</v>
      </c>
      <c r="I181" s="2859">
        <f t="shared" ref="I181" si="27">+I179-I180</f>
        <v>0</v>
      </c>
      <c r="J181" s="2859"/>
      <c r="K181" s="2860"/>
      <c r="L181" s="2861"/>
    </row>
    <row r="182" spans="1:13">
      <c r="A182" s="2913" t="s">
        <v>545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5:B65"/>
    <mergeCell ref="A88:B88"/>
    <mergeCell ref="A73:B73"/>
    <mergeCell ref="A97:B97"/>
    <mergeCell ref="A2:C2"/>
    <mergeCell ref="A76:B76"/>
    <mergeCell ref="A81:B81"/>
    <mergeCell ref="A179:C179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78:B178"/>
    <mergeCell ref="A157:B157"/>
    <mergeCell ref="A161:B161"/>
    <mergeCell ref="A165:B165"/>
    <mergeCell ref="A170:B170"/>
    <mergeCell ref="A174:B174"/>
    <mergeCell ref="A100:B100"/>
    <mergeCell ref="A103:B103"/>
    <mergeCell ref="A108:B108"/>
    <mergeCell ref="A149:B149"/>
    <mergeCell ref="A153:B153"/>
  </mergeCells>
  <pageMargins left="0.31496062992125984" right="0.31496062992125984" top="0.19685039370078741" bottom="0.19685039370078741" header="0.31496062992125984" footer="0.31496062992125984"/>
  <pageSetup paperSize="8" scale="91" fitToHeight="3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26"/>
  <sheetViews>
    <sheetView topLeftCell="C1" workbookViewId="0">
      <selection activeCell="J6" sqref="J6:J23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4" width="16.265625" style="316" hidden="1" customWidth="1"/>
    <col min="5" max="6" width="12.265625" style="316" hidden="1" customWidth="1"/>
    <col min="7" max="8" width="12.265625" style="316" customWidth="1"/>
    <col min="9" max="9" width="12.265625" style="318" bestFit="1" customWidth="1"/>
    <col min="10" max="10" width="10" style="319" customWidth="1"/>
    <col min="11" max="11" width="16.73046875" style="2778" customWidth="1"/>
    <col min="12" max="12" width="16.265625" style="2779" customWidth="1"/>
    <col min="13" max="16384" width="9" style="316"/>
  </cols>
  <sheetData>
    <row r="1" spans="1:13" s="2735" customFormat="1" ht="24" customHeight="1">
      <c r="A1" s="108" t="s">
        <v>2376</v>
      </c>
      <c r="B1" s="108"/>
      <c r="C1" s="2730"/>
      <c r="D1" s="2730"/>
      <c r="E1" s="2730"/>
      <c r="F1" s="2730"/>
      <c r="G1" s="2730"/>
      <c r="H1" s="2730"/>
      <c r="I1" s="2731"/>
      <c r="J1" s="2732"/>
      <c r="K1" s="2733"/>
      <c r="L1" s="2734"/>
    </row>
    <row r="2" spans="1:13" s="2740" customFormat="1" ht="20.25" customHeight="1">
      <c r="A2" s="3211" t="s">
        <v>1168</v>
      </c>
      <c r="B2" s="3211"/>
      <c r="C2" s="3212"/>
      <c r="D2" s="2979"/>
      <c r="E2" s="2979"/>
      <c r="F2" s="2979"/>
      <c r="G2" s="2979"/>
      <c r="H2" s="2979"/>
      <c r="I2" s="2736"/>
      <c r="J2" s="2737"/>
      <c r="K2" s="2738"/>
      <c r="L2" s="2739"/>
    </row>
    <row r="3" spans="1:13" ht="13.5" thickBot="1">
      <c r="A3" s="109"/>
      <c r="B3" s="109"/>
      <c r="C3" s="109"/>
      <c r="D3" s="109"/>
      <c r="E3" s="109"/>
      <c r="F3" s="109"/>
      <c r="G3" s="109"/>
      <c r="H3" s="109"/>
      <c r="I3" s="330"/>
      <c r="J3" s="284"/>
      <c r="K3" s="2741"/>
      <c r="L3" s="1916"/>
    </row>
    <row r="4" spans="1:13" ht="27.4" thickBot="1">
      <c r="A4" s="2742" t="s">
        <v>1</v>
      </c>
      <c r="B4" s="2743" t="s">
        <v>63</v>
      </c>
      <c r="C4" s="2780" t="s">
        <v>6</v>
      </c>
      <c r="D4" s="2745" t="s">
        <v>2378</v>
      </c>
      <c r="E4" s="2745" t="s">
        <v>1953</v>
      </c>
      <c r="F4" s="2745" t="s">
        <v>2687</v>
      </c>
      <c r="G4" s="2745" t="s">
        <v>2810</v>
      </c>
      <c r="H4" s="2745" t="s">
        <v>2128</v>
      </c>
      <c r="I4" s="2745" t="s">
        <v>2878</v>
      </c>
      <c r="J4" s="2746" t="s">
        <v>5</v>
      </c>
      <c r="K4" s="2741"/>
      <c r="L4" s="1916" t="s">
        <v>707</v>
      </c>
    </row>
    <row r="5" spans="1:13" ht="15.75" customHeight="1" outlineLevel="1">
      <c r="A5" s="2747">
        <v>6171</v>
      </c>
      <c r="B5" s="2748">
        <v>5172</v>
      </c>
      <c r="C5" s="2781" t="s">
        <v>1947</v>
      </c>
      <c r="D5" s="2750">
        <v>2450000</v>
      </c>
      <c r="E5" s="2750">
        <v>2450000</v>
      </c>
      <c r="F5" s="2750">
        <v>2450000</v>
      </c>
      <c r="G5" s="2750">
        <v>2450000</v>
      </c>
      <c r="H5" s="2750">
        <v>2450000</v>
      </c>
      <c r="I5" s="2750">
        <f>+[2]Správa!$B$76</f>
        <v>2450000</v>
      </c>
      <c r="J5" s="2751">
        <f>+I5-H5</f>
        <v>0</v>
      </c>
      <c r="K5" s="2741"/>
      <c r="L5" s="1916"/>
    </row>
    <row r="6" spans="1:13" ht="29.25" customHeight="1" outlineLevel="1">
      <c r="A6" s="2752">
        <v>6171</v>
      </c>
      <c r="B6" s="2753">
        <v>5172</v>
      </c>
      <c r="C6" s="2782" t="s">
        <v>1948</v>
      </c>
      <c r="D6" s="2755">
        <v>300000</v>
      </c>
      <c r="E6" s="2755">
        <v>300000</v>
      </c>
      <c r="F6" s="2755">
        <v>300000</v>
      </c>
      <c r="G6" s="2755">
        <v>300000</v>
      </c>
      <c r="H6" s="2755">
        <v>300000</v>
      </c>
      <c r="I6" s="2755">
        <f>+[2]Správa!$B$77</f>
        <v>300000</v>
      </c>
      <c r="J6" s="2756">
        <f t="shared" ref="J6:J23" si="0">+I6-H6</f>
        <v>0</v>
      </c>
      <c r="K6" s="2741"/>
      <c r="L6" s="1916"/>
    </row>
    <row r="7" spans="1:13" s="432" customFormat="1" ht="16.5" customHeight="1" thickBot="1">
      <c r="A7" s="3209" t="s">
        <v>213</v>
      </c>
      <c r="B7" s="3210"/>
      <c r="C7" s="2783"/>
      <c r="D7" s="2758">
        <v>2750000</v>
      </c>
      <c r="E7" s="2758">
        <v>2750000</v>
      </c>
      <c r="F7" s="2758">
        <v>2750000</v>
      </c>
      <c r="G7" s="2758">
        <v>2750000</v>
      </c>
      <c r="H7" s="2758">
        <v>2750000</v>
      </c>
      <c r="I7" s="2758">
        <f>SUM(I5:I6)</f>
        <v>2750000</v>
      </c>
      <c r="J7" s="2759">
        <f t="shared" si="0"/>
        <v>0</v>
      </c>
      <c r="K7" s="285">
        <f>'Výdaje kapitol celkem'!R36</f>
        <v>2750000</v>
      </c>
      <c r="L7" s="2760">
        <f>+K7-I7</f>
        <v>0</v>
      </c>
      <c r="M7" s="329"/>
    </row>
    <row r="8" spans="1:13" ht="15.75" customHeight="1" outlineLevel="1">
      <c r="A8" s="2747">
        <v>4351</v>
      </c>
      <c r="B8" s="2748">
        <v>5172</v>
      </c>
      <c r="C8" s="2781" t="s">
        <v>1947</v>
      </c>
      <c r="D8" s="2750">
        <v>10000</v>
      </c>
      <c r="E8" s="2750">
        <v>10000</v>
      </c>
      <c r="F8" s="2750">
        <v>10000</v>
      </c>
      <c r="G8" s="2750">
        <v>10000</v>
      </c>
      <c r="H8" s="2750">
        <v>10000</v>
      </c>
      <c r="I8" s="2750">
        <f>+'[2]Pečovatelská služba'!$B$67</f>
        <v>10000</v>
      </c>
      <c r="J8" s="2751">
        <f t="shared" si="0"/>
        <v>0</v>
      </c>
      <c r="K8" s="2741"/>
      <c r="L8" s="2760"/>
      <c r="M8" s="329"/>
    </row>
    <row r="9" spans="1:13" ht="15.75" customHeight="1" outlineLevel="1">
      <c r="A9" s="2752">
        <v>4351</v>
      </c>
      <c r="B9" s="2753">
        <v>5137</v>
      </c>
      <c r="C9" s="2782"/>
      <c r="D9" s="2755">
        <v>0</v>
      </c>
      <c r="E9" s="2755">
        <v>0</v>
      </c>
      <c r="F9" s="2755">
        <v>0</v>
      </c>
      <c r="G9" s="2755">
        <v>0</v>
      </c>
      <c r="H9" s="2755">
        <v>0</v>
      </c>
      <c r="I9" s="2755">
        <f>+'[2]Pečovatelská služba'!$B$68</f>
        <v>0</v>
      </c>
      <c r="J9" s="2761">
        <f t="shared" si="0"/>
        <v>0</v>
      </c>
      <c r="K9" s="2741"/>
      <c r="L9" s="2760"/>
      <c r="M9" s="329"/>
    </row>
    <row r="10" spans="1:13" s="432" customFormat="1" ht="16.5" customHeight="1" thickBot="1">
      <c r="A10" s="3209" t="s">
        <v>214</v>
      </c>
      <c r="B10" s="3210"/>
      <c r="C10" s="2783"/>
      <c r="D10" s="2758">
        <v>10000</v>
      </c>
      <c r="E10" s="2758">
        <v>10000</v>
      </c>
      <c r="F10" s="2758">
        <v>10000</v>
      </c>
      <c r="G10" s="2758">
        <v>10000</v>
      </c>
      <c r="H10" s="2758">
        <v>10000</v>
      </c>
      <c r="I10" s="2758">
        <f>SUM(I8:I9)</f>
        <v>10000</v>
      </c>
      <c r="J10" s="2759">
        <f t="shared" si="0"/>
        <v>0</v>
      </c>
      <c r="K10" s="285">
        <f>'Výdaje kapitol celkem'!W36</f>
        <v>10000</v>
      </c>
      <c r="L10" s="2760">
        <f>+K10-I10</f>
        <v>0</v>
      </c>
      <c r="M10" s="329"/>
    </row>
    <row r="11" spans="1:13" ht="15.75" customHeight="1" outlineLevel="1">
      <c r="A11" s="2747" t="s">
        <v>197</v>
      </c>
      <c r="B11" s="2748">
        <v>5172</v>
      </c>
      <c r="C11" s="2781" t="s">
        <v>1949</v>
      </c>
      <c r="D11" s="2750">
        <v>200000</v>
      </c>
      <c r="E11" s="2750">
        <v>200000</v>
      </c>
      <c r="F11" s="2750">
        <v>200000</v>
      </c>
      <c r="G11" s="2750">
        <v>200000</v>
      </c>
      <c r="H11" s="2750">
        <v>200000</v>
      </c>
      <c r="I11" s="2750">
        <f>+'[2]Městská policie'!$B$94</f>
        <v>200000</v>
      </c>
      <c r="J11" s="2751">
        <f t="shared" si="0"/>
        <v>0</v>
      </c>
      <c r="K11" s="2741"/>
      <c r="L11" s="2760"/>
      <c r="M11" s="329"/>
    </row>
    <row r="12" spans="1:13" ht="15.75" customHeight="1" outlineLevel="1">
      <c r="A12" s="2752" t="s">
        <v>197</v>
      </c>
      <c r="B12" s="2753">
        <v>5172</v>
      </c>
      <c r="C12" s="2782"/>
      <c r="D12" s="2755">
        <v>0</v>
      </c>
      <c r="E12" s="2755">
        <v>0</v>
      </c>
      <c r="F12" s="2755">
        <v>0</v>
      </c>
      <c r="G12" s="2755">
        <v>0</v>
      </c>
      <c r="H12" s="2755">
        <v>0</v>
      </c>
      <c r="I12" s="2755">
        <f>+'[2]Městská policie'!$B$93</f>
        <v>0</v>
      </c>
      <c r="J12" s="2756">
        <f t="shared" si="0"/>
        <v>0</v>
      </c>
      <c r="K12" s="2741"/>
      <c r="L12" s="2760"/>
      <c r="M12" s="329"/>
    </row>
    <row r="13" spans="1:13" s="432" customFormat="1" ht="16.5" customHeight="1" thickBot="1">
      <c r="A13" s="3209" t="s">
        <v>1178</v>
      </c>
      <c r="B13" s="3210"/>
      <c r="C13" s="2783"/>
      <c r="D13" s="2758">
        <v>200000</v>
      </c>
      <c r="E13" s="2758">
        <v>200000</v>
      </c>
      <c r="F13" s="2758">
        <v>200000</v>
      </c>
      <c r="G13" s="2758">
        <v>200000</v>
      </c>
      <c r="H13" s="2758">
        <v>200000</v>
      </c>
      <c r="I13" s="2758">
        <f>SUM(I11:I12)</f>
        <v>200000</v>
      </c>
      <c r="J13" s="2759">
        <f t="shared" si="0"/>
        <v>0</v>
      </c>
      <c r="K13" s="285">
        <f>'Výdaje kapitol celkem'!Z36</f>
        <v>200000</v>
      </c>
      <c r="L13" s="2760">
        <f>+K13-I13</f>
        <v>0</v>
      </c>
      <c r="M13" s="329"/>
    </row>
    <row r="14" spans="1:13" ht="15.75" customHeight="1" outlineLevel="1">
      <c r="A14" s="2747">
        <v>3319</v>
      </c>
      <c r="B14" s="2748">
        <v>5172</v>
      </c>
      <c r="C14" s="2781" t="s">
        <v>1950</v>
      </c>
      <c r="D14" s="2750">
        <v>8000</v>
      </c>
      <c r="E14" s="2750">
        <v>8000</v>
      </c>
      <c r="F14" s="2750">
        <v>8000</v>
      </c>
      <c r="G14" s="2750">
        <v>8000</v>
      </c>
      <c r="H14" s="2750">
        <v>8000</v>
      </c>
      <c r="I14" s="2750">
        <f>+[2]Kronika!$B$26</f>
        <v>8000</v>
      </c>
      <c r="J14" s="2751">
        <f t="shared" si="0"/>
        <v>0</v>
      </c>
      <c r="K14" s="2741"/>
      <c r="L14" s="2760"/>
      <c r="M14" s="329"/>
    </row>
    <row r="15" spans="1:13" ht="15.75" customHeight="1" outlineLevel="1">
      <c r="A15" s="2752">
        <v>3319</v>
      </c>
      <c r="B15" s="2753">
        <v>5137</v>
      </c>
      <c r="C15" s="2782"/>
      <c r="D15" s="2755">
        <v>0</v>
      </c>
      <c r="E15" s="2755">
        <v>0</v>
      </c>
      <c r="F15" s="2755">
        <v>0</v>
      </c>
      <c r="G15" s="2755">
        <v>0</v>
      </c>
      <c r="H15" s="2755">
        <v>0</v>
      </c>
      <c r="I15" s="2755">
        <f>+[2]Kronika!$B$27</f>
        <v>0</v>
      </c>
      <c r="J15" s="2761">
        <f t="shared" si="0"/>
        <v>0</v>
      </c>
      <c r="K15" s="2741"/>
      <c r="L15" s="2760"/>
      <c r="M15" s="329"/>
    </row>
    <row r="16" spans="1:13" s="432" customFormat="1" ht="16.5" customHeight="1" thickBot="1">
      <c r="A16" s="3209" t="s">
        <v>1177</v>
      </c>
      <c r="B16" s="3210"/>
      <c r="C16" s="2783"/>
      <c r="D16" s="2758">
        <v>8000</v>
      </c>
      <c r="E16" s="2758">
        <v>8000</v>
      </c>
      <c r="F16" s="2758">
        <v>8000</v>
      </c>
      <c r="G16" s="2758">
        <v>8000</v>
      </c>
      <c r="H16" s="2758">
        <v>8000</v>
      </c>
      <c r="I16" s="2758">
        <f>SUM(I14:I15)</f>
        <v>8000</v>
      </c>
      <c r="J16" s="2759">
        <f t="shared" si="0"/>
        <v>0</v>
      </c>
      <c r="K16" s="285">
        <f>'Výdaje kapitol celkem'!AA36</f>
        <v>8000</v>
      </c>
      <c r="L16" s="2760">
        <f>+K16-I16</f>
        <v>0</v>
      </c>
      <c r="M16" s="329"/>
    </row>
    <row r="17" spans="1:13" ht="15.75" customHeight="1" outlineLevel="1">
      <c r="A17" s="2747">
        <v>3314</v>
      </c>
      <c r="B17" s="2748">
        <v>5172</v>
      </c>
      <c r="C17" s="2781" t="s">
        <v>2437</v>
      </c>
      <c r="D17" s="2750">
        <v>30000</v>
      </c>
      <c r="E17" s="2750">
        <v>30000</v>
      </c>
      <c r="F17" s="2750">
        <v>30000</v>
      </c>
      <c r="G17" s="2750">
        <v>30000</v>
      </c>
      <c r="H17" s="2750">
        <v>30000</v>
      </c>
      <c r="I17" s="2750">
        <f>+[2]Knihovna!$B$69</f>
        <v>30000</v>
      </c>
      <c r="J17" s="2751">
        <f t="shared" si="0"/>
        <v>0</v>
      </c>
      <c r="K17" s="2741"/>
      <c r="L17" s="2760"/>
      <c r="M17" s="329"/>
    </row>
    <row r="18" spans="1:13" ht="15.75" customHeight="1" outlineLevel="1">
      <c r="A18" s="2752">
        <v>3314</v>
      </c>
      <c r="B18" s="2753">
        <v>5172</v>
      </c>
      <c r="C18" s="2782"/>
      <c r="D18" s="2755"/>
      <c r="E18" s="2755"/>
      <c r="F18" s="2755"/>
      <c r="G18" s="2755"/>
      <c r="H18" s="2755"/>
      <c r="I18" s="2755"/>
      <c r="J18" s="2761">
        <f t="shared" si="0"/>
        <v>0</v>
      </c>
      <c r="K18" s="2741"/>
      <c r="L18" s="2760"/>
      <c r="M18" s="329"/>
    </row>
    <row r="19" spans="1:13" s="432" customFormat="1" ht="16.5" customHeight="1" thickBot="1">
      <c r="A19" s="3209" t="s">
        <v>1179</v>
      </c>
      <c r="B19" s="3210"/>
      <c r="C19" s="2783"/>
      <c r="D19" s="2758">
        <v>30000</v>
      </c>
      <c r="E19" s="2758">
        <v>30000</v>
      </c>
      <c r="F19" s="2758">
        <v>30000</v>
      </c>
      <c r="G19" s="2758">
        <v>30000</v>
      </c>
      <c r="H19" s="2758">
        <v>30000</v>
      </c>
      <c r="I19" s="2758">
        <f>SUM(I17:I18)</f>
        <v>30000</v>
      </c>
      <c r="J19" s="2759">
        <f t="shared" si="0"/>
        <v>0</v>
      </c>
      <c r="K19" s="285">
        <f>'Výdaje kapitol celkem'!AC36</f>
        <v>30000</v>
      </c>
      <c r="L19" s="2760">
        <f>+K19-I19</f>
        <v>0</v>
      </c>
      <c r="M19" s="329"/>
    </row>
    <row r="20" spans="1:13" ht="20.25" customHeight="1" outlineLevel="1">
      <c r="A20" s="2752">
        <v>5512</v>
      </c>
      <c r="B20" s="2753">
        <v>5172</v>
      </c>
      <c r="C20" s="2781" t="s">
        <v>1947</v>
      </c>
      <c r="D20" s="2755">
        <v>30000</v>
      </c>
      <c r="E20" s="2755">
        <v>30000</v>
      </c>
      <c r="F20" s="2755">
        <v>30000</v>
      </c>
      <c r="G20" s="2755">
        <v>30000</v>
      </c>
      <c r="H20" s="2755">
        <v>30000</v>
      </c>
      <c r="I20" s="2755">
        <f>+[2]Hasiči!$B$69</f>
        <v>30000</v>
      </c>
      <c r="J20" s="2761">
        <f t="shared" si="0"/>
        <v>0</v>
      </c>
      <c r="K20" s="2741"/>
      <c r="L20" s="2760"/>
      <c r="M20" s="329"/>
    </row>
    <row r="21" spans="1:13" ht="20.25" customHeight="1" outlineLevel="1">
      <c r="A21" s="2752">
        <v>5512</v>
      </c>
      <c r="B21" s="2753">
        <v>5137</v>
      </c>
      <c r="C21" s="2782"/>
      <c r="D21" s="2755">
        <v>0</v>
      </c>
      <c r="E21" s="2755">
        <v>0</v>
      </c>
      <c r="F21" s="2755">
        <v>0</v>
      </c>
      <c r="G21" s="2755">
        <v>0</v>
      </c>
      <c r="H21" s="2755">
        <v>0</v>
      </c>
      <c r="I21" s="2755">
        <f>+[2]Hasiči!$B$70</f>
        <v>0</v>
      </c>
      <c r="J21" s="2761">
        <f t="shared" si="0"/>
        <v>0</v>
      </c>
      <c r="K21" s="2741"/>
      <c r="L21" s="2760"/>
      <c r="M21" s="329"/>
    </row>
    <row r="22" spans="1:13" ht="20.25" customHeight="1" thickBot="1">
      <c r="A22" s="3209" t="s">
        <v>203</v>
      </c>
      <c r="B22" s="3210"/>
      <c r="C22" s="2783"/>
      <c r="D22" s="2758">
        <v>30000</v>
      </c>
      <c r="E22" s="2758">
        <v>30000</v>
      </c>
      <c r="F22" s="2758">
        <v>30000</v>
      </c>
      <c r="G22" s="2758">
        <v>30000</v>
      </c>
      <c r="H22" s="2758">
        <v>30000</v>
      </c>
      <c r="I22" s="2758">
        <f>SUM(I20:I21)</f>
        <v>30000</v>
      </c>
      <c r="J22" s="2759">
        <f t="shared" si="0"/>
        <v>0</v>
      </c>
      <c r="K22" s="285">
        <f>'Výdaje kapitol celkem'!AO36</f>
        <v>30000</v>
      </c>
      <c r="L22" s="2760">
        <f>+K22-I22</f>
        <v>0</v>
      </c>
      <c r="M22" s="329"/>
    </row>
    <row r="23" spans="1:13" s="281" customFormat="1" ht="16.5" thickBot="1">
      <c r="A23" s="3207" t="s">
        <v>1169</v>
      </c>
      <c r="B23" s="3208"/>
      <c r="C23" s="3229"/>
      <c r="D23" s="2774">
        <v>3028000</v>
      </c>
      <c r="E23" s="2774">
        <v>3028000</v>
      </c>
      <c r="F23" s="2774">
        <v>3028000</v>
      </c>
      <c r="G23" s="2774">
        <v>3028000</v>
      </c>
      <c r="H23" s="2774">
        <v>3028000</v>
      </c>
      <c r="I23" s="2774">
        <f>+I22+I19+I16+I13+I10+I7</f>
        <v>3028000</v>
      </c>
      <c r="J23" s="2775">
        <f t="shared" si="0"/>
        <v>0</v>
      </c>
      <c r="K23" s="2776"/>
      <c r="L23" s="2777"/>
      <c r="M23" s="329"/>
    </row>
    <row r="24" spans="1:13">
      <c r="A24" s="109"/>
      <c r="B24" s="109"/>
      <c r="C24" s="109"/>
      <c r="D24" s="190">
        <v>3028000</v>
      </c>
      <c r="E24" s="190">
        <v>3028000</v>
      </c>
      <c r="F24" s="190">
        <v>3028000</v>
      </c>
      <c r="G24" s="190">
        <v>3028000</v>
      </c>
      <c r="H24" s="190">
        <v>3028000</v>
      </c>
      <c r="I24" s="190">
        <f>'Výdaje kapitol celkem'!I36</f>
        <v>3028000</v>
      </c>
      <c r="J24" s="284"/>
      <c r="K24" s="2741"/>
      <c r="L24" s="1916"/>
    </row>
    <row r="25" spans="1:13" s="323" customFormat="1">
      <c r="A25" s="180"/>
      <c r="B25" s="180"/>
      <c r="C25" s="180" t="s">
        <v>217</v>
      </c>
      <c r="D25" s="180">
        <v>0</v>
      </c>
      <c r="E25" s="180">
        <v>0</v>
      </c>
      <c r="F25" s="180">
        <v>0</v>
      </c>
      <c r="G25" s="180">
        <v>0</v>
      </c>
      <c r="H25" s="180">
        <v>0</v>
      </c>
      <c r="I25" s="284">
        <f>+I24-I23</f>
        <v>0</v>
      </c>
      <c r="J25" s="284"/>
      <c r="K25" s="2741"/>
      <c r="L25" s="1916"/>
    </row>
    <row r="26" spans="1:13">
      <c r="A26" s="2723" t="s">
        <v>545</v>
      </c>
      <c r="B26" s="109"/>
      <c r="C26" s="109"/>
      <c r="D26" s="109"/>
      <c r="E26" s="109"/>
      <c r="F26" s="109"/>
      <c r="G26" s="109"/>
      <c r="H26" s="109"/>
      <c r="I26" s="190"/>
      <c r="J26" s="284"/>
      <c r="K26" s="2741"/>
      <c r="L26" s="1916"/>
    </row>
  </sheetData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K12"/>
  <sheetViews>
    <sheetView workbookViewId="0">
      <selection activeCell="J6" sqref="J6:J9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4" width="16" style="316" hidden="1" customWidth="1"/>
    <col min="5" max="6" width="10.73046875" style="316" hidden="1" customWidth="1"/>
    <col min="7" max="8" width="10.73046875" style="316" customWidth="1"/>
    <col min="9" max="9" width="10.73046875" style="316" bestFit="1" customWidth="1"/>
    <col min="10" max="10" width="9.86328125" style="316" customWidth="1"/>
    <col min="11" max="11" width="23.73046875" style="316" customWidth="1"/>
    <col min="12" max="16384" width="9" style="316"/>
  </cols>
  <sheetData>
    <row r="1" spans="1:11" ht="16.149999999999999">
      <c r="A1" s="108" t="s">
        <v>2376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1" ht="27">
      <c r="A2" s="2915" t="s">
        <v>2402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ht="13.9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1:11" s="2798" customFormat="1" ht="27.4" thickBot="1">
      <c r="A4" s="2742" t="s">
        <v>1</v>
      </c>
      <c r="B4" s="2743" t="s">
        <v>63</v>
      </c>
      <c r="C4" s="3002" t="s">
        <v>6</v>
      </c>
      <c r="D4" s="2795" t="s">
        <v>2378</v>
      </c>
      <c r="E4" s="2795" t="s">
        <v>1953</v>
      </c>
      <c r="F4" s="2795" t="s">
        <v>2687</v>
      </c>
      <c r="G4" s="2795" t="s">
        <v>2810</v>
      </c>
      <c r="H4" s="2795" t="s">
        <v>2128</v>
      </c>
      <c r="I4" s="2795" t="s">
        <v>2878</v>
      </c>
      <c r="J4" s="2796" t="s">
        <v>5</v>
      </c>
      <c r="K4" s="2797" t="s">
        <v>548</v>
      </c>
    </row>
    <row r="5" spans="1:11" s="2490" customFormat="1">
      <c r="A5" s="2799"/>
      <c r="B5" s="2800">
        <v>5329</v>
      </c>
      <c r="C5" s="3003" t="s">
        <v>2404</v>
      </c>
      <c r="D5" s="2802">
        <v>144560</v>
      </c>
      <c r="E5" s="2802">
        <v>144560</v>
      </c>
      <c r="F5" s="2802">
        <v>144560</v>
      </c>
      <c r="G5" s="2802">
        <v>144560</v>
      </c>
      <c r="H5" s="2802">
        <v>144560</v>
      </c>
      <c r="I5" s="2802">
        <f>+'[6]Všebecná pokladna'!$B$50</f>
        <v>144560</v>
      </c>
      <c r="J5" s="2803">
        <f>+I5-H5</f>
        <v>0</v>
      </c>
      <c r="K5" s="2797"/>
    </row>
    <row r="6" spans="1:11">
      <c r="A6" s="2752"/>
      <c r="B6" s="2753">
        <v>5329</v>
      </c>
      <c r="C6" s="3004" t="s">
        <v>2405</v>
      </c>
      <c r="D6" s="2804">
        <v>1445600</v>
      </c>
      <c r="E6" s="2804">
        <v>1445600</v>
      </c>
      <c r="F6" s="2804">
        <v>1445600</v>
      </c>
      <c r="G6" s="2804">
        <v>1445600</v>
      </c>
      <c r="H6" s="2804">
        <v>1445600</v>
      </c>
      <c r="I6" s="2804">
        <f>+'[6]Všebecná pokladna'!$B$51</f>
        <v>1445600</v>
      </c>
      <c r="J6" s="2805">
        <f t="shared" ref="J6:J9" si="0">+I6-H6</f>
        <v>0</v>
      </c>
      <c r="K6" s="2916"/>
    </row>
    <row r="7" spans="1:11">
      <c r="A7" s="2752"/>
      <c r="B7" s="2753">
        <v>5329</v>
      </c>
      <c r="C7" s="3004" t="s">
        <v>2406</v>
      </c>
      <c r="D7" s="2804">
        <v>1084200</v>
      </c>
      <c r="E7" s="2804">
        <v>1084200</v>
      </c>
      <c r="F7" s="2804">
        <v>1084200</v>
      </c>
      <c r="G7" s="2804">
        <v>1084200</v>
      </c>
      <c r="H7" s="2804">
        <v>1084200</v>
      </c>
      <c r="I7" s="2804">
        <f>+'[6]Všebecná pokladna'!$B$52</f>
        <v>1084200</v>
      </c>
      <c r="J7" s="2805">
        <f t="shared" si="0"/>
        <v>0</v>
      </c>
      <c r="K7" s="2741"/>
    </row>
    <row r="8" spans="1:11">
      <c r="A8" s="2752"/>
      <c r="B8" s="2753">
        <v>5329</v>
      </c>
      <c r="C8" s="3005" t="s">
        <v>2661</v>
      </c>
      <c r="D8" s="2755">
        <v>1600000</v>
      </c>
      <c r="E8" s="2755">
        <v>1600000</v>
      </c>
      <c r="F8" s="2755">
        <v>1600000</v>
      </c>
      <c r="G8" s="2755">
        <v>1600000</v>
      </c>
      <c r="H8" s="2755">
        <v>1600000</v>
      </c>
      <c r="I8" s="2755">
        <f>+[6]SŠ!$B$33</f>
        <v>1600000</v>
      </c>
      <c r="J8" s="2805">
        <f t="shared" si="0"/>
        <v>0</v>
      </c>
      <c r="K8" s="109"/>
    </row>
    <row r="9" spans="1:11" ht="19.5" customHeight="1" thickBot="1">
      <c r="A9" s="3215" t="s">
        <v>2403</v>
      </c>
      <c r="B9" s="3216"/>
      <c r="C9" s="3006"/>
      <c r="D9" s="2809">
        <v>4274360</v>
      </c>
      <c r="E9" s="2809">
        <v>4274360</v>
      </c>
      <c r="F9" s="2809">
        <v>4274360</v>
      </c>
      <c r="G9" s="2809">
        <v>4274360</v>
      </c>
      <c r="H9" s="2809">
        <v>4274360</v>
      </c>
      <c r="I9" s="2809">
        <f>SUM(I5:I8)</f>
        <v>4274360</v>
      </c>
      <c r="J9" s="2810">
        <f t="shared" si="0"/>
        <v>0</v>
      </c>
      <c r="K9" s="109"/>
    </row>
    <row r="10" spans="1:11">
      <c r="A10" s="109"/>
      <c r="B10" s="109"/>
      <c r="C10" s="109"/>
      <c r="D10" s="190">
        <v>4274360</v>
      </c>
      <c r="E10" s="190">
        <v>4274360</v>
      </c>
      <c r="F10" s="190">
        <v>4274360</v>
      </c>
      <c r="G10" s="190">
        <v>4274360</v>
      </c>
      <c r="H10" s="190">
        <v>4274360</v>
      </c>
      <c r="I10" s="190">
        <f>+'Výdaje kapitol celkem'!I43</f>
        <v>4274360</v>
      </c>
      <c r="J10" s="109"/>
      <c r="K10" s="109"/>
    </row>
    <row r="11" spans="1:11" s="323" customFormat="1">
      <c r="A11" s="180"/>
      <c r="B11" s="180"/>
      <c r="C11" s="180" t="s">
        <v>236</v>
      </c>
      <c r="D11" s="180">
        <v>0</v>
      </c>
      <c r="E11" s="180">
        <v>0</v>
      </c>
      <c r="F11" s="180">
        <v>0</v>
      </c>
      <c r="G11" s="180">
        <v>0</v>
      </c>
      <c r="H11" s="180">
        <v>0</v>
      </c>
      <c r="I11" s="284">
        <f>+I10-I9</f>
        <v>0</v>
      </c>
      <c r="J11" s="180"/>
      <c r="K11" s="180"/>
    </row>
    <row r="12" spans="1:11" s="323" customFormat="1">
      <c r="A12" s="2723" t="s">
        <v>545</v>
      </c>
      <c r="B12" s="180"/>
      <c r="C12" s="180"/>
      <c r="D12" s="180"/>
      <c r="E12" s="180"/>
      <c r="F12" s="180"/>
      <c r="G12" s="180"/>
      <c r="H12" s="180"/>
      <c r="I12" s="284"/>
      <c r="J12" s="180"/>
      <c r="K12" s="180"/>
    </row>
  </sheetData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166"/>
  <sheetViews>
    <sheetView workbookViewId="0">
      <selection activeCell="J6" sqref="J6:J12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7.59765625" style="316" hidden="1" customWidth="1"/>
    <col min="5" max="6" width="11.59765625" style="316" hidden="1" customWidth="1"/>
    <col min="7" max="8" width="11.59765625" style="316" customWidth="1"/>
    <col min="9" max="9" width="11.59765625" style="316" bestFit="1" customWidth="1"/>
    <col min="10" max="10" width="11" style="316" customWidth="1"/>
    <col min="11" max="11" width="11.59765625" style="433" bestFit="1" customWidth="1"/>
    <col min="12" max="12" width="14" style="2779" bestFit="1" customWidth="1"/>
    <col min="13" max="13" width="23.73046875" style="316" customWidth="1"/>
    <col min="14" max="16384" width="9" style="316"/>
  </cols>
  <sheetData>
    <row r="1" spans="1:13" ht="16.149999999999999">
      <c r="A1" s="108" t="s">
        <v>2376</v>
      </c>
      <c r="B1" s="109"/>
      <c r="C1" s="109"/>
      <c r="D1" s="109"/>
      <c r="E1" s="109"/>
      <c r="F1" s="109"/>
      <c r="G1" s="109"/>
      <c r="H1" s="109"/>
      <c r="I1" s="109"/>
      <c r="J1" s="109"/>
      <c r="K1" s="2917"/>
      <c r="L1" s="2734"/>
      <c r="M1" s="109"/>
    </row>
    <row r="2" spans="1:13" ht="13.5">
      <c r="A2" s="2793" t="s">
        <v>97</v>
      </c>
      <c r="B2" s="109"/>
      <c r="C2" s="109"/>
      <c r="D2" s="109"/>
      <c r="E2" s="109"/>
      <c r="F2" s="109"/>
      <c r="G2" s="109"/>
      <c r="H2" s="109"/>
      <c r="I2" s="109"/>
      <c r="J2" s="109"/>
      <c r="K2" s="2917"/>
      <c r="L2" s="2734"/>
      <c r="M2" s="109"/>
    </row>
    <row r="3" spans="1:13" ht="13.9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  <c r="K3" s="2918"/>
      <c r="L3" s="2739"/>
      <c r="M3" s="109"/>
    </row>
    <row r="4" spans="1:13" s="2798" customFormat="1" ht="27.4" thickBot="1">
      <c r="A4" s="2742" t="s">
        <v>1</v>
      </c>
      <c r="B4" s="2743" t="s">
        <v>63</v>
      </c>
      <c r="C4" s="3002" t="s">
        <v>6</v>
      </c>
      <c r="D4" s="3007" t="s">
        <v>2378</v>
      </c>
      <c r="E4" s="3007" t="s">
        <v>1953</v>
      </c>
      <c r="F4" s="3007" t="s">
        <v>2687</v>
      </c>
      <c r="G4" s="3007" t="s">
        <v>2810</v>
      </c>
      <c r="H4" s="3007" t="s">
        <v>2128</v>
      </c>
      <c r="I4" s="2795" t="s">
        <v>2878</v>
      </c>
      <c r="J4" s="2796" t="s">
        <v>5</v>
      </c>
      <c r="K4" s="2919" t="s">
        <v>763</v>
      </c>
      <c r="L4" s="2920" t="s">
        <v>707</v>
      </c>
      <c r="M4" s="2797" t="s">
        <v>548</v>
      </c>
    </row>
    <row r="5" spans="1:13" s="2490" customFormat="1" ht="24" customHeight="1">
      <c r="A5" s="2799">
        <v>3113</v>
      </c>
      <c r="B5" s="2800">
        <v>5331</v>
      </c>
      <c r="C5" s="3003" t="s">
        <v>145</v>
      </c>
      <c r="D5" s="2802">
        <v>18012224</v>
      </c>
      <c r="E5" s="2802">
        <v>18012224</v>
      </c>
      <c r="F5" s="2802">
        <v>18012224</v>
      </c>
      <c r="G5" s="2802">
        <v>18012224</v>
      </c>
      <c r="H5" s="2802">
        <v>18012224</v>
      </c>
      <c r="I5" s="2802">
        <f>+[6]ZŠ!$B$32</f>
        <v>18012224</v>
      </c>
      <c r="J5" s="2803">
        <f>+I5-H5</f>
        <v>0</v>
      </c>
      <c r="K5" s="288">
        <f>'Výdaje kapitol celkem'!BD44</f>
        <v>18012224</v>
      </c>
      <c r="L5" s="2921">
        <f t="shared" ref="L5:L11" si="0">+K5-I5</f>
        <v>0</v>
      </c>
      <c r="M5" s="2797"/>
    </row>
    <row r="6" spans="1:13" ht="24" customHeight="1">
      <c r="A6" s="2752" t="s">
        <v>248</v>
      </c>
      <c r="B6" s="2753">
        <v>5331</v>
      </c>
      <c r="C6" s="2754" t="s">
        <v>248</v>
      </c>
      <c r="D6" s="2804">
        <v>30900000</v>
      </c>
      <c r="E6" s="2804">
        <v>30900000</v>
      </c>
      <c r="F6" s="2804">
        <v>30900000</v>
      </c>
      <c r="G6" s="2804">
        <v>30900000</v>
      </c>
      <c r="H6" s="2804">
        <v>30900000</v>
      </c>
      <c r="I6" s="2804">
        <f>+'Výdaje kapitol celkem'!V44</f>
        <v>30900000</v>
      </c>
      <c r="J6" s="2805">
        <f t="shared" ref="J6:J12" si="1">+I6-H6</f>
        <v>0</v>
      </c>
      <c r="K6" s="288">
        <f>'Výdaje kapitol celkem'!V44</f>
        <v>30900000</v>
      </c>
      <c r="L6" s="2921">
        <f>+K6-I6</f>
        <v>0</v>
      </c>
      <c r="M6" s="2134"/>
    </row>
    <row r="7" spans="1:13" ht="24" customHeight="1">
      <c r="A7" s="2752">
        <v>3421</v>
      </c>
      <c r="B7" s="2753">
        <v>5331</v>
      </c>
      <c r="C7" s="2754" t="s">
        <v>147</v>
      </c>
      <c r="D7" s="2804">
        <v>600000</v>
      </c>
      <c r="E7" s="2804">
        <v>650000</v>
      </c>
      <c r="F7" s="2804">
        <v>650000</v>
      </c>
      <c r="G7" s="2804">
        <v>650000</v>
      </c>
      <c r="H7" s="2804">
        <v>650000</v>
      </c>
      <c r="I7" s="2804">
        <f>+[6]MDDM!$B$4</f>
        <v>650000</v>
      </c>
      <c r="J7" s="2805">
        <f t="shared" si="1"/>
        <v>0</v>
      </c>
      <c r="K7" s="288">
        <f>'Výdaje kapitol celkem'!BM44</f>
        <v>650000</v>
      </c>
      <c r="L7" s="2921">
        <f t="shared" si="0"/>
        <v>0</v>
      </c>
      <c r="M7" s="2741"/>
    </row>
    <row r="8" spans="1:13" ht="24" customHeight="1">
      <c r="A8" s="2752" t="s">
        <v>173</v>
      </c>
      <c r="B8" s="2753">
        <v>5331</v>
      </c>
      <c r="C8" s="2754" t="s">
        <v>769</v>
      </c>
      <c r="D8" s="2804">
        <v>4274000</v>
      </c>
      <c r="E8" s="2804">
        <v>4274000</v>
      </c>
      <c r="F8" s="2804">
        <v>4274000</v>
      </c>
      <c r="G8" s="2804">
        <v>4274000</v>
      </c>
      <c r="H8" s="2804">
        <v>4274000</v>
      </c>
      <c r="I8" s="2804">
        <f>+'[6]MŠ Koll'!$B$4</f>
        <v>4274000</v>
      </c>
      <c r="J8" s="2805">
        <f t="shared" si="1"/>
        <v>0</v>
      </c>
      <c r="K8" s="288">
        <f>'Výdaje kapitol celkem'!BS44</f>
        <v>4274000</v>
      </c>
      <c r="L8" s="2921">
        <f t="shared" si="0"/>
        <v>0</v>
      </c>
      <c r="M8" s="109"/>
    </row>
    <row r="9" spans="1:13" ht="24" hidden="1" customHeight="1">
      <c r="A9" s="2752" t="s">
        <v>174</v>
      </c>
      <c r="B9" s="2753">
        <v>5331</v>
      </c>
      <c r="C9" s="2754" t="s">
        <v>770</v>
      </c>
      <c r="D9" s="2804">
        <v>0</v>
      </c>
      <c r="E9" s="2804">
        <v>0</v>
      </c>
      <c r="F9" s="2804">
        <v>0</v>
      </c>
      <c r="G9" s="2804">
        <v>0</v>
      </c>
      <c r="H9" s="2804">
        <v>0</v>
      </c>
      <c r="I9" s="2804">
        <f>+'[6]Jídelna ZŠ'!$B$4</f>
        <v>0</v>
      </c>
      <c r="J9" s="2805">
        <f t="shared" si="1"/>
        <v>0</v>
      </c>
      <c r="K9" s="288">
        <f>'Výdaje kapitol celkem'!BV44</f>
        <v>0</v>
      </c>
      <c r="L9" s="2921">
        <f t="shared" si="0"/>
        <v>0</v>
      </c>
      <c r="M9" s="109"/>
    </row>
    <row r="10" spans="1:13" ht="24" customHeight="1">
      <c r="A10" s="2752" t="s">
        <v>771</v>
      </c>
      <c r="B10" s="2753">
        <v>5331</v>
      </c>
      <c r="C10" s="2754" t="s">
        <v>772</v>
      </c>
      <c r="D10" s="2922">
        <v>200000</v>
      </c>
      <c r="E10" s="2922">
        <v>200000</v>
      </c>
      <c r="F10" s="2922">
        <v>200000</v>
      </c>
      <c r="G10" s="2922">
        <v>200000</v>
      </c>
      <c r="H10" s="2922">
        <v>200000</v>
      </c>
      <c r="I10" s="2922">
        <f>+'[6]Jídelna MŠ Koll.'!$B$4</f>
        <v>200000</v>
      </c>
      <c r="J10" s="2805">
        <f t="shared" si="1"/>
        <v>0</v>
      </c>
      <c r="K10" s="288">
        <f>'Výdaje kapitol celkem'!BY44</f>
        <v>200000</v>
      </c>
      <c r="L10" s="2921">
        <f t="shared" si="0"/>
        <v>0</v>
      </c>
      <c r="M10" s="109"/>
    </row>
    <row r="11" spans="1:13" ht="24" hidden="1" customHeight="1">
      <c r="A11" s="2752" t="s">
        <v>479</v>
      </c>
      <c r="B11" s="2753">
        <v>5331</v>
      </c>
      <c r="C11" s="2754" t="s">
        <v>773</v>
      </c>
      <c r="D11" s="2755">
        <v>0</v>
      </c>
      <c r="E11" s="2755">
        <v>0</v>
      </c>
      <c r="F11" s="2755">
        <v>0</v>
      </c>
      <c r="G11" s="2755">
        <v>0</v>
      </c>
      <c r="H11" s="2755">
        <v>0</v>
      </c>
      <c r="I11" s="2755">
        <v>0</v>
      </c>
      <c r="J11" s="2805">
        <f t="shared" si="1"/>
        <v>0</v>
      </c>
      <c r="K11" s="288">
        <f>'Výdaje kapitol celkem'!BZ44</f>
        <v>0</v>
      </c>
      <c r="L11" s="2921">
        <f t="shared" si="0"/>
        <v>0</v>
      </c>
      <c r="M11" s="109"/>
    </row>
    <row r="12" spans="1:13" ht="19.5" customHeight="1" thickBot="1">
      <c r="A12" s="3215" t="s">
        <v>97</v>
      </c>
      <c r="B12" s="3216"/>
      <c r="C12" s="3006"/>
      <c r="D12" s="2809">
        <v>53986224</v>
      </c>
      <c r="E12" s="2809">
        <v>54036224</v>
      </c>
      <c r="F12" s="2809">
        <v>54036224</v>
      </c>
      <c r="G12" s="2809">
        <v>54036224</v>
      </c>
      <c r="H12" s="2809">
        <v>54036224</v>
      </c>
      <c r="I12" s="2809">
        <f>SUM(I5:I11)</f>
        <v>54036224</v>
      </c>
      <c r="J12" s="2810">
        <f t="shared" si="1"/>
        <v>0</v>
      </c>
      <c r="K12" s="2923"/>
      <c r="L12" s="1916"/>
      <c r="M12" s="109"/>
    </row>
    <row r="13" spans="1:13">
      <c r="A13" s="109"/>
      <c r="B13" s="109"/>
      <c r="C13" s="109"/>
      <c r="D13" s="190">
        <v>53986224</v>
      </c>
      <c r="E13" s="190">
        <v>54036224</v>
      </c>
      <c r="F13" s="190">
        <v>54036224</v>
      </c>
      <c r="G13" s="190">
        <v>54036224</v>
      </c>
      <c r="H13" s="190">
        <v>54036224</v>
      </c>
      <c r="I13" s="190">
        <f>'Výdaje kapitol celkem'!I44</f>
        <v>54036224</v>
      </c>
      <c r="J13" s="109"/>
      <c r="K13" s="2923"/>
      <c r="L13" s="1916"/>
      <c r="M13" s="109"/>
    </row>
    <row r="14" spans="1:13" s="323" customFormat="1">
      <c r="A14" s="180"/>
      <c r="B14" s="180"/>
      <c r="C14" s="180" t="s">
        <v>236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284">
        <f>+I13-I12</f>
        <v>0</v>
      </c>
      <c r="J14" s="180"/>
      <c r="K14" s="2923"/>
      <c r="L14" s="1916"/>
      <c r="M14" s="180"/>
    </row>
    <row r="15" spans="1:13" s="323" customFormat="1">
      <c r="A15" s="2723" t="s">
        <v>545</v>
      </c>
      <c r="B15" s="180"/>
      <c r="C15" s="180"/>
      <c r="D15" s="180"/>
      <c r="E15" s="180"/>
      <c r="F15" s="180"/>
      <c r="G15" s="180"/>
      <c r="H15" s="180"/>
      <c r="I15" s="284"/>
      <c r="J15" s="180"/>
      <c r="K15" s="2923"/>
      <c r="L15" s="1916"/>
      <c r="M15" s="180"/>
    </row>
    <row r="16" spans="1:13" ht="13.5">
      <c r="L16" s="2924"/>
    </row>
    <row r="17" spans="11:12" ht="13.5">
      <c r="L17" s="2924"/>
    </row>
    <row r="18" spans="11:12" ht="13.5">
      <c r="K18" s="428"/>
      <c r="L18" s="2924"/>
    </row>
    <row r="19" spans="11:12" ht="13.5">
      <c r="L19" s="2924"/>
    </row>
    <row r="20" spans="11:12" ht="13.5">
      <c r="L20" s="2924"/>
    </row>
    <row r="21" spans="11:12" ht="13.5">
      <c r="K21" s="428"/>
      <c r="L21" s="2924"/>
    </row>
    <row r="22" spans="11:12" ht="13.5">
      <c r="L22" s="2924"/>
    </row>
    <row r="23" spans="11:12" ht="13.5">
      <c r="L23" s="2924"/>
    </row>
    <row r="24" spans="11:12" ht="13.5">
      <c r="K24" s="428"/>
      <c r="L24" s="2924"/>
    </row>
    <row r="25" spans="11:12" ht="13.5">
      <c r="L25" s="2924"/>
    </row>
    <row r="26" spans="11:12" ht="13.5">
      <c r="L26" s="2924"/>
    </row>
    <row r="27" spans="11:12" ht="13.5">
      <c r="K27" s="428"/>
      <c r="L27" s="2924"/>
    </row>
    <row r="28" spans="11:12" ht="13.5">
      <c r="L28" s="2924"/>
    </row>
    <row r="29" spans="11:12" ht="13.5">
      <c r="L29" s="2924"/>
    </row>
    <row r="30" spans="11:12" ht="13.5">
      <c r="K30" s="428"/>
      <c r="L30" s="2924"/>
    </row>
    <row r="31" spans="11:12" ht="13.5">
      <c r="L31" s="2924"/>
    </row>
    <row r="32" spans="11:12" ht="13.5">
      <c r="K32" s="428"/>
      <c r="L32" s="2924"/>
    </row>
    <row r="33" spans="11:12" ht="13.5">
      <c r="L33" s="2924"/>
    </row>
    <row r="34" spans="11:12" ht="13.5">
      <c r="L34" s="2924"/>
    </row>
    <row r="35" spans="11:12" ht="13.5">
      <c r="L35" s="2924"/>
    </row>
    <row r="36" spans="11:12" ht="13.5">
      <c r="L36" s="2924"/>
    </row>
    <row r="37" spans="11:12" ht="13.5">
      <c r="L37" s="2924"/>
    </row>
    <row r="38" spans="11:12" ht="13.5">
      <c r="K38" s="428"/>
      <c r="L38" s="2924"/>
    </row>
    <row r="39" spans="11:12" ht="13.5">
      <c r="L39" s="2924"/>
    </row>
    <row r="40" spans="11:12" ht="13.5">
      <c r="L40" s="2924"/>
    </row>
    <row r="41" spans="11:12" ht="13.5">
      <c r="K41" s="428"/>
      <c r="L41" s="2924"/>
    </row>
    <row r="42" spans="11:12" ht="13.5">
      <c r="L42" s="2924"/>
    </row>
    <row r="43" spans="11:12" ht="13.5">
      <c r="L43" s="2924"/>
    </row>
    <row r="44" spans="11:12" ht="13.5">
      <c r="K44" s="428"/>
      <c r="L44" s="2924"/>
    </row>
    <row r="45" spans="11:12" ht="13.5">
      <c r="L45" s="2924"/>
    </row>
    <row r="46" spans="11:12" ht="13.5">
      <c r="L46" s="2924"/>
    </row>
    <row r="47" spans="11:12" ht="13.5">
      <c r="K47" s="428"/>
      <c r="L47" s="2924"/>
    </row>
    <row r="48" spans="11:12" ht="13.5">
      <c r="L48" s="2924"/>
    </row>
    <row r="49" spans="11:12" ht="13.5">
      <c r="L49" s="2924"/>
    </row>
    <row r="50" spans="11:12" ht="13.5">
      <c r="L50" s="2924"/>
    </row>
    <row r="51" spans="11:12" ht="13.5">
      <c r="L51" s="2924"/>
    </row>
    <row r="52" spans="11:12" ht="13.5">
      <c r="K52" s="428"/>
      <c r="L52" s="2924"/>
    </row>
    <row r="53" spans="11:12" ht="13.5">
      <c r="L53" s="2924"/>
    </row>
    <row r="54" spans="11:12" ht="13.5">
      <c r="L54" s="2924"/>
    </row>
    <row r="55" spans="11:12" ht="13.5">
      <c r="K55" s="428"/>
      <c r="L55" s="2924"/>
    </row>
    <row r="56" spans="11:12" ht="13.5">
      <c r="L56" s="2924"/>
    </row>
    <row r="57" spans="11:12" ht="13.5">
      <c r="L57" s="2924"/>
    </row>
    <row r="58" spans="11:12" ht="13.5">
      <c r="L58" s="2924"/>
    </row>
    <row r="59" spans="11:12" ht="13.5">
      <c r="K59" s="428"/>
      <c r="L59" s="2924"/>
    </row>
    <row r="60" spans="11:12" ht="13.5">
      <c r="L60" s="2924"/>
    </row>
    <row r="61" spans="11:12" ht="13.5">
      <c r="L61" s="2924"/>
    </row>
    <row r="62" spans="11:12" ht="13.5">
      <c r="L62" s="2924"/>
    </row>
    <row r="63" spans="11:12" ht="13.5">
      <c r="K63" s="428"/>
      <c r="L63" s="2924"/>
    </row>
    <row r="64" spans="11:12" ht="13.5">
      <c r="L64" s="2924"/>
    </row>
    <row r="65" spans="11:12" ht="13.5">
      <c r="L65" s="2924"/>
    </row>
    <row r="66" spans="11:12" ht="13.5">
      <c r="L66" s="2924"/>
    </row>
    <row r="67" spans="11:12" ht="13.5">
      <c r="L67" s="2924"/>
    </row>
    <row r="68" spans="11:12" ht="13.5">
      <c r="L68" s="2924"/>
    </row>
    <row r="69" spans="11:12" ht="13.5">
      <c r="K69" s="428"/>
      <c r="L69" s="2924"/>
    </row>
    <row r="70" spans="11:12" ht="13.5">
      <c r="L70" s="2924"/>
    </row>
    <row r="71" spans="11:12" ht="13.5">
      <c r="L71" s="2924"/>
    </row>
    <row r="72" spans="11:12" ht="13.5">
      <c r="L72" s="2924"/>
    </row>
    <row r="73" spans="11:12" ht="13.5">
      <c r="L73" s="2924"/>
    </row>
    <row r="74" spans="11:12" ht="13.5">
      <c r="K74" s="428"/>
      <c r="L74" s="2924"/>
    </row>
    <row r="75" spans="11:12" ht="13.5">
      <c r="L75" s="2924"/>
    </row>
    <row r="76" spans="11:12" ht="13.5">
      <c r="L76" s="2924"/>
    </row>
    <row r="77" spans="11:12" ht="13.5">
      <c r="K77" s="428"/>
      <c r="L77" s="2924"/>
    </row>
    <row r="78" spans="11:12" ht="13.5">
      <c r="L78" s="2924"/>
    </row>
    <row r="79" spans="11:12" ht="13.5">
      <c r="L79" s="2924"/>
    </row>
    <row r="80" spans="11:12" ht="13.5">
      <c r="K80" s="428"/>
      <c r="L80" s="2924"/>
    </row>
    <row r="81" spans="11:12" ht="13.5">
      <c r="L81" s="2924"/>
    </row>
    <row r="82" spans="11:12" ht="13.5">
      <c r="L82" s="2924"/>
    </row>
    <row r="83" spans="11:12" ht="13.5">
      <c r="K83" s="428"/>
      <c r="L83" s="2924"/>
    </row>
    <row r="84" spans="11:12" ht="13.5">
      <c r="L84" s="2924"/>
    </row>
    <row r="85" spans="11:12" ht="13.5">
      <c r="L85" s="2924"/>
    </row>
    <row r="86" spans="11:12" ht="13.5">
      <c r="L86" s="2924"/>
    </row>
    <row r="87" spans="11:12" ht="13.5">
      <c r="K87" s="428"/>
      <c r="L87" s="2924"/>
    </row>
    <row r="88" spans="11:12" ht="13.5">
      <c r="L88" s="2924"/>
    </row>
    <row r="89" spans="11:12" ht="13.5">
      <c r="L89" s="2924"/>
    </row>
    <row r="90" spans="11:12" ht="13.5">
      <c r="K90" s="428"/>
      <c r="L90" s="2924"/>
    </row>
    <row r="91" spans="11:12" ht="13.5">
      <c r="L91" s="2924"/>
    </row>
    <row r="92" spans="11:12" ht="13.5">
      <c r="L92" s="2924"/>
    </row>
    <row r="93" spans="11:12" ht="13.5">
      <c r="K93" s="428"/>
      <c r="L93" s="2924"/>
    </row>
    <row r="94" spans="11:12" ht="13.5">
      <c r="L94" s="2924"/>
    </row>
    <row r="95" spans="11:12" ht="13.5">
      <c r="L95" s="2924"/>
    </row>
    <row r="96" spans="11:12" ht="13.5">
      <c r="K96" s="428"/>
      <c r="L96" s="2924"/>
    </row>
    <row r="97" spans="11:12" ht="13.5">
      <c r="K97" s="428"/>
      <c r="L97" s="2924"/>
    </row>
    <row r="98" spans="11:12" ht="13.5">
      <c r="K98" s="428"/>
      <c r="L98" s="2924"/>
    </row>
    <row r="99" spans="11:12" ht="13.5">
      <c r="K99" s="428"/>
      <c r="L99" s="2924"/>
    </row>
    <row r="100" spans="11:12" ht="13.5">
      <c r="K100" s="428"/>
      <c r="L100" s="2924"/>
    </row>
    <row r="101" spans="11:12" ht="13.5">
      <c r="K101" s="428"/>
      <c r="L101" s="2924"/>
    </row>
    <row r="102" spans="11:12" ht="13.5">
      <c r="L102" s="2924"/>
    </row>
    <row r="103" spans="11:12" ht="13.5">
      <c r="L103" s="2924"/>
    </row>
    <row r="104" spans="11:12" ht="13.5">
      <c r="L104" s="2924"/>
    </row>
    <row r="105" spans="11:12" ht="13.5">
      <c r="K105" s="428"/>
      <c r="L105" s="2924"/>
    </row>
    <row r="106" spans="11:12" ht="13.5">
      <c r="L106" s="2924"/>
    </row>
    <row r="107" spans="11:12" ht="13.5">
      <c r="L107" s="2924"/>
    </row>
    <row r="108" spans="11:12" ht="13.5">
      <c r="K108" s="428"/>
      <c r="L108" s="2924"/>
    </row>
    <row r="109" spans="11:12" ht="13.5">
      <c r="L109" s="2924"/>
    </row>
    <row r="110" spans="11:12" ht="13.5">
      <c r="L110" s="2924"/>
    </row>
    <row r="111" spans="11:12" ht="13.5">
      <c r="K111" s="428"/>
      <c r="L111" s="2924"/>
    </row>
    <row r="112" spans="11:12" ht="13.5">
      <c r="L112" s="2924"/>
    </row>
    <row r="113" spans="11:12" ht="13.5">
      <c r="L113" s="2924"/>
    </row>
    <row r="114" spans="11:12" ht="13.5">
      <c r="L114" s="2924"/>
    </row>
    <row r="115" spans="11:12" ht="13.5">
      <c r="L115" s="2924"/>
    </row>
    <row r="116" spans="11:12" ht="13.5">
      <c r="L116" s="2924"/>
    </row>
    <row r="117" spans="11:12" ht="13.5">
      <c r="K117" s="428"/>
      <c r="L117" s="2924"/>
    </row>
    <row r="118" spans="11:12" ht="13.5">
      <c r="L118" s="2924"/>
    </row>
    <row r="119" spans="11:12" ht="13.5">
      <c r="L119" s="2924"/>
    </row>
    <row r="120" spans="11:12" ht="13.5">
      <c r="L120" s="2924"/>
    </row>
    <row r="121" spans="11:12" ht="13.5">
      <c r="K121" s="428"/>
      <c r="L121" s="2924"/>
    </row>
    <row r="122" spans="11:12" ht="13.5">
      <c r="L122" s="2924"/>
    </row>
    <row r="123" spans="11:12" ht="13.5">
      <c r="L123" s="2924"/>
    </row>
    <row r="124" spans="11:12" ht="13.5">
      <c r="L124" s="2924"/>
    </row>
    <row r="125" spans="11:12" ht="13.5">
      <c r="K125" s="428"/>
      <c r="L125" s="2924"/>
    </row>
    <row r="126" spans="11:12" ht="13.5">
      <c r="L126" s="2924"/>
    </row>
    <row r="127" spans="11:12" ht="13.5">
      <c r="L127" s="2924"/>
    </row>
    <row r="128" spans="11:12" ht="13.5">
      <c r="K128" s="428"/>
      <c r="L128" s="2924"/>
    </row>
    <row r="129" spans="11:12" ht="13.5">
      <c r="L129" s="2924"/>
    </row>
    <row r="130" spans="11:12" ht="13.5">
      <c r="L130" s="2924"/>
    </row>
    <row r="131" spans="11:12" ht="13.5">
      <c r="K131" s="428"/>
      <c r="L131" s="2924"/>
    </row>
    <row r="132" spans="11:12" ht="13.5">
      <c r="L132" s="2924"/>
    </row>
    <row r="133" spans="11:12" ht="13.5">
      <c r="L133" s="2924"/>
    </row>
    <row r="134" spans="11:12" ht="13.5">
      <c r="L134" s="2924"/>
    </row>
    <row r="135" spans="11:12" ht="13.5">
      <c r="K135" s="428"/>
      <c r="L135" s="2924"/>
    </row>
    <row r="136" spans="11:12" ht="13.5">
      <c r="L136" s="2924"/>
    </row>
    <row r="137" spans="11:12" ht="13.5">
      <c r="L137" s="2924"/>
    </row>
    <row r="138" spans="11:12" ht="13.5">
      <c r="K138" s="428"/>
      <c r="L138" s="2924"/>
    </row>
    <row r="139" spans="11:12" ht="13.5">
      <c r="L139" s="2924"/>
    </row>
    <row r="140" spans="11:12" ht="13.5">
      <c r="L140" s="2924"/>
    </row>
    <row r="141" spans="11:12" ht="13.5">
      <c r="L141" s="2924"/>
    </row>
    <row r="142" spans="11:12" ht="13.5">
      <c r="K142" s="428"/>
      <c r="L142" s="2924"/>
    </row>
    <row r="143" spans="11:12" ht="13.5">
      <c r="L143" s="2924"/>
    </row>
    <row r="144" spans="11:12" ht="13.5">
      <c r="L144" s="2924"/>
    </row>
    <row r="145" spans="11:12" ht="13.5">
      <c r="L145" s="2924"/>
    </row>
    <row r="146" spans="11:12" ht="13.5">
      <c r="L146" s="2924"/>
    </row>
    <row r="147" spans="11:12" ht="13.5">
      <c r="K147" s="428"/>
      <c r="L147" s="2924"/>
    </row>
    <row r="148" spans="11:12" ht="13.5">
      <c r="L148" s="2924"/>
    </row>
    <row r="149" spans="11:12" ht="13.5">
      <c r="L149" s="2924"/>
    </row>
    <row r="150" spans="11:12" ht="13.5">
      <c r="K150" s="428"/>
      <c r="L150" s="2924"/>
    </row>
    <row r="151" spans="11:12" ht="13.5">
      <c r="L151" s="2924"/>
    </row>
    <row r="152" spans="11:12" ht="13.5">
      <c r="L152" s="2924"/>
    </row>
    <row r="153" spans="11:12" ht="13.5">
      <c r="K153" s="428"/>
      <c r="L153" s="2924"/>
    </row>
    <row r="154" spans="11:12" ht="13.5">
      <c r="L154" s="2924"/>
    </row>
    <row r="155" spans="11:12" ht="13.5">
      <c r="L155" s="2924"/>
    </row>
    <row r="156" spans="11:12" ht="13.5">
      <c r="K156" s="428"/>
      <c r="L156" s="2924"/>
    </row>
    <row r="157" spans="11:12" ht="13.5">
      <c r="L157" s="2924"/>
    </row>
    <row r="158" spans="11:12" ht="13.5">
      <c r="L158" s="2924"/>
    </row>
    <row r="159" spans="11:12" ht="13.5">
      <c r="L159" s="2924"/>
    </row>
    <row r="160" spans="11:12" ht="13.5">
      <c r="L160" s="2924"/>
    </row>
    <row r="161" spans="11:12" ht="13.5">
      <c r="K161" s="428"/>
      <c r="L161" s="2924"/>
    </row>
    <row r="162" spans="11:12" ht="13.5">
      <c r="L162" s="2924"/>
    </row>
    <row r="163" spans="11:12" ht="13.5">
      <c r="L163" s="2924"/>
    </row>
    <row r="164" spans="11:12" ht="13.5">
      <c r="L164" s="2924"/>
    </row>
    <row r="165" spans="11:12" ht="13.5">
      <c r="K165" s="428"/>
      <c r="L165" s="2924"/>
    </row>
    <row r="166" spans="11:12" ht="13.5">
      <c r="K166" s="428"/>
      <c r="L166" s="2925"/>
    </row>
  </sheetData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363</v>
      </c>
    </row>
    <row r="4" spans="1:5" ht="14.2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2342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20"/>
      <c r="B19" s="1222"/>
      <c r="C19" s="1222"/>
      <c r="D19" s="1222"/>
    </row>
    <row r="20" spans="1:5" ht="14.25">
      <c r="A20" s="1920"/>
      <c r="B20" s="1222"/>
      <c r="C20" s="1222"/>
      <c r="D20" s="1222"/>
    </row>
    <row r="21" spans="1:5" ht="14.25">
      <c r="A21" s="1920"/>
      <c r="B21" s="1222"/>
      <c r="C21" s="1222"/>
      <c r="D21" s="1222"/>
    </row>
    <row r="22" spans="1:5" ht="14.25">
      <c r="A22" s="1920"/>
      <c r="B22" s="1222"/>
      <c r="C22" s="1222"/>
      <c r="D22" s="1222"/>
    </row>
    <row r="23" spans="1:5" ht="14.25">
      <c r="A23" s="1920"/>
      <c r="B23" s="1222"/>
      <c r="C23" s="1222"/>
      <c r="D23" s="1222"/>
    </row>
    <row r="26" spans="1:5" ht="14.25">
      <c r="A26" s="1219" t="s">
        <v>1458</v>
      </c>
      <c r="B26" s="1219" t="s">
        <v>1461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K14"/>
  <sheetViews>
    <sheetView workbookViewId="0">
      <selection activeCell="I9" sqref="I9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4" style="316" customWidth="1"/>
    <col min="4" max="4" width="16" style="316" hidden="1" customWidth="1"/>
    <col min="5" max="6" width="10.265625" style="316" hidden="1" customWidth="1"/>
    <col min="7" max="8" width="10.265625" style="316" customWidth="1"/>
    <col min="9" max="9" width="10.265625" style="316" bestFit="1" customWidth="1"/>
    <col min="10" max="10" width="9.265625" style="316" customWidth="1"/>
    <col min="11" max="11" width="50" style="316" bestFit="1" customWidth="1"/>
    <col min="12" max="16384" width="9" style="316"/>
  </cols>
  <sheetData>
    <row r="1" spans="1:11" ht="16.149999999999999">
      <c r="A1" s="108" t="s">
        <v>2376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1" ht="13.5">
      <c r="A2" s="2793" t="s">
        <v>116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ht="13.9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1:11" s="2798" customFormat="1" ht="27.4" thickBot="1">
      <c r="A4" s="2742" t="s">
        <v>1</v>
      </c>
      <c r="B4" s="2743" t="s">
        <v>63</v>
      </c>
      <c r="C4" s="2794" t="s">
        <v>6</v>
      </c>
      <c r="D4" s="2795" t="s">
        <v>2378</v>
      </c>
      <c r="E4" s="2795" t="s">
        <v>1953</v>
      </c>
      <c r="F4" s="2795" t="s">
        <v>2687</v>
      </c>
      <c r="G4" s="2795" t="s">
        <v>2810</v>
      </c>
      <c r="H4" s="2795" t="s">
        <v>2128</v>
      </c>
      <c r="I4" s="2795" t="s">
        <v>2878</v>
      </c>
      <c r="J4" s="2796" t="s">
        <v>5</v>
      </c>
      <c r="K4" s="2797" t="s">
        <v>548</v>
      </c>
    </row>
    <row r="5" spans="1:11" s="2490" customFormat="1">
      <c r="A5" s="2799">
        <v>6310</v>
      </c>
      <c r="B5" s="2800">
        <v>5141</v>
      </c>
      <c r="C5" s="2801" t="s">
        <v>2397</v>
      </c>
      <c r="D5" s="2802">
        <v>0</v>
      </c>
      <c r="E5" s="2802">
        <v>0</v>
      </c>
      <c r="F5" s="2802">
        <v>0</v>
      </c>
      <c r="G5" s="2802">
        <v>0</v>
      </c>
      <c r="H5" s="2802">
        <v>0</v>
      </c>
      <c r="I5" s="2802">
        <f>+'[6]Splátky jistiny'!$B$5</f>
        <v>0</v>
      </c>
      <c r="J5" s="2803">
        <f>+I5-H5</f>
        <v>0</v>
      </c>
      <c r="K5" s="2797"/>
    </row>
    <row r="6" spans="1:11">
      <c r="A6" s="2752">
        <v>6310</v>
      </c>
      <c r="B6" s="2753">
        <v>5141</v>
      </c>
      <c r="C6" s="2782" t="s">
        <v>2398</v>
      </c>
      <c r="D6" s="2804">
        <v>5118492</v>
      </c>
      <c r="E6" s="2804">
        <v>5118492</v>
      </c>
      <c r="F6" s="2804">
        <v>5118492</v>
      </c>
      <c r="G6" s="2804">
        <v>5118492</v>
      </c>
      <c r="H6" s="2804">
        <v>5118492</v>
      </c>
      <c r="I6" s="2804">
        <f>+'[6]Splátky jistiny'!$B$6</f>
        <v>5118492</v>
      </c>
      <c r="J6" s="2805">
        <f t="shared" ref="J6:J11" si="0">+I6-H6</f>
        <v>0</v>
      </c>
      <c r="K6" s="2134"/>
    </row>
    <row r="7" spans="1:11" ht="14.25" customHeight="1">
      <c r="A7" s="2752">
        <v>6310</v>
      </c>
      <c r="B7" s="2753">
        <v>5141</v>
      </c>
      <c r="C7" s="2782" t="s">
        <v>2399</v>
      </c>
      <c r="D7" s="2804">
        <v>2264160</v>
      </c>
      <c r="E7" s="2804">
        <v>2264160</v>
      </c>
      <c r="F7" s="2804">
        <v>2264160</v>
      </c>
      <c r="G7" s="2804">
        <v>2264160</v>
      </c>
      <c r="H7" s="2804">
        <v>2264160</v>
      </c>
      <c r="I7" s="2804">
        <f>+'[6]Splátky jistiny'!$B$7</f>
        <v>2264160</v>
      </c>
      <c r="J7" s="2805">
        <f t="shared" si="0"/>
        <v>0</v>
      </c>
      <c r="K7" s="2741"/>
    </row>
    <row r="8" spans="1:11" ht="14.25" customHeight="1">
      <c r="A8" s="2752">
        <v>6310</v>
      </c>
      <c r="B8" s="2753">
        <v>5141</v>
      </c>
      <c r="C8" s="2782" t="s">
        <v>2400</v>
      </c>
      <c r="D8" s="2804">
        <v>681648</v>
      </c>
      <c r="E8" s="2804">
        <v>681648</v>
      </c>
      <c r="F8" s="2804">
        <v>681648</v>
      </c>
      <c r="G8" s="2804">
        <v>681648</v>
      </c>
      <c r="H8" s="2804">
        <v>681648</v>
      </c>
      <c r="I8" s="2804">
        <f>+'[6]Splátky jistiny'!$B$8</f>
        <v>681648</v>
      </c>
      <c r="J8" s="2805">
        <f t="shared" si="0"/>
        <v>0</v>
      </c>
      <c r="K8" s="109"/>
    </row>
    <row r="9" spans="1:11">
      <c r="A9" s="2752">
        <v>6310</v>
      </c>
      <c r="B9" s="2753">
        <v>5141</v>
      </c>
      <c r="C9" s="2782" t="s">
        <v>2401</v>
      </c>
      <c r="D9" s="2806">
        <v>416667</v>
      </c>
      <c r="E9" s="2806">
        <v>416667</v>
      </c>
      <c r="F9" s="2806">
        <v>416667</v>
      </c>
      <c r="G9" s="2806">
        <v>416667</v>
      </c>
      <c r="H9" s="2806">
        <v>416667</v>
      </c>
      <c r="I9" s="2806">
        <f>+'[6]Splátky jistiny'!$B$10</f>
        <v>416667</v>
      </c>
      <c r="J9" s="2805">
        <f t="shared" si="0"/>
        <v>0</v>
      </c>
      <c r="K9" s="109"/>
    </row>
    <row r="10" spans="1:11">
      <c r="A10" s="2763">
        <v>6310</v>
      </c>
      <c r="B10" s="2764">
        <v>5141</v>
      </c>
      <c r="C10" s="2784" t="s">
        <v>2617</v>
      </c>
      <c r="D10" s="2806">
        <v>0</v>
      </c>
      <c r="E10" s="2806">
        <v>0</v>
      </c>
      <c r="F10" s="2806">
        <v>0</v>
      </c>
      <c r="G10" s="2806">
        <v>0</v>
      </c>
      <c r="H10" s="2806">
        <v>0</v>
      </c>
      <c r="I10" s="2806">
        <f>+'[6]Splátky jistiny'!$D$11</f>
        <v>0</v>
      </c>
      <c r="J10" s="2807">
        <f t="shared" si="0"/>
        <v>0</v>
      </c>
      <c r="K10" s="109"/>
    </row>
    <row r="11" spans="1:11" ht="13.9" thickBot="1">
      <c r="A11" s="3215" t="s">
        <v>2395</v>
      </c>
      <c r="B11" s="3216"/>
      <c r="C11" s="2808"/>
      <c r="D11" s="2809">
        <v>8480967</v>
      </c>
      <c r="E11" s="2809">
        <v>8480967</v>
      </c>
      <c r="F11" s="2809">
        <v>8480967</v>
      </c>
      <c r="G11" s="2809">
        <v>8480967</v>
      </c>
      <c r="H11" s="2809">
        <v>8480967</v>
      </c>
      <c r="I11" s="2809">
        <f>SUM(I5:I10)</f>
        <v>8480967</v>
      </c>
      <c r="J11" s="2810">
        <f t="shared" si="0"/>
        <v>0</v>
      </c>
      <c r="K11" s="109"/>
    </row>
    <row r="12" spans="1:11">
      <c r="A12" s="109"/>
      <c r="B12" s="109"/>
      <c r="C12" s="109"/>
      <c r="D12" s="190">
        <v>8480967</v>
      </c>
      <c r="E12" s="190">
        <v>8480967</v>
      </c>
      <c r="F12" s="190">
        <v>8480967</v>
      </c>
      <c r="G12" s="190">
        <v>8480967</v>
      </c>
      <c r="H12" s="190">
        <v>8480967</v>
      </c>
      <c r="I12" s="190">
        <f>+'Výdaje kapitol celkem'!I71</f>
        <v>8480967</v>
      </c>
      <c r="J12" s="109"/>
      <c r="K12" s="109"/>
    </row>
    <row r="13" spans="1:11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f>+I12-I11</f>
        <v>0</v>
      </c>
      <c r="J13" s="180"/>
      <c r="K13" s="180"/>
    </row>
    <row r="14" spans="1:11" s="323" customFormat="1">
      <c r="A14" s="2723" t="s">
        <v>545</v>
      </c>
      <c r="B14" s="180"/>
      <c r="C14" s="180"/>
      <c r="D14" s="284"/>
      <c r="E14" s="284"/>
      <c r="F14" s="284"/>
      <c r="G14" s="284"/>
      <c r="H14" s="284"/>
      <c r="I14" s="284"/>
      <c r="J14" s="180"/>
      <c r="K14" s="180"/>
    </row>
  </sheetData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A4" workbookViewId="0"/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698</v>
      </c>
      <c r="C2" s="976" t="s">
        <v>699</v>
      </c>
      <c r="D2" s="977"/>
      <c r="E2" s="977"/>
    </row>
    <row r="3" spans="1:27" s="974" customFormat="1" ht="14.65">
      <c r="A3" s="974" t="s">
        <v>658</v>
      </c>
      <c r="B3" s="978">
        <v>110000000</v>
      </c>
      <c r="D3" s="977"/>
      <c r="E3" s="977"/>
    </row>
    <row r="4" spans="1:27" s="979" customFormat="1" ht="14.6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765</v>
      </c>
      <c r="B5" s="980">
        <v>30000000</v>
      </c>
      <c r="C5" s="980"/>
      <c r="D5" s="978"/>
      <c r="E5" s="978"/>
    </row>
    <row r="6" spans="1:27" s="979" customFormat="1" ht="14.65">
      <c r="A6" s="979" t="s">
        <v>1138</v>
      </c>
      <c r="B6" s="980">
        <v>15000000</v>
      </c>
      <c r="C6" s="980"/>
      <c r="D6" s="978"/>
      <c r="E6" s="978"/>
    </row>
    <row r="7" spans="1:27" s="979" customFormat="1" ht="14.65">
      <c r="A7" s="979" t="s">
        <v>1138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91" t="s">
        <v>659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15">
      <c r="A10" s="1019" t="s">
        <v>660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1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1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1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1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1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1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15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>
      <c r="A19" s="1773" t="s">
        <v>1134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>
      <c r="A20" s="1773" t="s">
        <v>1135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>
      <c r="A21" s="1777" t="s">
        <v>1137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>
      <c r="A22" s="1777" t="s">
        <v>1136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>
      <c r="A23" s="1002" t="s">
        <v>2131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>
      <c r="A24" s="1002" t="s">
        <v>2132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>
      <c r="A25" s="1002" t="s">
        <v>2134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>
      <c r="A26" s="1002" t="s">
        <v>2133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1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15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15">
      <c r="A32" s="1784" t="s">
        <v>1139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15">
      <c r="A33" s="1784" t="s">
        <v>2181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15">
      <c r="A34" s="1404" t="s">
        <v>2182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15">
      <c r="A35" s="1783" t="s">
        <v>2183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thickBot="1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2025'!J220</f>
        <v>277107386</v>
      </c>
      <c r="K39" s="1030">
        <f t="shared" ref="K39:Z39" si="11">+J39*1.005</f>
        <v>278492922.92999995</v>
      </c>
      <c r="L39" s="1030">
        <f t="shared" si="11"/>
        <v>279885387.5446499</v>
      </c>
      <c r="M39" s="1030">
        <f t="shared" si="11"/>
        <v>281284814.48237312</v>
      </c>
      <c r="N39" s="1030">
        <f t="shared" si="11"/>
        <v>282691238.55478495</v>
      </c>
      <c r="O39" s="1030">
        <f t="shared" si="11"/>
        <v>284104694.74755883</v>
      </c>
      <c r="P39" s="1030">
        <f t="shared" si="11"/>
        <v>285525218.22129661</v>
      </c>
      <c r="Q39" s="1030">
        <f t="shared" si="11"/>
        <v>286952844.31240308</v>
      </c>
      <c r="R39" s="1030">
        <f t="shared" si="11"/>
        <v>288387608.53396505</v>
      </c>
      <c r="S39" s="1030">
        <f t="shared" si="11"/>
        <v>289829546.57663482</v>
      </c>
      <c r="T39" s="1030">
        <f t="shared" si="11"/>
        <v>291278694.30951798</v>
      </c>
      <c r="U39" s="1030">
        <f t="shared" si="11"/>
        <v>292735087.78106552</v>
      </c>
      <c r="V39" s="1840">
        <f t="shared" si="11"/>
        <v>294198763.21997082</v>
      </c>
      <c r="W39" s="1840">
        <f t="shared" si="11"/>
        <v>295669757.03607064</v>
      </c>
      <c r="X39" s="1030">
        <f t="shared" si="11"/>
        <v>297148105.82125098</v>
      </c>
      <c r="Y39" s="1843">
        <f t="shared" si="11"/>
        <v>298633846.35035717</v>
      </c>
      <c r="Z39" s="1031">
        <f t="shared" si="11"/>
        <v>300127015.58210891</v>
      </c>
      <c r="AA39" s="954"/>
    </row>
    <row r="40" spans="1:27" ht="14.6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3.3983544478781956E-2</v>
      </c>
      <c r="K40" s="1036">
        <f t="shared" si="12"/>
        <v>4.402769759227218E-2</v>
      </c>
      <c r="L40" s="1036">
        <f t="shared" si="12"/>
        <v>2.9197468367498591E-2</v>
      </c>
      <c r="M40" s="1036">
        <f t="shared" si="12"/>
        <v>2.1428003538305866E-2</v>
      </c>
      <c r="N40" s="1036">
        <f t="shared" si="12"/>
        <v>2.1321396555528227E-2</v>
      </c>
      <c r="O40" s="1036">
        <f t="shared" si="12"/>
        <v>2.1215319955749483E-2</v>
      </c>
      <c r="P40" s="1036">
        <f t="shared" si="12"/>
        <v>2.1109771100248243E-2</v>
      </c>
      <c r="Q40" s="1036">
        <f t="shared" si="12"/>
        <v>2.0212909943089552E-2</v>
      </c>
      <c r="R40" s="1036">
        <f t="shared" si="12"/>
        <v>2.0112348202079158E-2</v>
      </c>
      <c r="S40" s="1036">
        <f t="shared" si="12"/>
        <v>2.001228676823797E-2</v>
      </c>
      <c r="T40" s="1036">
        <f t="shared" si="12"/>
        <v>1.9912723152475595E-2</v>
      </c>
      <c r="U40" s="1036">
        <f t="shared" si="12"/>
        <v>1.9813654878085171E-2</v>
      </c>
      <c r="V40" s="1841">
        <f t="shared" si="12"/>
        <v>1.9715079480681765E-2</v>
      </c>
      <c r="W40" s="1841">
        <f t="shared" ref="W40:Z40" si="13">+W27/W39</f>
        <v>2.3054775937629626E-3</v>
      </c>
      <c r="X40" s="1036">
        <f t="shared" si="13"/>
        <v>2.2940075559830476E-3</v>
      </c>
      <c r="Y40" s="1844">
        <f t="shared" si="13"/>
        <v>2.2825945830677098E-3</v>
      </c>
      <c r="Z40" s="1037">
        <f t="shared" si="13"/>
        <v>2.2712383911121493E-3</v>
      </c>
      <c r="AA40" s="954"/>
    </row>
    <row r="41" spans="1:27" ht="14.6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0.36037740571267196</v>
      </c>
      <c r="K41" s="1041">
        <f t="shared" si="14"/>
        <v>0.33694166402241371</v>
      </c>
      <c r="L41" s="1041">
        <f t="shared" si="14"/>
        <v>0.31373019377973771</v>
      </c>
      <c r="M41" s="1041">
        <f t="shared" si="14"/>
        <v>0.29074134350620928</v>
      </c>
      <c r="N41" s="1041">
        <f t="shared" si="14"/>
        <v>0.26797347260487908</v>
      </c>
      <c r="O41" s="1041">
        <f t="shared" si="14"/>
        <v>0.24542495129288644</v>
      </c>
      <c r="P41" s="1041">
        <f t="shared" si="14"/>
        <v>0.22309416053446465</v>
      </c>
      <c r="Q41" s="1041">
        <f t="shared" si="14"/>
        <v>0.20177132939468623</v>
      </c>
      <c r="R41" s="1041">
        <f t="shared" si="14"/>
        <v>0.18065514373293204</v>
      </c>
      <c r="S41" s="1041">
        <f t="shared" si="14"/>
        <v>0.15974407515507755</v>
      </c>
      <c r="T41" s="1041">
        <f t="shared" si="14"/>
        <v>6.287923294189772E-2</v>
      </c>
      <c r="U41" s="1041">
        <f t="shared" si="14"/>
        <v>4.2752746059126503E-2</v>
      </c>
      <c r="V41" s="1042">
        <f t="shared" si="14"/>
        <v>2.2824966349294859E-2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7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celkem'!$DA$34+'Výdaje kapitol celkem'!$DD$34+'Výdaje kapitol celkem'!$DG$34</f>
        <v>7200000</v>
      </c>
      <c r="R7" s="52">
        <f>+'Výdaje kapitol celkem'!$DA$34+'Výdaje kapitol celkem'!$DD$34+'Výdaje kapitol celkem'!$DG$34</f>
        <v>7200000</v>
      </c>
      <c r="S7" s="51">
        <f>+'Výdaje kapitol celkem'!$DA$34+'Výdaje kapitol celkem'!$DD$34+'Výdaje kapitol celkem'!$DG$34</f>
        <v>7200000</v>
      </c>
      <c r="T7" s="51">
        <f>+'Výdaje kapitol celkem'!$DA$34+'Výdaje kapitol celkem'!$DD$34+'Výdaje kapitol celkem'!$DG$34</f>
        <v>7200000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celkem'!$CD$52</f>
        <v>3022100</v>
      </c>
      <c r="R8" s="52">
        <f>+'Výdaje kapitol celkem'!$CD$52</f>
        <v>3022100</v>
      </c>
      <c r="S8" s="51">
        <f>+'Výdaje kapitol celkem'!$CD$52</f>
        <v>3022100</v>
      </c>
      <c r="T8" s="51">
        <f>+'Výdaje kapitol celkem'!$CD$52</f>
        <v>3022100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29739416</v>
      </c>
      <c r="R18" s="64">
        <f>SUM(R6:R11)</f>
        <v>28881600</v>
      </c>
      <c r="S18" s="64">
        <f>SUM(S6:S11)</f>
        <v>28881600</v>
      </c>
      <c r="T18" s="64">
        <f>SUM(T6:T11)</f>
        <v>27431600</v>
      </c>
    </row>
    <row r="19" spans="2:20" s="54" customFormat="1" ht="14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-17139416</v>
      </c>
      <c r="R27" s="70">
        <f>R25-R18</f>
        <v>-16281600</v>
      </c>
      <c r="S27" s="68">
        <f>S25-S18</f>
        <v>-16281600</v>
      </c>
      <c r="T27" s="68">
        <f>T25-T18</f>
        <v>-14831600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-6726382.75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-7507711.75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-7507711.75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4.25">
      <c r="C42" t="s">
        <v>609</v>
      </c>
      <c r="P42" s="69">
        <f>SUM(P37:P40)</f>
        <v>-7507711.75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230" t="s">
        <v>298</v>
      </c>
      <c r="D3" s="3230"/>
      <c r="E3" s="3230"/>
      <c r="F3" s="3230" t="s">
        <v>299</v>
      </c>
      <c r="G3" s="3230"/>
      <c r="H3" s="3230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celkem'!P36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>
      <c r="B4" s="23" t="s">
        <v>286</v>
      </c>
      <c r="C4" s="15"/>
      <c r="D4" s="16">
        <f>'Výdaje kapitol celkem'!V44</f>
        <v>30900000</v>
      </c>
      <c r="E4" s="16">
        <v>9659037</v>
      </c>
      <c r="F4" s="16">
        <v>9659037</v>
      </c>
    </row>
    <row r="5" spans="1:9" ht="14.25">
      <c r="B5" s="3231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232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4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4.25">
      <c r="B14"/>
      <c r="C14" s="12" t="s">
        <v>269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2025'!J7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>
      <c r="A5" s="77" t="s">
        <v>14</v>
      </c>
      <c r="B5" s="88">
        <v>1112</v>
      </c>
      <c r="C5" s="103">
        <f>'Souhrn příjmů a výdajů 2025'!J8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>
      <c r="A6" s="77" t="s">
        <v>15</v>
      </c>
      <c r="B6" s="88">
        <v>1121</v>
      </c>
      <c r="C6" s="103">
        <f>'Souhrn příjmů a výdajů 2025'!J9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>
      <c r="A7" s="77" t="s">
        <v>481</v>
      </c>
      <c r="B7" s="88">
        <v>1113</v>
      </c>
      <c r="C7" s="103">
        <f>'Souhrn příjmů a výdajů 2025'!J12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>
      <c r="A8" s="77" t="s">
        <v>16</v>
      </c>
      <c r="B8" s="88">
        <v>1211</v>
      </c>
      <c r="C8" s="103">
        <f>'Souhrn příjmů a výdajů 2025'!J14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>
      <c r="A9" s="77" t="s">
        <v>18</v>
      </c>
      <c r="B9" s="88" t="s">
        <v>17</v>
      </c>
      <c r="C9" s="103">
        <f>'Souhrn příjmů a výdajů 2025'!J15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2025'!J16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>
      <c r="A12" s="77" t="s">
        <v>21</v>
      </c>
      <c r="B12" s="88">
        <v>1341</v>
      </c>
      <c r="C12" s="103">
        <f>'Souhrn příjmů a výdajů 2025'!J17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>
      <c r="A13" s="77" t="s">
        <v>22</v>
      </c>
      <c r="B13" s="88">
        <v>1343</v>
      </c>
      <c r="C13" s="103">
        <f>'Souhrn příjmů a výdajů 2025'!J18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2025'!J19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2025'!J20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2025'!J21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2025'!J22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>
      <c r="A18" s="77" t="s">
        <v>480</v>
      </c>
      <c r="B18" s="88" t="s">
        <v>26</v>
      </c>
      <c r="C18" s="103">
        <f>'Souhrn příjmů a výdajů 2025'!J23</f>
        <v>13080000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-13080000</v>
      </c>
    </row>
    <row r="19" spans="1:16" ht="15.75">
      <c r="A19" s="77" t="s">
        <v>482</v>
      </c>
      <c r="B19" s="88">
        <v>1381</v>
      </c>
      <c r="C19" s="103">
        <f>'Souhrn příjmů a výdajů 2025'!J26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>
      <c r="A20" s="77" t="s">
        <v>28</v>
      </c>
      <c r="B20" s="88">
        <v>1381</v>
      </c>
      <c r="C20" s="103">
        <f>'Souhrn příjmů a výdajů 2025'!J25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>
      <c r="A21" s="77" t="s">
        <v>30</v>
      </c>
      <c r="B21" s="88" t="s">
        <v>29</v>
      </c>
      <c r="C21" s="103">
        <f>'Souhrn příjmů a výdajů 2025'!J24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2025'!J27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799</v>
      </c>
      <c r="C2" s="10"/>
    </row>
    <row r="4" spans="1:4" ht="14.2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>
      <c r="C5" s="1226"/>
    </row>
    <row r="6" spans="1:4">
      <c r="B6" t="s">
        <v>803</v>
      </c>
      <c r="C6" s="1233" t="s">
        <v>804</v>
      </c>
      <c r="D6" s="1227" t="s">
        <v>805</v>
      </c>
    </row>
    <row r="7" spans="1:4">
      <c r="B7" t="s">
        <v>1481</v>
      </c>
      <c r="C7" s="1233" t="s">
        <v>806</v>
      </c>
      <c r="D7" s="1227" t="s">
        <v>807</v>
      </c>
    </row>
    <row r="8" spans="1:4">
      <c r="B8" t="s">
        <v>808</v>
      </c>
      <c r="C8" s="1233" t="s">
        <v>809</v>
      </c>
      <c r="D8" s="1227" t="s">
        <v>810</v>
      </c>
    </row>
    <row r="9" spans="1:4" ht="14.2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>
      <c r="B10" t="s">
        <v>803</v>
      </c>
      <c r="C10" s="1233" t="s">
        <v>814</v>
      </c>
      <c r="D10" s="1227" t="s">
        <v>815</v>
      </c>
    </row>
    <row r="11" spans="1:4">
      <c r="B11" t="s">
        <v>1481</v>
      </c>
      <c r="C11" s="1233" t="s">
        <v>806</v>
      </c>
      <c r="D11" s="1227" t="s">
        <v>816</v>
      </c>
    </row>
    <row r="12" spans="1:4">
      <c r="B12" t="s">
        <v>817</v>
      </c>
      <c r="C12" s="1233" t="s">
        <v>809</v>
      </c>
      <c r="D12" s="1227" t="s">
        <v>810</v>
      </c>
    </row>
    <row r="13" spans="1:4" ht="14.2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>
      <c r="B14" t="s">
        <v>803</v>
      </c>
      <c r="C14" s="1233" t="s">
        <v>820</v>
      </c>
      <c r="D14" s="1227" t="s">
        <v>821</v>
      </c>
    </row>
    <row r="15" spans="1:4">
      <c r="B15" t="s">
        <v>1481</v>
      </c>
      <c r="C15" s="1233" t="s">
        <v>822</v>
      </c>
      <c r="D15" s="1227" t="s">
        <v>823</v>
      </c>
    </row>
    <row r="16" spans="1:4">
      <c r="B16" t="s">
        <v>817</v>
      </c>
      <c r="C16" s="1233" t="s">
        <v>824</v>
      </c>
      <c r="D16" s="1227" t="s">
        <v>810</v>
      </c>
    </row>
    <row r="17" spans="1:4" ht="14.2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>
      <c r="B18" t="s">
        <v>803</v>
      </c>
      <c r="C18" s="1233" t="s">
        <v>827</v>
      </c>
      <c r="D18" s="1227" t="s">
        <v>828</v>
      </c>
    </row>
    <row r="19" spans="1:4">
      <c r="B19" t="s">
        <v>1481</v>
      </c>
      <c r="C19" s="1233" t="s">
        <v>829</v>
      </c>
      <c r="D19" s="1227" t="s">
        <v>830</v>
      </c>
    </row>
    <row r="20" spans="1:4">
      <c r="B20" t="s">
        <v>817</v>
      </c>
      <c r="C20" s="1233" t="s">
        <v>824</v>
      </c>
      <c r="D20" s="1227" t="s">
        <v>810</v>
      </c>
    </row>
    <row r="21" spans="1:4" ht="14.2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>
      <c r="B22" t="s">
        <v>803</v>
      </c>
      <c r="C22" s="1233" t="s">
        <v>833</v>
      </c>
      <c r="D22" s="1227" t="s">
        <v>834</v>
      </c>
    </row>
    <row r="23" spans="1:4">
      <c r="B23" t="s">
        <v>1481</v>
      </c>
      <c r="C23" s="1233" t="s">
        <v>829</v>
      </c>
      <c r="D23" s="1227" t="s">
        <v>835</v>
      </c>
    </row>
    <row r="24" spans="1:4">
      <c r="B24" t="s">
        <v>817</v>
      </c>
      <c r="C24" s="1233" t="s">
        <v>824</v>
      </c>
      <c r="D24" s="1227" t="s">
        <v>810</v>
      </c>
    </row>
    <row r="25" spans="1:4" ht="14.2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>
      <c r="B26" t="s">
        <v>803</v>
      </c>
      <c r="C26" s="1233" t="s">
        <v>838</v>
      </c>
      <c r="D26" s="1227" t="s">
        <v>839</v>
      </c>
    </row>
    <row r="27" spans="1:4">
      <c r="B27" t="s">
        <v>1481</v>
      </c>
      <c r="C27" s="1233" t="s">
        <v>829</v>
      </c>
      <c r="D27" s="1227" t="s">
        <v>840</v>
      </c>
    </row>
    <row r="28" spans="1:4">
      <c r="B28" t="s">
        <v>817</v>
      </c>
      <c r="C28" s="1233" t="s">
        <v>841</v>
      </c>
      <c r="D28" s="1227" t="s">
        <v>810</v>
      </c>
    </row>
    <row r="29" spans="1:4" ht="14.2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>
      <c r="B30" t="s">
        <v>803</v>
      </c>
      <c r="C30" s="1233" t="s">
        <v>844</v>
      </c>
      <c r="D30" s="1227" t="s">
        <v>845</v>
      </c>
    </row>
    <row r="31" spans="1:4">
      <c r="B31" t="s">
        <v>1481</v>
      </c>
      <c r="C31" s="1233" t="s">
        <v>846</v>
      </c>
      <c r="D31" s="1227" t="s">
        <v>847</v>
      </c>
    </row>
    <row r="32" spans="1:4">
      <c r="B32" t="s">
        <v>817</v>
      </c>
      <c r="C32" s="1227" t="s">
        <v>841</v>
      </c>
      <c r="D32" s="1227" t="s">
        <v>810</v>
      </c>
    </row>
    <row r="33" spans="1:5" ht="14.2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>
      <c r="B34" t="s">
        <v>803</v>
      </c>
      <c r="C34" s="1227" t="s">
        <v>850</v>
      </c>
      <c r="D34" s="1227" t="s">
        <v>851</v>
      </c>
    </row>
    <row r="35" spans="1:5">
      <c r="B35" t="s">
        <v>1481</v>
      </c>
      <c r="C35" s="1227" t="s">
        <v>852</v>
      </c>
      <c r="D35" s="1227" t="s">
        <v>853</v>
      </c>
    </row>
    <row r="36" spans="1: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4.25">
      <c r="A37" s="1244"/>
      <c r="B37" s="1245" t="s">
        <v>817</v>
      </c>
      <c r="C37" s="1246" t="s">
        <v>841</v>
      </c>
      <c r="D37" s="1246" t="s">
        <v>810</v>
      </c>
    </row>
    <row r="38" spans="1: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>
      <c r="B39" t="s">
        <v>803</v>
      </c>
      <c r="C39" s="1227" t="s">
        <v>977</v>
      </c>
      <c r="D39" s="1227" t="s">
        <v>978</v>
      </c>
    </row>
    <row r="40" spans="1:5">
      <c r="B40" t="s">
        <v>1463</v>
      </c>
      <c r="C40" s="1227" t="s">
        <v>979</v>
      </c>
      <c r="D40" s="1227" t="s">
        <v>980</v>
      </c>
    </row>
    <row r="41" spans="1:5" ht="14.25">
      <c r="A41" s="1244"/>
      <c r="B41" s="1245" t="s">
        <v>1464</v>
      </c>
      <c r="C41" s="1246" t="s">
        <v>981</v>
      </c>
      <c r="D41" s="1246" t="s">
        <v>810</v>
      </c>
    </row>
    <row r="42" spans="1:5">
      <c r="B42" t="s">
        <v>817</v>
      </c>
      <c r="C42" s="1227" t="s">
        <v>982</v>
      </c>
      <c r="D42" s="1227" t="s">
        <v>810</v>
      </c>
    </row>
    <row r="43" spans="1:5">
      <c r="A43" s="1249" t="s">
        <v>857</v>
      </c>
      <c r="B43" s="1228"/>
      <c r="C43" s="1229" t="s">
        <v>983</v>
      </c>
      <c r="D43" s="1248" t="s">
        <v>984</v>
      </c>
    </row>
    <row r="44" spans="1:5">
      <c r="B44" t="s">
        <v>803</v>
      </c>
      <c r="C44" s="1227" t="s">
        <v>985</v>
      </c>
      <c r="D44" s="1227" t="s">
        <v>986</v>
      </c>
    </row>
    <row r="45" spans="1:5" ht="13.15">
      <c r="B45" t="s">
        <v>1482</v>
      </c>
      <c r="C45" s="1227" t="s">
        <v>979</v>
      </c>
      <c r="D45" s="1227" t="s">
        <v>987</v>
      </c>
    </row>
    <row r="46" spans="1:5">
      <c r="B46" t="s">
        <v>1464</v>
      </c>
      <c r="C46" s="1227" t="s">
        <v>988</v>
      </c>
      <c r="D46" s="1227" t="s">
        <v>810</v>
      </c>
    </row>
    <row r="47" spans="1:5">
      <c r="B47" t="s">
        <v>817</v>
      </c>
      <c r="C47" s="1227" t="s">
        <v>982</v>
      </c>
      <c r="D47" s="1227" t="s">
        <v>810</v>
      </c>
    </row>
    <row r="48" spans="1: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>
      <c r="B49" t="s">
        <v>803</v>
      </c>
      <c r="C49" s="1227" t="s">
        <v>991</v>
      </c>
      <c r="D49" s="1227" t="s">
        <v>992</v>
      </c>
    </row>
    <row r="50" spans="1:4" ht="13.15">
      <c r="B50" t="s">
        <v>1483</v>
      </c>
      <c r="C50" s="1227" t="s">
        <v>993</v>
      </c>
      <c r="D50" s="1227" t="s">
        <v>994</v>
      </c>
    </row>
    <row r="51" spans="1:4" ht="13.15">
      <c r="B51" t="s">
        <v>1484</v>
      </c>
      <c r="C51" s="1227" t="s">
        <v>995</v>
      </c>
      <c r="D51" s="1227" t="s">
        <v>810</v>
      </c>
    </row>
    <row r="52" spans="1:4">
      <c r="B52" t="s">
        <v>817</v>
      </c>
      <c r="C52" s="1227" t="s">
        <v>982</v>
      </c>
      <c r="D52" s="1227" t="s">
        <v>810</v>
      </c>
    </row>
    <row r="53" spans="1:4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>
      <c r="B54" t="s">
        <v>803</v>
      </c>
      <c r="C54" s="1227" t="s">
        <v>998</v>
      </c>
      <c r="D54" s="1227" t="s">
        <v>999</v>
      </c>
    </row>
    <row r="55" spans="1:4">
      <c r="B55" t="s">
        <v>1463</v>
      </c>
      <c r="C55" s="1227" t="s">
        <v>1000</v>
      </c>
      <c r="D55" s="1227" t="s">
        <v>1001</v>
      </c>
    </row>
    <row r="56" spans="1:4">
      <c r="B56" t="s">
        <v>1464</v>
      </c>
      <c r="C56" s="1227" t="s">
        <v>1002</v>
      </c>
      <c r="D56" s="1227" t="s">
        <v>1003</v>
      </c>
    </row>
    <row r="57" spans="1:4">
      <c r="B57" t="s">
        <v>817</v>
      </c>
      <c r="C57" s="1227" t="s">
        <v>1004</v>
      </c>
      <c r="D57" s="1227" t="s">
        <v>810</v>
      </c>
    </row>
    <row r="58" spans="1:4">
      <c r="A58" s="1228" t="s">
        <v>1005</v>
      </c>
      <c r="B58" s="1228"/>
      <c r="C58" s="1229" t="s">
        <v>1006</v>
      </c>
      <c r="D58" s="1229">
        <v>286953.67</v>
      </c>
    </row>
    <row r="59" spans="1:4">
      <c r="B59" t="s">
        <v>803</v>
      </c>
      <c r="C59" s="1227" t="s">
        <v>1007</v>
      </c>
      <c r="D59" s="1227" t="s">
        <v>1008</v>
      </c>
    </row>
    <row r="60" spans="1:4">
      <c r="B60" t="s">
        <v>1463</v>
      </c>
      <c r="C60" s="1227" t="s">
        <v>1009</v>
      </c>
      <c r="D60" s="1227" t="s">
        <v>1010</v>
      </c>
    </row>
    <row r="61" spans="1:4">
      <c r="B61" t="s">
        <v>1464</v>
      </c>
      <c r="C61" s="1227" t="s">
        <v>1002</v>
      </c>
      <c r="D61" s="1227" t="s">
        <v>810</v>
      </c>
    </row>
    <row r="62" spans="1:4">
      <c r="B62" t="s">
        <v>817</v>
      </c>
      <c r="C62" s="1227" t="s">
        <v>1004</v>
      </c>
      <c r="D62" s="1227" t="s">
        <v>810</v>
      </c>
    </row>
    <row r="63" spans="1:4">
      <c r="A63" s="1228" t="s">
        <v>1011</v>
      </c>
      <c r="B63" s="1228"/>
      <c r="C63" s="1229" t="s">
        <v>1012</v>
      </c>
      <c r="D63" s="1229" t="s">
        <v>1013</v>
      </c>
    </row>
    <row r="64" spans="1:4">
      <c r="B64" t="s">
        <v>803</v>
      </c>
      <c r="C64" s="1227" t="s">
        <v>1014</v>
      </c>
      <c r="D64" s="1227" t="s">
        <v>1015</v>
      </c>
    </row>
    <row r="65" spans="1:4">
      <c r="B65" t="s">
        <v>1463</v>
      </c>
      <c r="C65" s="1227" t="s">
        <v>1016</v>
      </c>
      <c r="D65" s="1227" t="s">
        <v>1017</v>
      </c>
    </row>
    <row r="66" spans="1:4">
      <c r="B66" t="s">
        <v>1464</v>
      </c>
      <c r="C66" s="1227" t="s">
        <v>1002</v>
      </c>
      <c r="D66" s="1227" t="s">
        <v>810</v>
      </c>
    </row>
    <row r="67" spans="1:4">
      <c r="B67" t="s">
        <v>817</v>
      </c>
      <c r="C67" s="1227" t="s">
        <v>1004</v>
      </c>
      <c r="D67" s="1227" t="s">
        <v>810</v>
      </c>
    </row>
    <row r="68" spans="1:4">
      <c r="A68" s="1228" t="s">
        <v>1018</v>
      </c>
      <c r="B68" s="1228"/>
      <c r="C68" s="1229" t="s">
        <v>1019</v>
      </c>
      <c r="D68" s="1229" t="s">
        <v>1020</v>
      </c>
    </row>
    <row r="69" spans="1:4">
      <c r="B69" t="s">
        <v>803</v>
      </c>
      <c r="C69" s="1227" t="s">
        <v>1014</v>
      </c>
      <c r="D69" s="1227" t="s">
        <v>1021</v>
      </c>
    </row>
    <row r="70" spans="1:4">
      <c r="B70" t="s">
        <v>1463</v>
      </c>
      <c r="C70" s="1227" t="s">
        <v>1016</v>
      </c>
      <c r="D70" s="1227" t="s">
        <v>1022</v>
      </c>
    </row>
    <row r="71" spans="1:4">
      <c r="B71" t="s">
        <v>1464</v>
      </c>
      <c r="C71" s="1227" t="s">
        <v>1002</v>
      </c>
      <c r="D71" s="1227" t="s">
        <v>1023</v>
      </c>
    </row>
    <row r="72" spans="1:4">
      <c r="B72" t="s">
        <v>817</v>
      </c>
      <c r="C72" s="1227" t="s">
        <v>810</v>
      </c>
      <c r="D72" s="1227" t="s">
        <v>810</v>
      </c>
    </row>
    <row r="73" spans="1:4">
      <c r="A73" s="1230" t="s">
        <v>1024</v>
      </c>
      <c r="B73" s="1230"/>
      <c r="C73" s="1231" t="s">
        <v>1025</v>
      </c>
      <c r="D73" s="1231" t="s">
        <v>1026</v>
      </c>
    </row>
    <row r="74" spans="1:4">
      <c r="B74" t="s">
        <v>803</v>
      </c>
      <c r="C74" s="1227" t="s">
        <v>1027</v>
      </c>
      <c r="D74" s="1227" t="s">
        <v>1028</v>
      </c>
    </row>
    <row r="75" spans="1:4">
      <c r="B75" t="s">
        <v>1463</v>
      </c>
      <c r="C75" s="1227" t="s">
        <v>1029</v>
      </c>
      <c r="D75" s="1227" t="s">
        <v>1030</v>
      </c>
    </row>
    <row r="76" spans="1:4">
      <c r="B76" t="s">
        <v>1464</v>
      </c>
      <c r="C76" s="1227" t="s">
        <v>1002</v>
      </c>
      <c r="D76" s="1227" t="s">
        <v>810</v>
      </c>
    </row>
    <row r="77" spans="1:4">
      <c r="A77" s="1228" t="s">
        <v>1031</v>
      </c>
      <c r="B77" s="1228"/>
      <c r="C77" s="1229" t="s">
        <v>1032</v>
      </c>
      <c r="D77" s="1229" t="s">
        <v>1033</v>
      </c>
    </row>
    <row r="78" spans="1:4">
      <c r="B78" t="s">
        <v>803</v>
      </c>
      <c r="C78" s="1227" t="s">
        <v>1034</v>
      </c>
      <c r="D78" s="1227" t="s">
        <v>1035</v>
      </c>
    </row>
    <row r="79" spans="1:4">
      <c r="B79" t="s">
        <v>1463</v>
      </c>
      <c r="C79" s="1227" t="s">
        <v>1036</v>
      </c>
      <c r="D79" s="1227" t="s">
        <v>1037</v>
      </c>
    </row>
    <row r="80" spans="1:4">
      <c r="B80" t="s">
        <v>1464</v>
      </c>
      <c r="C80" s="1227" t="s">
        <v>1002</v>
      </c>
      <c r="D80" s="1227" t="s">
        <v>810</v>
      </c>
    </row>
    <row r="81" spans="1:4">
      <c r="A81" s="1228" t="s">
        <v>1038</v>
      </c>
      <c r="B81" s="1228"/>
      <c r="C81" s="1229" t="s">
        <v>1039</v>
      </c>
      <c r="D81" s="1229" t="s">
        <v>1040</v>
      </c>
    </row>
    <row r="82" spans="1:4">
      <c r="B82" t="s">
        <v>803</v>
      </c>
      <c r="C82" s="1227" t="s">
        <v>1111</v>
      </c>
      <c r="D82" s="1227" t="s">
        <v>1112</v>
      </c>
    </row>
    <row r="83" spans="1:4">
      <c r="B83" t="s">
        <v>1463</v>
      </c>
      <c r="C83" s="1227" t="s">
        <v>1113</v>
      </c>
      <c r="D83" s="1227" t="s">
        <v>1114</v>
      </c>
    </row>
    <row r="84" spans="1:4">
      <c r="B84" t="s">
        <v>1464</v>
      </c>
      <c r="C84" s="1227" t="s">
        <v>1002</v>
      </c>
      <c r="D84" s="1227" t="s">
        <v>1115</v>
      </c>
    </row>
    <row r="85" spans="1:4">
      <c r="A85" s="1228" t="s">
        <v>1116</v>
      </c>
      <c r="B85" s="1228"/>
      <c r="C85" s="1229" t="s">
        <v>1117</v>
      </c>
      <c r="D85" s="1229" t="s">
        <v>1118</v>
      </c>
    </row>
    <row r="86" spans="1:4">
      <c r="B86" t="s">
        <v>803</v>
      </c>
      <c r="C86" s="1227" t="s">
        <v>1119</v>
      </c>
      <c r="D86" s="1227" t="s">
        <v>1120</v>
      </c>
    </row>
    <row r="87" spans="1:4">
      <c r="B87" t="s">
        <v>1463</v>
      </c>
      <c r="C87" s="1227" t="s">
        <v>1121</v>
      </c>
      <c r="D87" s="1227" t="s">
        <v>1122</v>
      </c>
    </row>
    <row r="88" spans="1:4">
      <c r="B88" t="s">
        <v>1464</v>
      </c>
      <c r="C88" s="1227" t="s">
        <v>1002</v>
      </c>
      <c r="D88" s="1227" t="s">
        <v>810</v>
      </c>
    </row>
    <row r="89" spans="1:4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>
      <c r="B90" t="s">
        <v>803</v>
      </c>
      <c r="C90" s="1227" t="s">
        <v>1125</v>
      </c>
      <c r="D90" s="1227" t="s">
        <v>1126</v>
      </c>
    </row>
    <row r="91" spans="1:4">
      <c r="B91" t="s">
        <v>1485</v>
      </c>
      <c r="C91" s="1227" t="s">
        <v>1127</v>
      </c>
      <c r="D91" s="1227" t="s">
        <v>1128</v>
      </c>
    </row>
    <row r="92" spans="1:4">
      <c r="B92" t="s">
        <v>1464</v>
      </c>
      <c r="C92" s="1227" t="s">
        <v>1002</v>
      </c>
      <c r="D92" s="1227" t="s">
        <v>810</v>
      </c>
    </row>
    <row r="93" spans="1:4">
      <c r="A93" s="1228" t="s">
        <v>1129</v>
      </c>
      <c r="B93" s="1228"/>
      <c r="C93" s="1229" t="s">
        <v>1130</v>
      </c>
      <c r="D93" s="1229" t="s">
        <v>1131</v>
      </c>
    </row>
    <row r="94" spans="1:4">
      <c r="B94" t="s">
        <v>803</v>
      </c>
      <c r="C94" s="1227" t="s">
        <v>1140</v>
      </c>
      <c r="D94" s="1227" t="s">
        <v>1141</v>
      </c>
    </row>
    <row r="95" spans="1:4">
      <c r="B95" t="s">
        <v>1463</v>
      </c>
      <c r="C95" s="1227" t="s">
        <v>1142</v>
      </c>
      <c r="D95" s="1227" t="s">
        <v>1143</v>
      </c>
    </row>
    <row r="96" spans="1:4">
      <c r="B96" t="s">
        <v>1486</v>
      </c>
      <c r="C96" s="1227" t="s">
        <v>1002</v>
      </c>
      <c r="D96" s="1227" t="s">
        <v>1144</v>
      </c>
    </row>
    <row r="97" spans="1:5">
      <c r="A97" s="1228" t="s">
        <v>1145</v>
      </c>
      <c r="B97" s="1228"/>
      <c r="C97" s="1229" t="s">
        <v>1146</v>
      </c>
      <c r="D97" s="1229" t="s">
        <v>1147</v>
      </c>
    </row>
    <row r="98" spans="1:5">
      <c r="A98" t="s">
        <v>1257</v>
      </c>
      <c r="B98" t="s">
        <v>803</v>
      </c>
      <c r="C98" s="1227" t="s">
        <v>1258</v>
      </c>
      <c r="D98" s="1227" t="s">
        <v>1259</v>
      </c>
    </row>
    <row r="99" spans="1:5" ht="13.15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>
      <c r="B100" t="s">
        <v>1464</v>
      </c>
      <c r="C100" s="1227" t="s">
        <v>1002</v>
      </c>
      <c r="D100" s="1227" t="s">
        <v>810</v>
      </c>
    </row>
    <row r="101" spans="1: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>
      <c r="A103" s="1228" t="s">
        <v>1271</v>
      </c>
      <c r="B103" s="1228"/>
      <c r="C103" s="1229" t="s">
        <v>1272</v>
      </c>
      <c r="D103" s="1229" t="s">
        <v>1273</v>
      </c>
    </row>
    <row r="104" spans="1: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>
      <c r="B106" t="s">
        <v>1464</v>
      </c>
      <c r="C106" s="1227" t="s">
        <v>1002</v>
      </c>
      <c r="D106" s="1227" t="s">
        <v>810</v>
      </c>
    </row>
    <row r="107" spans="1: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>
      <c r="A109" s="1228" t="s">
        <v>1282</v>
      </c>
      <c r="B109" s="1228"/>
      <c r="C109" s="1229" t="s">
        <v>1283</v>
      </c>
      <c r="D109" s="1229" t="s">
        <v>1284</v>
      </c>
    </row>
    <row r="110" spans="1: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>
      <c r="B112" t="s">
        <v>1464</v>
      </c>
      <c r="C112" s="1227" t="s">
        <v>1002</v>
      </c>
      <c r="D112" s="1227" t="s">
        <v>1144</v>
      </c>
    </row>
    <row r="113" spans="1:6">
      <c r="A113" t="s">
        <v>1263</v>
      </c>
      <c r="B113" t="s">
        <v>1465</v>
      </c>
      <c r="D113" s="1227" t="s">
        <v>1289</v>
      </c>
    </row>
    <row r="114" spans="1:6">
      <c r="A114" t="s">
        <v>1267</v>
      </c>
      <c r="B114" t="s">
        <v>1466</v>
      </c>
      <c r="D114" s="1227" t="s">
        <v>1290</v>
      </c>
    </row>
    <row r="115" spans="1:6">
      <c r="A115" s="1228" t="s">
        <v>1291</v>
      </c>
      <c r="B115" s="1228"/>
      <c r="C115" s="1228"/>
      <c r="D115" s="1229" t="s">
        <v>1292</v>
      </c>
    </row>
    <row r="116" spans="1:6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>
      <c r="B118" t="s">
        <v>1464</v>
      </c>
      <c r="C118" s="1227" t="s">
        <v>1002</v>
      </c>
      <c r="D118" s="1227" t="s">
        <v>810</v>
      </c>
    </row>
    <row r="119" spans="1:6">
      <c r="A119" t="s">
        <v>1263</v>
      </c>
      <c r="B119" t="s">
        <v>1465</v>
      </c>
      <c r="D119" s="1227" t="s">
        <v>1297</v>
      </c>
    </row>
    <row r="120" spans="1:6">
      <c r="A120" t="s">
        <v>1267</v>
      </c>
      <c r="B120" t="s">
        <v>1466</v>
      </c>
      <c r="D120" s="1227" t="s">
        <v>1298</v>
      </c>
    </row>
    <row r="121" spans="1:6">
      <c r="A121" s="1228" t="s">
        <v>1299</v>
      </c>
      <c r="B121" s="1228"/>
      <c r="C121" s="1228"/>
      <c r="D121" s="1229" t="s">
        <v>1300</v>
      </c>
    </row>
    <row r="122" spans="1:6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>
      <c r="A127" s="1228" t="s">
        <v>1309</v>
      </c>
      <c r="B127" s="1228"/>
      <c r="C127" s="1229" t="s">
        <v>1310</v>
      </c>
      <c r="D127" s="1229" t="s">
        <v>1311</v>
      </c>
    </row>
    <row r="128" spans="1:6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>
      <c r="A133" s="1230" t="s">
        <v>1321</v>
      </c>
      <c r="B133" s="1230"/>
      <c r="C133" s="1231" t="s">
        <v>1322</v>
      </c>
      <c r="D133" s="1231" t="s">
        <v>1323</v>
      </c>
    </row>
    <row r="134" spans="1:6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>
      <c r="A139" s="1228" t="s">
        <v>1332</v>
      </c>
      <c r="B139" s="1228"/>
      <c r="C139" s="1229" t="s">
        <v>1333</v>
      </c>
      <c r="D139" s="1229" t="s">
        <v>1334</v>
      </c>
    </row>
    <row r="140" spans="1:6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>
      <c r="A145" s="1228" t="s">
        <v>1343</v>
      </c>
      <c r="B145" s="1228"/>
      <c r="C145" s="1229" t="s">
        <v>1344</v>
      </c>
      <c r="D145" s="1229" t="s">
        <v>1345</v>
      </c>
    </row>
    <row r="146" spans="1: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>
      <c r="A151" s="1228" t="s">
        <v>1355</v>
      </c>
      <c r="B151" s="1228"/>
      <c r="C151" s="1229" t="s">
        <v>1356</v>
      </c>
      <c r="D151" s="1229" t="s">
        <v>1357</v>
      </c>
    </row>
    <row r="152" spans="1: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>
      <c r="A157" s="1228" t="s">
        <v>1368</v>
      </c>
      <c r="B157" s="1228"/>
      <c r="C157" s="1229" t="s">
        <v>1369</v>
      </c>
      <c r="D157" s="1229" t="s">
        <v>1370</v>
      </c>
    </row>
    <row r="158" spans="1: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>
      <c r="A163" s="1228" t="s">
        <v>1379</v>
      </c>
      <c r="B163" s="1228"/>
      <c r="C163" s="1229" t="s">
        <v>1380</v>
      </c>
      <c r="D163" s="1229" t="s">
        <v>1381</v>
      </c>
    </row>
    <row r="164" spans="1: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>
      <c r="A169" s="1228" t="s">
        <v>1392</v>
      </c>
      <c r="B169" s="1228"/>
      <c r="C169" s="1229" t="s">
        <v>1393</v>
      </c>
      <c r="D169" s="1229" t="s">
        <v>1394</v>
      </c>
    </row>
    <row r="170" spans="1: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>
      <c r="A175" s="1228" t="s">
        <v>1403</v>
      </c>
      <c r="B175" s="1228"/>
      <c r="C175" s="1229" t="s">
        <v>1404</v>
      </c>
      <c r="D175" s="1229" t="s">
        <v>1405</v>
      </c>
    </row>
    <row r="176" spans="1: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>
      <c r="A181" s="1228" t="s">
        <v>1414</v>
      </c>
      <c r="B181" s="1228"/>
      <c r="C181" s="1229" t="s">
        <v>1415</v>
      </c>
      <c r="D181" s="1229" t="s">
        <v>1416</v>
      </c>
    </row>
    <row r="182" spans="1: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>
      <c r="A187" s="1228" t="s">
        <v>1427</v>
      </c>
      <c r="B187" s="1228"/>
      <c r="C187" s="1229" t="s">
        <v>1428</v>
      </c>
      <c r="D187" s="1229" t="s">
        <v>1429</v>
      </c>
    </row>
    <row r="188" spans="1: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>
      <c r="A193" s="1228" t="s">
        <v>1438</v>
      </c>
      <c r="B193" s="1228"/>
      <c r="C193" s="1229" t="s">
        <v>1439</v>
      </c>
      <c r="D193" s="1229" t="s">
        <v>1440</v>
      </c>
    </row>
    <row r="194" spans="1: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>
      <c r="A199" s="1228" t="s">
        <v>1467</v>
      </c>
      <c r="B199" s="1228"/>
      <c r="C199" s="1229" t="s">
        <v>1456</v>
      </c>
      <c r="D199" s="1229" t="s">
        <v>1457</v>
      </c>
    </row>
    <row r="200" spans="1: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topLeftCell="A4" zoomScale="77" zoomScaleNormal="77" workbookViewId="0">
      <pane xSplit="1" ySplit="1" topLeftCell="E5" activePane="bottomRight" state="frozen"/>
      <selection activeCell="A4" sqref="A4"/>
      <selection pane="topRight" activeCell="B4" sqref="B4"/>
      <selection pane="bottomLeft" activeCell="A5" sqref="A5"/>
      <selection pane="bottomRight" activeCell="F20" sqref="F20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7.265625" style="972" bestFit="1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56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6" customFormat="1" ht="13.9" thickBot="1">
      <c r="A4" s="2027" t="s">
        <v>659</v>
      </c>
      <c r="B4" s="2039">
        <v>2021</v>
      </c>
      <c r="C4" s="2011">
        <v>2022</v>
      </c>
      <c r="D4" s="2012">
        <v>2023</v>
      </c>
      <c r="E4" s="2010">
        <v>2024</v>
      </c>
      <c r="F4" s="2010">
        <v>2025</v>
      </c>
      <c r="G4" s="2010">
        <v>2026</v>
      </c>
      <c r="H4" s="2010">
        <v>2027</v>
      </c>
      <c r="I4" s="2010">
        <v>2028</v>
      </c>
      <c r="J4" s="2010">
        <v>2029</v>
      </c>
      <c r="K4" s="2010">
        <v>2030</v>
      </c>
      <c r="L4" s="2010">
        <v>2031</v>
      </c>
      <c r="M4" s="2010">
        <v>2032</v>
      </c>
      <c r="N4" s="2010">
        <v>2033</v>
      </c>
      <c r="O4" s="2010">
        <v>2034</v>
      </c>
      <c r="P4" s="2010">
        <v>2035</v>
      </c>
      <c r="Q4" s="2013">
        <v>2036</v>
      </c>
      <c r="R4" s="2010">
        <v>2037</v>
      </c>
      <c r="S4" s="2010">
        <v>2038</v>
      </c>
      <c r="T4" s="2014">
        <v>2040</v>
      </c>
      <c r="U4" s="2015">
        <v>2041</v>
      </c>
      <c r="V4" s="834"/>
    </row>
    <row r="5" spans="1:22" s="144" customFormat="1" ht="13.15">
      <c r="A5" s="831" t="s">
        <v>2564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2565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2566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2001" t="s">
        <v>2567</v>
      </c>
      <c r="B8" s="1997">
        <f>+'čerpání-úvěr a úroky'!K75</f>
        <v>185362</v>
      </c>
      <c r="C8" s="1999">
        <f>+'čerpání-úvěr a úroky'!K147</f>
        <v>844603</v>
      </c>
      <c r="D8" s="1998">
        <f>+'čerpání-úvěr a úroky'!K223</f>
        <v>1015095</v>
      </c>
      <c r="E8" s="1998">
        <f>+'čerpání-úvěr a úroky'!L284</f>
        <v>0</v>
      </c>
      <c r="F8" s="1998">
        <f>+E26*0.054</f>
        <v>748461.43799999997</v>
      </c>
      <c r="G8" s="1998">
        <f t="shared" ref="G8:U8" si="1">+F26*0.054</f>
        <v>711652.446</v>
      </c>
      <c r="H8" s="1998">
        <f t="shared" si="1"/>
        <v>674843.45400000003</v>
      </c>
      <c r="I8" s="1998">
        <f t="shared" si="1"/>
        <v>638034.46199999994</v>
      </c>
      <c r="J8" s="1998">
        <f t="shared" si="1"/>
        <v>601225.47</v>
      </c>
      <c r="K8" s="1998">
        <f t="shared" si="1"/>
        <v>564416.478</v>
      </c>
      <c r="L8" s="1998">
        <f t="shared" si="1"/>
        <v>527607.48600000003</v>
      </c>
      <c r="M8" s="1998">
        <f t="shared" si="1"/>
        <v>490798.49400000001</v>
      </c>
      <c r="N8" s="1998">
        <f t="shared" si="1"/>
        <v>453989.50199999998</v>
      </c>
      <c r="O8" s="1998">
        <f t="shared" si="1"/>
        <v>417180.51</v>
      </c>
      <c r="P8" s="1998">
        <f t="shared" si="1"/>
        <v>380371.51799999998</v>
      </c>
      <c r="Q8" s="1999">
        <f t="shared" si="1"/>
        <v>343562.52600000001</v>
      </c>
      <c r="R8" s="1998">
        <f t="shared" si="1"/>
        <v>306753.53399999999</v>
      </c>
      <c r="S8" s="1998">
        <f t="shared" si="1"/>
        <v>269944.54200000002</v>
      </c>
      <c r="T8" s="2000">
        <f t="shared" si="1"/>
        <v>269944.54200000002</v>
      </c>
      <c r="U8" s="2001">
        <f t="shared" si="1"/>
        <v>269944.54200000002</v>
      </c>
      <c r="V8" s="275"/>
    </row>
    <row r="9" spans="1:22" s="144" customFormat="1" ht="13.15">
      <c r="A9" s="2001" t="s">
        <v>2568</v>
      </c>
      <c r="B9" s="1997">
        <f>+'čerpání-úvěr a úroky'!K76</f>
        <v>31893</v>
      </c>
      <c r="C9" s="1999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45" t="s">
        <v>2562</v>
      </c>
      <c r="B10" s="2002"/>
      <c r="C10" s="2004"/>
      <c r="D10" s="2003">
        <f>+'čerpání-úvěr a úroky'!K222</f>
        <v>389641</v>
      </c>
      <c r="E10" s="2003">
        <f>+'čerpání-úvěr a úroky'!L283</f>
        <v>0</v>
      </c>
      <c r="F10" s="2003">
        <f>+F28*0.0489</f>
        <v>501418.54619999998</v>
      </c>
      <c r="G10" s="2003">
        <f t="shared" ref="G10:U10" si="2">+G28*0.0489</f>
        <v>467614.70970000001</v>
      </c>
      <c r="H10" s="2003">
        <f t="shared" si="2"/>
        <v>435385.30650000001</v>
      </c>
      <c r="I10" s="2003">
        <f t="shared" si="2"/>
        <v>403155.90330000001</v>
      </c>
      <c r="J10" s="2003">
        <f t="shared" si="2"/>
        <v>370926.5001</v>
      </c>
      <c r="K10" s="2003">
        <f t="shared" si="2"/>
        <v>338697.0969</v>
      </c>
      <c r="L10" s="2003">
        <f t="shared" si="2"/>
        <v>306467.6937</v>
      </c>
      <c r="M10" s="2003">
        <f t="shared" si="2"/>
        <v>274238.2905</v>
      </c>
      <c r="N10" s="2003">
        <f t="shared" si="2"/>
        <v>242008.8873</v>
      </c>
      <c r="O10" s="2003">
        <f t="shared" si="2"/>
        <v>209779.4841</v>
      </c>
      <c r="P10" s="2003">
        <f t="shared" si="2"/>
        <v>177550.0809</v>
      </c>
      <c r="Q10" s="2003">
        <f t="shared" si="2"/>
        <v>145320.6777</v>
      </c>
      <c r="R10" s="2003">
        <f t="shared" si="2"/>
        <v>113091.2745</v>
      </c>
      <c r="S10" s="2003">
        <f t="shared" si="2"/>
        <v>80861.871299999999</v>
      </c>
      <c r="T10" s="2003">
        <f t="shared" si="2"/>
        <v>48632.468099999998</v>
      </c>
      <c r="U10" s="2040">
        <f t="shared" si="2"/>
        <v>0</v>
      </c>
      <c r="V10" s="275"/>
    </row>
    <row r="11" spans="1:22" s="144" customFormat="1" ht="12" customHeight="1">
      <c r="A11" s="2009" t="s">
        <v>2569</v>
      </c>
      <c r="B11" s="2041"/>
      <c r="C11" s="2005"/>
      <c r="D11" s="160"/>
      <c r="E11" s="2006"/>
      <c r="F11" s="3067">
        <v>147902.18</v>
      </c>
      <c r="G11" s="3067">
        <f>+F11</f>
        <v>147902.18</v>
      </c>
      <c r="H11" s="3067">
        <f>+G11</f>
        <v>147902.18</v>
      </c>
      <c r="I11" s="3067">
        <f>+(90000000-I27)*0.0319/20</f>
        <v>143550</v>
      </c>
      <c r="J11" s="3067">
        <f t="shared" ref="J11:O11" si="3">+(90000000-J27)*0.0319/20</f>
        <v>143550</v>
      </c>
      <c r="K11" s="3067">
        <f t="shared" si="3"/>
        <v>143550</v>
      </c>
      <c r="L11" s="3067">
        <f t="shared" si="3"/>
        <v>143550</v>
      </c>
      <c r="M11" s="3067">
        <f t="shared" si="3"/>
        <v>143550</v>
      </c>
      <c r="N11" s="3067">
        <f t="shared" si="3"/>
        <v>143550</v>
      </c>
      <c r="O11" s="3067">
        <f t="shared" si="3"/>
        <v>143550</v>
      </c>
      <c r="P11" s="2006"/>
      <c r="Q11" s="2007"/>
      <c r="R11" s="2006"/>
      <c r="S11" s="2006"/>
      <c r="T11" s="2008"/>
      <c r="U11" s="2009"/>
      <c r="V11" s="275"/>
    </row>
    <row r="12" spans="1:22" s="1976" customFormat="1" ht="13.9" thickBot="1">
      <c r="A12" s="2046" t="s">
        <v>2438</v>
      </c>
      <c r="B12" s="1974">
        <f t="shared" ref="B12:U12" si="4">SUM(B5:B11)</f>
        <v>2068913.93</v>
      </c>
      <c r="C12" s="1975">
        <f t="shared" si="4"/>
        <v>3438367</v>
      </c>
      <c r="D12" s="1975">
        <f t="shared" si="4"/>
        <v>3078528</v>
      </c>
      <c r="E12" s="1975">
        <f t="shared" si="4"/>
        <v>1754818</v>
      </c>
      <c r="F12" s="1975">
        <f>SUM(F5:F11)</f>
        <v>2329692.8292999999</v>
      </c>
      <c r="G12" s="1975">
        <f t="shared" si="4"/>
        <v>2111399.6339000002</v>
      </c>
      <c r="H12" s="1975">
        <f t="shared" si="4"/>
        <v>1894680.8718000005</v>
      </c>
      <c r="I12" s="1975">
        <f t="shared" si="4"/>
        <v>1673609.9297000007</v>
      </c>
      <c r="J12" s="1975">
        <f t="shared" si="4"/>
        <v>1507155.5196000009</v>
      </c>
      <c r="K12" s="1975">
        <f t="shared" si="4"/>
        <v>1373379.1989</v>
      </c>
      <c r="L12" s="1975">
        <f t="shared" si="4"/>
        <v>1304340.8037</v>
      </c>
      <c r="M12" s="1975">
        <f t="shared" si="4"/>
        <v>1235302.4084999999</v>
      </c>
      <c r="N12" s="1975">
        <f t="shared" si="4"/>
        <v>1166264.0133</v>
      </c>
      <c r="O12" s="1975">
        <f t="shared" si="4"/>
        <v>1097225.6181000001</v>
      </c>
      <c r="P12" s="1975">
        <f t="shared" si="4"/>
        <v>884637.22289999994</v>
      </c>
      <c r="Q12" s="1975">
        <f t="shared" si="4"/>
        <v>815598.82770000002</v>
      </c>
      <c r="R12" s="1975">
        <f t="shared" si="4"/>
        <v>746560.43250000011</v>
      </c>
      <c r="S12" s="1975">
        <f t="shared" si="4"/>
        <v>677522.03729999997</v>
      </c>
      <c r="T12" s="1975">
        <f t="shared" si="4"/>
        <v>645292.63409999991</v>
      </c>
      <c r="U12" s="2042">
        <f t="shared" si="4"/>
        <v>596660.16599999997</v>
      </c>
      <c r="V12" s="275"/>
    </row>
    <row r="13" spans="1:22" s="1984" customFormat="1" ht="13.15">
      <c r="A13" s="1536" t="s">
        <v>2573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15">
      <c r="A14" s="1536" t="s">
        <v>2574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5">+D14</f>
        <v>5118492</v>
      </c>
      <c r="F14" s="365">
        <f t="shared" si="5"/>
        <v>5118492</v>
      </c>
      <c r="G14" s="365">
        <f t="shared" si="5"/>
        <v>5118492</v>
      </c>
      <c r="H14" s="365">
        <f t="shared" si="5"/>
        <v>5118492</v>
      </c>
      <c r="I14" s="365">
        <f t="shared" si="5"/>
        <v>5118492</v>
      </c>
      <c r="J14" s="365">
        <f t="shared" si="5"/>
        <v>5118492</v>
      </c>
      <c r="K14" s="365">
        <f t="shared" ref="K14:Q14" si="6">+J14</f>
        <v>5118492</v>
      </c>
      <c r="L14" s="365">
        <f t="shared" si="6"/>
        <v>5118492</v>
      </c>
      <c r="M14" s="365">
        <f t="shared" si="6"/>
        <v>5118492</v>
      </c>
      <c r="N14" s="365">
        <f t="shared" si="6"/>
        <v>5118492</v>
      </c>
      <c r="O14" s="365">
        <f t="shared" si="6"/>
        <v>5118492</v>
      </c>
      <c r="P14" s="365">
        <f t="shared" si="6"/>
        <v>5118492</v>
      </c>
      <c r="Q14" s="365">
        <f t="shared" si="6"/>
        <v>5118492</v>
      </c>
      <c r="R14" s="365"/>
      <c r="S14" s="365"/>
      <c r="T14" s="382"/>
      <c r="U14" s="1536"/>
      <c r="V14" s="864"/>
    </row>
    <row r="15" spans="1:22" s="1984" customFormat="1" ht="12" customHeight="1">
      <c r="A15" s="1986" t="s">
        <v>2575</v>
      </c>
      <c r="B15" s="2024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>
      <c r="A16" s="1983" t="s">
        <v>2576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>+E16</f>
        <v>681648</v>
      </c>
      <c r="G16" s="1980">
        <f t="shared" ref="G16:K16" si="7">+F16</f>
        <v>681648</v>
      </c>
      <c r="H16" s="1980">
        <f t="shared" si="7"/>
        <v>681648</v>
      </c>
      <c r="I16" s="1980">
        <f t="shared" si="7"/>
        <v>681648</v>
      </c>
      <c r="J16" s="1980">
        <f t="shared" si="7"/>
        <v>681648</v>
      </c>
      <c r="K16" s="1980">
        <f t="shared" si="7"/>
        <v>681648</v>
      </c>
      <c r="L16" s="1980">
        <f t="shared" ref="L16:R16" si="8">+K16</f>
        <v>681648</v>
      </c>
      <c r="M16" s="1980">
        <f t="shared" si="8"/>
        <v>681648</v>
      </c>
      <c r="N16" s="1980">
        <f t="shared" si="8"/>
        <v>681648</v>
      </c>
      <c r="O16" s="1980">
        <f>+N16</f>
        <v>681648</v>
      </c>
      <c r="P16" s="1980">
        <f t="shared" si="8"/>
        <v>681648</v>
      </c>
      <c r="Q16" s="1981">
        <f t="shared" si="8"/>
        <v>681648</v>
      </c>
      <c r="R16" s="1980">
        <f t="shared" si="8"/>
        <v>681648</v>
      </c>
      <c r="S16" s="1980"/>
      <c r="T16" s="1982"/>
      <c r="U16" s="1983"/>
      <c r="V16" s="864"/>
    </row>
    <row r="17" spans="1:22" s="1984" customFormat="1" ht="12" customHeight="1">
      <c r="A17" s="1983" t="s">
        <v>2577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>
      <c r="A18" s="1991" t="s">
        <v>2578</v>
      </c>
      <c r="B18" s="1987"/>
      <c r="C18" s="1989"/>
      <c r="D18" s="1988">
        <v>52614429</v>
      </c>
      <c r="E18" s="1988">
        <v>38693807</v>
      </c>
      <c r="F18" s="1988">
        <f>416665+54924*5</f>
        <v>691285</v>
      </c>
      <c r="G18" s="1988">
        <v>659088</v>
      </c>
      <c r="H18" s="1988">
        <v>659088</v>
      </c>
      <c r="I18" s="1988">
        <v>659088</v>
      </c>
      <c r="J18" s="1988">
        <v>659088</v>
      </c>
      <c r="K18" s="1988">
        <v>659088</v>
      </c>
      <c r="L18" s="1988">
        <v>659088</v>
      </c>
      <c r="M18" s="1988">
        <v>659088</v>
      </c>
      <c r="N18" s="1988">
        <v>659088</v>
      </c>
      <c r="O18" s="1988">
        <v>659088</v>
      </c>
      <c r="P18" s="1988">
        <v>659088</v>
      </c>
      <c r="Q18" s="1989">
        <v>659088</v>
      </c>
      <c r="R18" s="1988">
        <v>659088</v>
      </c>
      <c r="S18" s="1988">
        <v>659088</v>
      </c>
      <c r="T18" s="1990">
        <f t="shared" ref="T18:U18" si="9">+T28*0.038</f>
        <v>37792.101999999999</v>
      </c>
      <c r="U18" s="1991">
        <f t="shared" si="9"/>
        <v>0</v>
      </c>
      <c r="V18" s="864"/>
    </row>
    <row r="19" spans="1:22" s="1984" customFormat="1" ht="12" customHeight="1">
      <c r="A19" s="1996" t="s">
        <v>2579</v>
      </c>
      <c r="B19" s="2043"/>
      <c r="C19" s="1992"/>
      <c r="D19" s="177"/>
      <c r="E19" s="1993"/>
      <c r="F19" s="1993">
        <v>0</v>
      </c>
      <c r="G19" s="1993"/>
      <c r="H19" s="1993"/>
      <c r="I19" s="1993"/>
      <c r="J19" s="1993"/>
      <c r="K19" s="1993"/>
      <c r="L19" s="1993"/>
      <c r="M19" s="1993"/>
      <c r="N19" s="1993"/>
      <c r="O19" s="1993"/>
      <c r="P19" s="1993"/>
      <c r="Q19" s="1994"/>
      <c r="R19" s="1993"/>
      <c r="S19" s="1993"/>
      <c r="T19" s="1995"/>
      <c r="U19" s="1996"/>
      <c r="V19" s="864"/>
    </row>
    <row r="20" spans="1:22" s="1976" customFormat="1" ht="13.9" thickBot="1">
      <c r="A20" s="2046" t="s">
        <v>2439</v>
      </c>
      <c r="B20" s="1974">
        <f t="shared" ref="B20:U20" si="10">SUM(B13:B19)</f>
        <v>18492384</v>
      </c>
      <c r="C20" s="1975">
        <f t="shared" si="10"/>
        <v>19178424</v>
      </c>
      <c r="D20" s="1975">
        <f t="shared" si="10"/>
        <v>70798337</v>
      </c>
      <c r="E20" s="1975">
        <f t="shared" si="10"/>
        <v>48576278</v>
      </c>
      <c r="F20" s="1975">
        <f t="shared" si="10"/>
        <v>8755585</v>
      </c>
      <c r="G20" s="1975">
        <f t="shared" si="10"/>
        <v>8723388</v>
      </c>
      <c r="H20" s="1975">
        <f t="shared" si="10"/>
        <v>8723388</v>
      </c>
      <c r="I20" s="1975">
        <f t="shared" si="10"/>
        <v>6459228</v>
      </c>
      <c r="J20" s="1975">
        <f t="shared" si="10"/>
        <v>6459228</v>
      </c>
      <c r="K20" s="1975">
        <f t="shared" si="10"/>
        <v>6459228</v>
      </c>
      <c r="L20" s="1975">
        <f t="shared" si="10"/>
        <v>6459228</v>
      </c>
      <c r="M20" s="1975">
        <f t="shared" si="10"/>
        <v>6459228</v>
      </c>
      <c r="N20" s="1975">
        <f t="shared" si="10"/>
        <v>6459228</v>
      </c>
      <c r="O20" s="1975">
        <f t="shared" si="10"/>
        <v>6459228</v>
      </c>
      <c r="P20" s="1975">
        <f t="shared" si="10"/>
        <v>6459228</v>
      </c>
      <c r="Q20" s="1975">
        <f t="shared" si="10"/>
        <v>6459228</v>
      </c>
      <c r="R20" s="1975">
        <f t="shared" si="10"/>
        <v>1340736</v>
      </c>
      <c r="S20" s="1975">
        <f t="shared" si="10"/>
        <v>659088</v>
      </c>
      <c r="T20" s="1975">
        <f t="shared" si="10"/>
        <v>37792.101999999999</v>
      </c>
      <c r="U20" s="2042">
        <f t="shared" si="10"/>
        <v>0</v>
      </c>
      <c r="V20" s="275"/>
    </row>
    <row r="21" spans="1:22" s="1976" customFormat="1" ht="13.9" thickBot="1">
      <c r="A21" s="2047" t="s">
        <v>2580</v>
      </c>
      <c r="B21" s="1977">
        <f t="shared" ref="B21:U21" si="11">+B20+B12</f>
        <v>20561297.93</v>
      </c>
      <c r="C21" s="1978">
        <f t="shared" si="11"/>
        <v>22616791</v>
      </c>
      <c r="D21" s="1978">
        <f t="shared" si="11"/>
        <v>73876865</v>
      </c>
      <c r="E21" s="1978">
        <f t="shared" si="11"/>
        <v>50331096</v>
      </c>
      <c r="F21" s="1978">
        <f t="shared" si="11"/>
        <v>11085277.829299999</v>
      </c>
      <c r="G21" s="1978">
        <f>+G20+G12</f>
        <v>10834787.6339</v>
      </c>
      <c r="H21" s="1978">
        <f t="shared" si="11"/>
        <v>10618068.8718</v>
      </c>
      <c r="I21" s="1978">
        <f t="shared" si="11"/>
        <v>8132837.9297000002</v>
      </c>
      <c r="J21" s="1978">
        <f t="shared" si="11"/>
        <v>7966383.5196000012</v>
      </c>
      <c r="K21" s="1978">
        <f t="shared" si="11"/>
        <v>7832607.1989000002</v>
      </c>
      <c r="L21" s="1978">
        <f t="shared" si="11"/>
        <v>7763568.8037</v>
      </c>
      <c r="M21" s="1978">
        <f t="shared" si="11"/>
        <v>7694530.4084999999</v>
      </c>
      <c r="N21" s="1978">
        <f t="shared" si="11"/>
        <v>7625492.0132999998</v>
      </c>
      <c r="O21" s="1978">
        <f t="shared" si="11"/>
        <v>7556453.6181000005</v>
      </c>
      <c r="P21" s="1978">
        <f t="shared" si="11"/>
        <v>7343865.2228999995</v>
      </c>
      <c r="Q21" s="1978">
        <f t="shared" si="11"/>
        <v>7274826.8277000003</v>
      </c>
      <c r="R21" s="1978">
        <f t="shared" si="11"/>
        <v>2087296.4325000001</v>
      </c>
      <c r="S21" s="1978">
        <f t="shared" si="11"/>
        <v>1336610.0373</v>
      </c>
      <c r="T21" s="1978">
        <f t="shared" si="11"/>
        <v>683084.73609999986</v>
      </c>
      <c r="U21" s="2044">
        <f t="shared" si="11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48" t="s">
        <v>2557</v>
      </c>
      <c r="B23" s="2022">
        <f>+'čerpání-úvěr a úroky'!F78</f>
        <v>21818173</v>
      </c>
      <c r="C23" s="2023">
        <f t="shared" ref="C23:D25" si="12">+B23-C13</f>
        <v>10909081</v>
      </c>
      <c r="D23" s="2023">
        <f t="shared" si="12"/>
        <v>909080</v>
      </c>
      <c r="E23" s="2023"/>
      <c r="F23" s="2023"/>
      <c r="G23" s="2023"/>
      <c r="H23" s="2023"/>
      <c r="I23" s="2023"/>
      <c r="J23" s="2023"/>
      <c r="K23" s="2023"/>
      <c r="L23" s="2023"/>
      <c r="M23" s="2023"/>
      <c r="N23" s="2023"/>
      <c r="O23" s="2023"/>
      <c r="P23" s="2023"/>
      <c r="Q23" s="2023"/>
      <c r="R23" s="2023"/>
      <c r="S23" s="2023"/>
      <c r="T23" s="2023"/>
      <c r="U23" s="2033"/>
      <c r="V23" s="2017"/>
    </row>
    <row r="24" spans="1:22" s="570" customFormat="1" ht="13.15">
      <c r="A24" s="2049" t="s">
        <v>2558</v>
      </c>
      <c r="B24" s="841">
        <f>+'čerpání-úvěr a úroky'!F79</f>
        <v>77630311</v>
      </c>
      <c r="C24" s="843">
        <f t="shared" si="12"/>
        <v>72511819</v>
      </c>
      <c r="D24" s="843">
        <f t="shared" si="12"/>
        <v>67393327</v>
      </c>
      <c r="E24" s="843">
        <f t="shared" ref="E24:U24" si="13">+D24-E14</f>
        <v>62274835</v>
      </c>
      <c r="F24" s="843">
        <f t="shared" si="13"/>
        <v>57156343</v>
      </c>
      <c r="G24" s="843">
        <f t="shared" si="13"/>
        <v>52037851</v>
      </c>
      <c r="H24" s="843">
        <f t="shared" si="13"/>
        <v>46919359</v>
      </c>
      <c r="I24" s="843">
        <f t="shared" si="13"/>
        <v>41800867</v>
      </c>
      <c r="J24" s="843">
        <f t="shared" si="13"/>
        <v>36682375</v>
      </c>
      <c r="K24" s="843">
        <f t="shared" si="13"/>
        <v>31563883</v>
      </c>
      <c r="L24" s="843">
        <f t="shared" si="13"/>
        <v>26445391</v>
      </c>
      <c r="M24" s="843">
        <f t="shared" si="13"/>
        <v>21326899</v>
      </c>
      <c r="N24" s="843">
        <f t="shared" si="13"/>
        <v>16208407</v>
      </c>
      <c r="O24" s="843">
        <f t="shared" si="13"/>
        <v>11089915</v>
      </c>
      <c r="P24" s="843">
        <f t="shared" si="13"/>
        <v>5971423</v>
      </c>
      <c r="Q24" s="843">
        <f t="shared" si="13"/>
        <v>852931</v>
      </c>
      <c r="R24" s="843">
        <f t="shared" si="13"/>
        <v>852931</v>
      </c>
      <c r="S24" s="843">
        <f t="shared" si="13"/>
        <v>852931</v>
      </c>
      <c r="T24" s="843">
        <f t="shared" si="13"/>
        <v>852931</v>
      </c>
      <c r="U24" s="1525">
        <f t="shared" si="13"/>
        <v>852931</v>
      </c>
      <c r="V24" s="2017"/>
    </row>
    <row r="25" spans="1:22" s="570" customFormat="1" ht="13.15">
      <c r="A25" s="2050" t="s">
        <v>2559</v>
      </c>
      <c r="B25" s="841">
        <f>+'čerpání-úvěr a úroky'!F80</f>
        <v>28301880</v>
      </c>
      <c r="C25" s="843">
        <f t="shared" si="12"/>
        <v>26037720</v>
      </c>
      <c r="D25" s="843">
        <f t="shared" si="12"/>
        <v>23773560</v>
      </c>
      <c r="E25" s="843">
        <f t="shared" ref="E25:U25" si="14">+D25-E15</f>
        <v>21509400</v>
      </c>
      <c r="F25" s="843">
        <f t="shared" si="14"/>
        <v>19245240</v>
      </c>
      <c r="G25" s="843">
        <f t="shared" si="14"/>
        <v>16981080</v>
      </c>
      <c r="H25" s="843">
        <f t="shared" si="14"/>
        <v>14716920</v>
      </c>
      <c r="I25" s="843">
        <f t="shared" si="14"/>
        <v>14716920</v>
      </c>
      <c r="J25" s="843">
        <f t="shared" si="14"/>
        <v>14716920</v>
      </c>
      <c r="K25" s="843">
        <f t="shared" si="14"/>
        <v>14716920</v>
      </c>
      <c r="L25" s="843">
        <f t="shared" si="14"/>
        <v>14716920</v>
      </c>
      <c r="M25" s="843">
        <f t="shared" si="14"/>
        <v>14716920</v>
      </c>
      <c r="N25" s="843">
        <f t="shared" si="14"/>
        <v>14716920</v>
      </c>
      <c r="O25" s="843">
        <f t="shared" si="14"/>
        <v>14716920</v>
      </c>
      <c r="P25" s="843">
        <f t="shared" si="14"/>
        <v>14716920</v>
      </c>
      <c r="Q25" s="843">
        <f t="shared" si="14"/>
        <v>14716920</v>
      </c>
      <c r="R25" s="843">
        <f t="shared" si="14"/>
        <v>14716920</v>
      </c>
      <c r="S25" s="843">
        <f t="shared" si="14"/>
        <v>14716920</v>
      </c>
      <c r="T25" s="843">
        <f t="shared" si="14"/>
        <v>14716920</v>
      </c>
      <c r="U25" s="1525">
        <f t="shared" si="14"/>
        <v>14716920</v>
      </c>
      <c r="V25" s="2017"/>
    </row>
    <row r="26" spans="1:22" s="570" customFormat="1" ht="13.15">
      <c r="A26" s="2051" t="s">
        <v>2560</v>
      </c>
      <c r="B26" s="2025">
        <f>+'čerpání-úvěr a úroky'!F81</f>
        <v>13920000</v>
      </c>
      <c r="C26" s="2026">
        <f>+B26-C16</f>
        <v>13200000</v>
      </c>
      <c r="D26" s="2026">
        <f>+'čerpání-úvěr a úroky'!F223</f>
        <v>14542045</v>
      </c>
      <c r="E26" s="2026">
        <f t="shared" ref="E26:U26" si="15">+D26-E16</f>
        <v>13860397</v>
      </c>
      <c r="F26" s="2026">
        <f>+E26-F16</f>
        <v>13178749</v>
      </c>
      <c r="G26" s="2026">
        <f t="shared" si="15"/>
        <v>12497101</v>
      </c>
      <c r="H26" s="2026">
        <f t="shared" si="15"/>
        <v>11815453</v>
      </c>
      <c r="I26" s="2026">
        <f t="shared" si="15"/>
        <v>11133805</v>
      </c>
      <c r="J26" s="2026">
        <f t="shared" si="15"/>
        <v>10452157</v>
      </c>
      <c r="K26" s="2026">
        <f t="shared" si="15"/>
        <v>9770509</v>
      </c>
      <c r="L26" s="2026">
        <f t="shared" si="15"/>
        <v>9088861</v>
      </c>
      <c r="M26" s="2026">
        <f t="shared" si="15"/>
        <v>8407213</v>
      </c>
      <c r="N26" s="2026">
        <f t="shared" si="15"/>
        <v>7725565</v>
      </c>
      <c r="O26" s="2026">
        <f t="shared" si="15"/>
        <v>7043917</v>
      </c>
      <c r="P26" s="2026">
        <f t="shared" si="15"/>
        <v>6362269</v>
      </c>
      <c r="Q26" s="2026">
        <f t="shared" si="15"/>
        <v>5680621</v>
      </c>
      <c r="R26" s="2026">
        <f t="shared" si="15"/>
        <v>4998973</v>
      </c>
      <c r="S26" s="2026">
        <f t="shared" si="15"/>
        <v>4998973</v>
      </c>
      <c r="T26" s="2026">
        <f t="shared" si="15"/>
        <v>4998973</v>
      </c>
      <c r="U26" s="2034">
        <f t="shared" si="15"/>
        <v>4998973</v>
      </c>
      <c r="V26" s="2017"/>
    </row>
    <row r="27" spans="1:22" s="570" customFormat="1" ht="13.15">
      <c r="A27" s="2051" t="s">
        <v>2561</v>
      </c>
      <c r="B27" s="2025">
        <f>+'čerpání-úvěr a úroky'!F82</f>
        <v>2236090</v>
      </c>
      <c r="C27" s="2026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7"/>
    </row>
    <row r="28" spans="1:22" s="570" customFormat="1" ht="12" customHeight="1">
      <c r="A28" s="2052" t="s">
        <v>2563</v>
      </c>
      <c r="B28" s="2035"/>
      <c r="C28" s="2031"/>
      <c r="D28" s="2031">
        <v>52614429</v>
      </c>
      <c r="E28" s="2031">
        <f>+'čerpání-úvěr a úroky'!F283</f>
        <v>13920622</v>
      </c>
      <c r="F28" s="2031">
        <f>+'přepočet úroků'!B37</f>
        <v>10253958</v>
      </c>
      <c r="G28" s="2031">
        <f>+F28-F18</f>
        <v>9562673</v>
      </c>
      <c r="H28" s="2031">
        <f>+G28-G18</f>
        <v>8903585</v>
      </c>
      <c r="I28" s="2031">
        <f t="shared" ref="I28:T28" si="16">+H28-H18</f>
        <v>8244497</v>
      </c>
      <c r="J28" s="2031">
        <f t="shared" si="16"/>
        <v>7585409</v>
      </c>
      <c r="K28" s="2031">
        <f t="shared" si="16"/>
        <v>6926321</v>
      </c>
      <c r="L28" s="2031">
        <f t="shared" si="16"/>
        <v>6267233</v>
      </c>
      <c r="M28" s="2031">
        <f t="shared" si="16"/>
        <v>5608145</v>
      </c>
      <c r="N28" s="2031">
        <f t="shared" si="16"/>
        <v>4949057</v>
      </c>
      <c r="O28" s="2031">
        <f t="shared" si="16"/>
        <v>4289969</v>
      </c>
      <c r="P28" s="2031">
        <f t="shared" si="16"/>
        <v>3630881</v>
      </c>
      <c r="Q28" s="2031">
        <f t="shared" si="16"/>
        <v>2971793</v>
      </c>
      <c r="R28" s="2031">
        <f t="shared" si="16"/>
        <v>2312705</v>
      </c>
      <c r="S28" s="2031">
        <f t="shared" si="16"/>
        <v>1653617</v>
      </c>
      <c r="T28" s="2031">
        <f t="shared" si="16"/>
        <v>994529</v>
      </c>
      <c r="U28" s="2031"/>
      <c r="V28" s="2017"/>
    </row>
    <row r="29" spans="1:22" s="570" customFormat="1" ht="12" customHeight="1">
      <c r="A29" s="2019" t="s">
        <v>2570</v>
      </c>
      <c r="B29" s="2036"/>
      <c r="C29" s="2018"/>
      <c r="D29" s="2018"/>
      <c r="E29" s="2032"/>
      <c r="F29" s="2032">
        <v>14440276.869999999</v>
      </c>
      <c r="G29" s="2032"/>
      <c r="H29" s="2032"/>
      <c r="I29" s="2032"/>
      <c r="J29" s="2032"/>
      <c r="K29" s="2032"/>
      <c r="L29" s="2032"/>
      <c r="M29" s="2032"/>
      <c r="N29" s="2032"/>
      <c r="O29" s="2032"/>
      <c r="P29" s="2032"/>
      <c r="Q29" s="2032"/>
      <c r="R29" s="2032"/>
      <c r="S29" s="2032"/>
      <c r="T29" s="2032"/>
      <c r="U29" s="2037"/>
      <c r="V29" s="2017"/>
    </row>
    <row r="30" spans="1:22" s="1976" customFormat="1" ht="13.9" thickBot="1">
      <c r="A30" s="2053" t="s">
        <v>774</v>
      </c>
      <c r="B30" s="2020">
        <f t="shared" ref="B30:U30" si="17">SUM(B23:B29)</f>
        <v>143906454</v>
      </c>
      <c r="C30" s="2021">
        <f t="shared" si="17"/>
        <v>124728030</v>
      </c>
      <c r="D30" s="2021">
        <f t="shared" si="17"/>
        <v>159232441</v>
      </c>
      <c r="E30" s="2021">
        <f t="shared" si="17"/>
        <v>111565254</v>
      </c>
      <c r="F30" s="2021">
        <f t="shared" si="17"/>
        <v>114274566.87</v>
      </c>
      <c r="G30" s="2021">
        <f t="shared" si="17"/>
        <v>91078705</v>
      </c>
      <c r="H30" s="2021">
        <f t="shared" si="17"/>
        <v>82355317</v>
      </c>
      <c r="I30" s="2021">
        <f t="shared" si="17"/>
        <v>75896089</v>
      </c>
      <c r="J30" s="2021">
        <f t="shared" si="17"/>
        <v>69436861</v>
      </c>
      <c r="K30" s="2021">
        <f t="shared" si="17"/>
        <v>62977633</v>
      </c>
      <c r="L30" s="2021">
        <f t="shared" si="17"/>
        <v>56518405</v>
      </c>
      <c r="M30" s="2021">
        <f t="shared" si="17"/>
        <v>50059177</v>
      </c>
      <c r="N30" s="2021">
        <f t="shared" si="17"/>
        <v>43599949</v>
      </c>
      <c r="O30" s="2021">
        <f t="shared" si="17"/>
        <v>37140721</v>
      </c>
      <c r="P30" s="2021">
        <f t="shared" si="17"/>
        <v>30681493</v>
      </c>
      <c r="Q30" s="2021">
        <f t="shared" si="17"/>
        <v>24222265</v>
      </c>
      <c r="R30" s="2021">
        <f t="shared" si="17"/>
        <v>22881529</v>
      </c>
      <c r="S30" s="2021">
        <f t="shared" si="17"/>
        <v>22222441</v>
      </c>
      <c r="T30" s="2021">
        <f t="shared" si="17"/>
        <v>21563353</v>
      </c>
      <c r="U30" s="2038">
        <f t="shared" si="17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54" t="s">
        <v>669</v>
      </c>
      <c r="B32" s="2030">
        <v>179926851</v>
      </c>
      <c r="C32" s="397">
        <f>+'[8]Souhrn příjmů a výdajů 2022'!$J$213</f>
        <v>212770795.75999999</v>
      </c>
      <c r="D32" s="397">
        <f>+'Souhrn příjmů a výdajů 2025'!D220</f>
        <v>224067554</v>
      </c>
      <c r="E32" s="397">
        <f>+'Souhrn příjmů a výdajů 2025'!J220</f>
        <v>277107386</v>
      </c>
      <c r="F32" s="397">
        <f t="shared" ref="F32:U32" si="18">+E32*1.005</f>
        <v>278492922.92999995</v>
      </c>
      <c r="G32" s="397">
        <f t="shared" si="18"/>
        <v>279885387.5446499</v>
      </c>
      <c r="H32" s="397">
        <f t="shared" si="18"/>
        <v>281284814.48237312</v>
      </c>
      <c r="I32" s="397">
        <f t="shared" si="18"/>
        <v>282691238.55478495</v>
      </c>
      <c r="J32" s="397">
        <f t="shared" si="18"/>
        <v>284104694.74755883</v>
      </c>
      <c r="K32" s="397">
        <f t="shared" si="18"/>
        <v>285525218.22129661</v>
      </c>
      <c r="L32" s="397">
        <f t="shared" si="18"/>
        <v>286952844.31240308</v>
      </c>
      <c r="M32" s="397">
        <f t="shared" si="18"/>
        <v>288387608.53396505</v>
      </c>
      <c r="N32" s="397">
        <f t="shared" si="18"/>
        <v>289829546.57663482</v>
      </c>
      <c r="O32" s="397">
        <f t="shared" si="18"/>
        <v>291278694.30951798</v>
      </c>
      <c r="P32" s="397">
        <f t="shared" si="18"/>
        <v>292735087.78106552</v>
      </c>
      <c r="Q32" s="397">
        <f t="shared" si="18"/>
        <v>294198763.21997082</v>
      </c>
      <c r="R32" s="397">
        <f t="shared" si="18"/>
        <v>295669757.03607064</v>
      </c>
      <c r="S32" s="397">
        <f t="shared" si="18"/>
        <v>297148105.82125098</v>
      </c>
      <c r="T32" s="397">
        <f t="shared" si="18"/>
        <v>298633846.35035717</v>
      </c>
      <c r="U32" s="1969">
        <f t="shared" si="18"/>
        <v>300127015.58210891</v>
      </c>
      <c r="V32" s="864"/>
    </row>
    <row r="33" spans="1:22" s="1973" customFormat="1" ht="13.9" thickBot="1">
      <c r="A33" s="2055" t="s">
        <v>670</v>
      </c>
      <c r="B33" s="1972">
        <f>+B21/B32</f>
        <v>0.11427587275453401</v>
      </c>
      <c r="C33" s="1970">
        <f t="shared" ref="C33:U33" si="19">+C21/C32</f>
        <v>0.10629650050992506</v>
      </c>
      <c r="D33" s="1970">
        <f t="shared" si="19"/>
        <v>0.32970799957944824</v>
      </c>
      <c r="E33" s="1970">
        <f t="shared" si="19"/>
        <v>0.18163029404059264</v>
      </c>
      <c r="F33" s="1970">
        <f t="shared" si="19"/>
        <v>3.9804522544676361E-2</v>
      </c>
      <c r="G33" s="1970">
        <f t="shared" si="19"/>
        <v>3.8711515913532765E-2</v>
      </c>
      <c r="H33" s="1970">
        <f t="shared" si="19"/>
        <v>3.7748461079705344E-2</v>
      </c>
      <c r="I33" s="1970">
        <f t="shared" si="19"/>
        <v>2.8769331413587031E-2</v>
      </c>
      <c r="J33" s="1970">
        <f t="shared" si="19"/>
        <v>2.8040309318642303E-2</v>
      </c>
      <c r="K33" s="1970">
        <f t="shared" si="19"/>
        <v>2.7432278128334465E-2</v>
      </c>
      <c r="L33" s="1970">
        <f t="shared" si="19"/>
        <v>2.7055207702516688E-2</v>
      </c>
      <c r="M33" s="1970">
        <f t="shared" si="19"/>
        <v>2.6681210221255993E-2</v>
      </c>
      <c r="N33" s="1970">
        <f t="shared" si="19"/>
        <v>2.6310264441184974E-2</v>
      </c>
      <c r="O33" s="1970">
        <f t="shared" si="19"/>
        <v>2.5942349254251932E-2</v>
      </c>
      <c r="P33" s="1970">
        <f t="shared" si="19"/>
        <v>2.5087068579877324E-2</v>
      </c>
      <c r="Q33" s="1970">
        <f t="shared" si="19"/>
        <v>2.4727591469378991E-2</v>
      </c>
      <c r="R33" s="1970">
        <f t="shared" si="19"/>
        <v>7.0595533795002156E-3</v>
      </c>
      <c r="S33" s="1970">
        <f t="shared" si="19"/>
        <v>4.4981274021784808E-3</v>
      </c>
      <c r="T33" s="1970">
        <f t="shared" si="19"/>
        <v>2.2873654290967572E-3</v>
      </c>
      <c r="U33" s="1971">
        <f t="shared" si="19"/>
        <v>1.9880255192714076E-3</v>
      </c>
      <c r="V33" s="275"/>
    </row>
    <row r="34" spans="1:22" ht="13.5" hidden="1" thickBot="1">
      <c r="A34" s="1957" t="s">
        <v>671</v>
      </c>
      <c r="B34" s="1958">
        <f t="shared" ref="B34:Q34" si="20">B30/B32</f>
        <v>0.79980532755502953</v>
      </c>
      <c r="C34" s="1959">
        <f t="shared" si="20"/>
        <v>0.58620841057853645</v>
      </c>
      <c r="D34" s="1960">
        <f t="shared" si="20"/>
        <v>0.71064479509603606</v>
      </c>
      <c r="E34" s="1958">
        <f t="shared" si="20"/>
        <v>0.40260656928141209</v>
      </c>
      <c r="F34" s="1958">
        <f t="shared" si="20"/>
        <v>0.41033203166431365</v>
      </c>
      <c r="G34" s="1958">
        <f t="shared" si="20"/>
        <v>0.32541429118185128</v>
      </c>
      <c r="H34" s="1958">
        <f t="shared" si="20"/>
        <v>0.29278266283785059</v>
      </c>
      <c r="I34" s="1958">
        <f t="shared" si="20"/>
        <v>0.26847697646381602</v>
      </c>
      <c r="J34" s="1958">
        <f t="shared" si="20"/>
        <v>0.24440589079915806</v>
      </c>
      <c r="K34" s="1958">
        <f t="shared" si="20"/>
        <v>0.22056767311946898</v>
      </c>
      <c r="L34" s="1958">
        <f t="shared" si="20"/>
        <v>0.19696060213457547</v>
      </c>
      <c r="M34" s="1958">
        <f t="shared" si="20"/>
        <v>0.17358296791765324</v>
      </c>
      <c r="N34" s="1958">
        <f t="shared" si="20"/>
        <v>0.15043307183476406</v>
      </c>
      <c r="O34" s="1958">
        <f t="shared" si="20"/>
        <v>0.12750922647481247</v>
      </c>
      <c r="P34" s="1958">
        <f t="shared" si="20"/>
        <v>0.10480975557992032</v>
      </c>
      <c r="Q34" s="1959">
        <f t="shared" si="20"/>
        <v>8.233299397621581E-2</v>
      </c>
      <c r="R34" s="1961"/>
      <c r="S34" s="1961"/>
      <c r="T34" s="1961"/>
      <c r="U34" s="1961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9" customFormat="1" ht="13.9" thickBot="1">
      <c r="A36" s="2027" t="s">
        <v>2581</v>
      </c>
      <c r="B36" s="2028"/>
      <c r="C36" s="2028"/>
      <c r="D36" s="2028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54" t="s">
        <v>673</v>
      </c>
      <c r="B37" s="2030">
        <v>169590252</v>
      </c>
      <c r="C37" s="397">
        <v>174677959.56</v>
      </c>
      <c r="D37" s="397">
        <v>188513379</v>
      </c>
      <c r="E37" s="397">
        <f t="shared" ref="E37:Q37" si="21">+D37*1.02</f>
        <v>192283646.58000001</v>
      </c>
      <c r="F37" s="397">
        <f t="shared" si="21"/>
        <v>196129319.51160002</v>
      </c>
      <c r="G37" s="397">
        <f t="shared" si="21"/>
        <v>200051905.90183201</v>
      </c>
      <c r="H37" s="397">
        <f t="shared" si="21"/>
        <v>204052944.01986867</v>
      </c>
      <c r="I37" s="397">
        <f t="shared" si="21"/>
        <v>208134002.90026605</v>
      </c>
      <c r="J37" s="397">
        <f t="shared" si="21"/>
        <v>212296682.95827138</v>
      </c>
      <c r="K37" s="397">
        <f t="shared" si="21"/>
        <v>216542616.61743683</v>
      </c>
      <c r="L37" s="397">
        <f t="shared" si="21"/>
        <v>220873468.94978556</v>
      </c>
      <c r="M37" s="397">
        <f t="shared" si="21"/>
        <v>225290938.32878128</v>
      </c>
      <c r="N37" s="397">
        <f t="shared" si="21"/>
        <v>229796757.09535691</v>
      </c>
      <c r="O37" s="397">
        <f t="shared" si="21"/>
        <v>234392692.23726407</v>
      </c>
      <c r="P37" s="397">
        <f t="shared" si="21"/>
        <v>239080546.08200935</v>
      </c>
      <c r="Q37" s="397">
        <f t="shared" si="21"/>
        <v>243862157.00364953</v>
      </c>
      <c r="R37" s="397"/>
      <c r="S37" s="397"/>
      <c r="T37" s="397"/>
      <c r="U37" s="1969"/>
      <c r="V37" s="864"/>
    </row>
    <row r="38" spans="1:22" s="1973" customFormat="1" ht="13.9" thickBot="1">
      <c r="A38" s="2055" t="s">
        <v>671</v>
      </c>
      <c r="B38" s="1972">
        <f>+B30/B37</f>
        <v>0.8485538072082115</v>
      </c>
      <c r="C38" s="1970">
        <f>+C30/C37</f>
        <v>0.71404560892616376</v>
      </c>
      <c r="D38" s="1970">
        <f t="shared" ref="D38:Q38" si="22">+D30/D37</f>
        <v>0.84467448328959183</v>
      </c>
      <c r="E38" s="1970">
        <f t="shared" si="22"/>
        <v>0.58021186920637602</v>
      </c>
      <c r="F38" s="1970">
        <f t="shared" si="22"/>
        <v>0.58264907640818719</v>
      </c>
      <c r="G38" s="1970">
        <f t="shared" si="22"/>
        <v>0.45527536760731219</v>
      </c>
      <c r="H38" s="1970">
        <f t="shared" si="22"/>
        <v>0.40359778877770591</v>
      </c>
      <c r="I38" s="1970">
        <f t="shared" si="22"/>
        <v>0.36465011935780622</v>
      </c>
      <c r="J38" s="1970">
        <f t="shared" si="22"/>
        <v>0.32707463928510072</v>
      </c>
      <c r="K38" s="1970">
        <f t="shared" si="22"/>
        <v>0.29083251132621996</v>
      </c>
      <c r="L38" s="1970">
        <f t="shared" si="22"/>
        <v>0.25588589371432913</v>
      </c>
      <c r="M38" s="1970">
        <f t="shared" si="22"/>
        <v>0.22219791604287911</v>
      </c>
      <c r="N38" s="1970">
        <f t="shared" si="22"/>
        <v>0.18973265572197645</v>
      </c>
      <c r="O38" s="1970">
        <f t="shared" si="22"/>
        <v>0.15845511498457596</v>
      </c>
      <c r="P38" s="1970">
        <f t="shared" si="22"/>
        <v>0.12833119842998703</v>
      </c>
      <c r="Q38" s="1970">
        <f t="shared" si="22"/>
        <v>9.9327691092462131E-2</v>
      </c>
      <c r="R38" s="1970"/>
      <c r="S38" s="1970"/>
      <c r="T38" s="1970"/>
      <c r="U38" s="1971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>
      <c r="A43" s="1962" t="s">
        <v>676</v>
      </c>
      <c r="B43" s="1963" t="e">
        <f t="shared" ref="B43:Q43" si="23">+B44/B45</f>
        <v>#DIV/0!</v>
      </c>
      <c r="C43" s="1963" t="e">
        <f t="shared" si="23"/>
        <v>#REF!</v>
      </c>
      <c r="D43" s="1963" t="e">
        <f t="shared" si="23"/>
        <v>#DIV/0!</v>
      </c>
      <c r="E43" s="1963" t="e">
        <f t="shared" si="23"/>
        <v>#DIV/0!</v>
      </c>
      <c r="F43" s="1963" t="e">
        <f t="shared" si="23"/>
        <v>#DIV/0!</v>
      </c>
      <c r="G43" s="1963" t="e">
        <f t="shared" si="23"/>
        <v>#DIV/0!</v>
      </c>
      <c r="H43" s="1963" t="e">
        <f t="shared" si="23"/>
        <v>#REF!</v>
      </c>
      <c r="I43" s="1963" t="e">
        <f t="shared" si="23"/>
        <v>#DIV/0!</v>
      </c>
      <c r="J43" s="1963" t="e">
        <f t="shared" si="23"/>
        <v>#DIV/0!</v>
      </c>
      <c r="K43" s="1963" t="e">
        <f t="shared" si="23"/>
        <v>#DIV/0!</v>
      </c>
      <c r="L43" s="1963" t="e">
        <f t="shared" si="23"/>
        <v>#DIV/0!</v>
      </c>
      <c r="M43" s="1963" t="e">
        <f t="shared" si="23"/>
        <v>#REF!</v>
      </c>
      <c r="N43" s="1963" t="e">
        <f t="shared" si="23"/>
        <v>#DIV/0!</v>
      </c>
      <c r="O43" s="1963" t="e">
        <f t="shared" si="23"/>
        <v>#DIV/0!</v>
      </c>
      <c r="P43" s="1963" t="e">
        <f t="shared" si="23"/>
        <v>#DIV/0!</v>
      </c>
      <c r="Q43" s="1963" t="e">
        <f t="shared" si="23"/>
        <v>#DIV/0!</v>
      </c>
      <c r="R43" s="1964"/>
      <c r="S43" s="1964"/>
      <c r="T43" s="1964"/>
      <c r="U43" s="1964"/>
      <c r="V43" s="1964"/>
    </row>
    <row r="44" spans="1:22" ht="13.15" hidden="1">
      <c r="A44" s="1965" t="s">
        <v>682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67" t="s">
        <v>677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7" workbookViewId="0">
      <selection activeCell="C28" sqref="C28"/>
    </sheetView>
  </sheetViews>
  <sheetFormatPr defaultColWidth="8.73046875" defaultRowHeight="11.65"/>
  <cols>
    <col min="1" max="1" width="34.265625" style="1705" bestFit="1" customWidth="1"/>
    <col min="2" max="2" width="10" style="1707" customWidth="1"/>
    <col min="3" max="3" width="9.86328125" style="1707" customWidth="1"/>
    <col min="4" max="4" width="5.59765625" style="1715" customWidth="1"/>
    <col min="5" max="5" width="6.73046875" style="1705" customWidth="1"/>
    <col min="6" max="6" width="7" style="1705" customWidth="1"/>
    <col min="7" max="8" width="6.59765625" style="1705" customWidth="1"/>
    <col min="9" max="9" width="6.86328125" style="1705" customWidth="1"/>
    <col min="10" max="10" width="7.265625" style="1705" customWidth="1"/>
    <col min="11" max="11" width="6.86328125" style="1705" bestFit="1" customWidth="1"/>
    <col min="12" max="12" width="6.73046875" style="1705" customWidth="1"/>
    <col min="13" max="13" width="6.86328125" style="1705" customWidth="1"/>
    <col min="14" max="14" width="6.59765625" style="1705" customWidth="1"/>
    <col min="15" max="15" width="6.73046875" style="1705" customWidth="1"/>
    <col min="16" max="16" width="6.265625" style="1705" bestFit="1" customWidth="1"/>
    <col min="17" max="17" width="9" style="1713" customWidth="1"/>
    <col min="18" max="18" width="8.73046875" style="1705"/>
    <col min="19" max="19" width="12.59765625" style="1705" bestFit="1" customWidth="1"/>
    <col min="20" max="21" width="8.73046875" style="1705"/>
    <col min="22" max="22" width="9.59765625" style="1705" customWidth="1"/>
    <col min="23" max="16384" width="8.73046875" style="1705"/>
  </cols>
  <sheetData>
    <row r="1" spans="1:22">
      <c r="Q1" s="1847">
        <v>2023</v>
      </c>
    </row>
    <row r="2" spans="1:22">
      <c r="B2" s="1712" t="s">
        <v>1989</v>
      </c>
      <c r="C2" s="1712" t="s">
        <v>1990</v>
      </c>
      <c r="D2" s="1716" t="s">
        <v>802</v>
      </c>
      <c r="E2" s="1712" t="s">
        <v>610</v>
      </c>
      <c r="F2" s="1712" t="s">
        <v>611</v>
      </c>
      <c r="G2" s="1712" t="s">
        <v>612</v>
      </c>
      <c r="H2" s="1712" t="s">
        <v>613</v>
      </c>
      <c r="I2" s="1712" t="s">
        <v>614</v>
      </c>
      <c r="J2" s="1712" t="s">
        <v>189</v>
      </c>
      <c r="K2" s="1712" t="s">
        <v>190</v>
      </c>
      <c r="L2" s="1712" t="s">
        <v>615</v>
      </c>
      <c r="M2" s="1712" t="s">
        <v>616</v>
      </c>
      <c r="N2" s="1712" t="s">
        <v>617</v>
      </c>
      <c r="O2" s="1712" t="s">
        <v>618</v>
      </c>
      <c r="P2" s="1712" t="s">
        <v>619</v>
      </c>
      <c r="Q2" s="1713" t="s">
        <v>778</v>
      </c>
      <c r="R2" s="1705" t="s">
        <v>1487</v>
      </c>
    </row>
    <row r="3" spans="1:22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>
      <c r="A4" s="1707" t="s">
        <v>1360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>
      <c r="A5" s="1707" t="s">
        <v>1363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>
      <c r="A6" s="1707" t="s">
        <v>1256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>
      <c r="A7" s="1707" t="s">
        <v>1266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>
      <c r="A8" s="1707" t="s">
        <v>1270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>
      <c r="A9" s="1711" t="s">
        <v>2295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>
      <c r="A10" s="1707" t="s">
        <v>2296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>
      <c r="C11" s="1708">
        <f>+C4*12+C5*12+C6*4+C7*7+C8*7+C9*5</f>
        <v>19092999</v>
      </c>
      <c r="Q11" s="1714">
        <f>SUM(Q4:Q10)</f>
        <v>3267225.5877999994</v>
      </c>
    </row>
    <row r="12" spans="1:22" s="1709" customFormat="1">
      <c r="A12" s="1710" t="s">
        <v>1991</v>
      </c>
      <c r="B12" s="1710">
        <f>+C11+Q11</f>
        <v>22360224.5878</v>
      </c>
      <c r="D12" s="1715"/>
      <c r="Q12" s="1718"/>
    </row>
    <row r="13" spans="1:22">
      <c r="Q13" s="1847">
        <v>2024</v>
      </c>
    </row>
    <row r="14" spans="1:22">
      <c r="A14" s="1707" t="s">
        <v>1360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>
      <c r="A15" s="1707" t="s">
        <v>1363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>
      <c r="A16" s="1707" t="s">
        <v>1256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>
      <c r="A17" s="1707" t="s">
        <v>2295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>
      <c r="A18" s="1707" t="s">
        <v>2297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>
      <c r="A20" s="1710" t="s">
        <v>1991</v>
      </c>
      <c r="B20" s="1710">
        <f>+C19+Q19</f>
        <v>11281355.524739999</v>
      </c>
      <c r="D20" s="1715"/>
      <c r="Q20" s="1718"/>
    </row>
    <row r="22" spans="1:22" ht="13.15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3.15">
      <c r="A23" s="2" t="s">
        <v>1360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3.15">
      <c r="A24" s="2" t="s">
        <v>1363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3.15">
      <c r="A25" s="2" t="s">
        <v>1256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3.15">
      <c r="A26" s="2" t="s">
        <v>2295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3.15">
      <c r="A27" s="2" t="s">
        <v>2296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3.15">
      <c r="A28" s="2" t="s">
        <v>2616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3.15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3.15">
      <c r="A30" s="1953" t="s">
        <v>1991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3.15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3.15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3.15">
      <c r="A33" s="2" t="s">
        <v>1360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3.15">
      <c r="A34" s="2" t="s">
        <v>1363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3.15">
      <c r="A35" s="2" t="s">
        <v>1256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3.15">
      <c r="A36" s="2" t="s">
        <v>2295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3.15">
      <c r="A37" s="2" t="s">
        <v>2296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3.15">
      <c r="A38" s="2" t="s">
        <v>2616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3.15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>
      <c r="A40" s="1710" t="s">
        <v>1991</v>
      </c>
      <c r="B40" s="1710">
        <f>+C39+Q39</f>
        <v>15632213.094660001</v>
      </c>
      <c r="D40" s="1715"/>
      <c r="Q40" s="1718"/>
    </row>
    <row r="69" ht="11.25" customHeight="1"/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721</v>
      </c>
    </row>
    <row r="2" spans="2:25">
      <c r="B2" s="438" t="s">
        <v>509</v>
      </c>
    </row>
    <row r="3" spans="2:25">
      <c r="B3" s="438" t="s">
        <v>784</v>
      </c>
    </row>
    <row r="4" spans="2:25" ht="13.5">
      <c r="B4" s="439" t="s">
        <v>364</v>
      </c>
    </row>
    <row r="5" spans="2:25" ht="13.5">
      <c r="K5" s="3233" t="s">
        <v>365</v>
      </c>
      <c r="L5" s="3233"/>
      <c r="M5" s="3233"/>
      <c r="N5" s="3233"/>
      <c r="O5" s="3233"/>
      <c r="W5" s="437" t="s">
        <v>366</v>
      </c>
    </row>
    <row r="6" spans="2:25" s="441" customFormat="1" ht="13.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426</v>
      </c>
      <c r="F52" s="496"/>
    </row>
    <row r="53" spans="2:19" ht="13.9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 ht="13.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436</v>
      </c>
      <c r="F64" s="496"/>
    </row>
    <row r="65" spans="2:18" ht="13.9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441</v>
      </c>
      <c r="F78" s="496"/>
    </row>
    <row r="79" spans="2:18" ht="13.9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447</v>
      </c>
      <c r="D92" s="556" t="s">
        <v>448</v>
      </c>
      <c r="E92" s="556"/>
    </row>
    <row r="93" spans="2:18" ht="13.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538</v>
      </c>
      <c r="C103" s="496">
        <v>20000000</v>
      </c>
      <c r="D103" s="496">
        <v>20000000</v>
      </c>
      <c r="E103" s="496"/>
    </row>
    <row r="104" spans="2:5" ht="13.5">
      <c r="B104" s="437" t="s">
        <v>539</v>
      </c>
      <c r="C104" s="496">
        <v>20000000</v>
      </c>
      <c r="D104" s="496">
        <v>20000000</v>
      </c>
      <c r="E104" s="496"/>
    </row>
    <row r="106" spans="2:5" ht="13.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466</v>
      </c>
      <c r="C117" s="496">
        <v>77000000</v>
      </c>
      <c r="D117" s="496">
        <v>77000000</v>
      </c>
      <c r="E117" s="496"/>
    </row>
    <row r="118" spans="2:5" ht="13.5">
      <c r="B118" s="437" t="s">
        <v>467</v>
      </c>
      <c r="C118" s="496">
        <v>145000000</v>
      </c>
      <c r="D118" s="496">
        <v>145000000</v>
      </c>
      <c r="E118" s="496"/>
    </row>
    <row r="120" spans="2:5" ht="13.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540</v>
      </c>
    </row>
    <row r="129" spans="2:4" ht="13.5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084" t="s">
        <v>972</v>
      </c>
      <c r="D5" s="3085"/>
      <c r="E5" s="3085"/>
      <c r="F5" s="3085"/>
      <c r="G5" s="3085"/>
      <c r="H5" s="3085"/>
      <c r="I5" s="3085"/>
      <c r="J5" s="3085"/>
      <c r="K5" s="3085"/>
      <c r="L5" s="3085"/>
      <c r="M5" s="3085"/>
      <c r="N5" s="3085"/>
      <c r="O5" s="3085"/>
      <c r="P5" s="3085"/>
      <c r="Q5" s="3086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697</v>
      </c>
    </row>
    <row r="28" spans="2:17" ht="14.65" hidden="1">
      <c r="B28" s="630"/>
      <c r="C28" s="441" t="s">
        <v>569</v>
      </c>
    </row>
    <row r="29" spans="2:17" ht="14.65" hidden="1">
      <c r="B29" s="630"/>
      <c r="C29" s="441" t="s">
        <v>570</v>
      </c>
    </row>
    <row r="30" spans="2:17" hidden="1">
      <c r="C30" s="441" t="s">
        <v>571</v>
      </c>
    </row>
    <row r="31" spans="2:17" ht="14.65" hidden="1">
      <c r="B31" s="441" t="s">
        <v>971</v>
      </c>
    </row>
    <row r="32" spans="2:17" ht="14.6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42"/>
  <sheetViews>
    <sheetView topLeftCell="A305" zoomScale="80" zoomScaleNormal="80" workbookViewId="0">
      <selection activeCell="J343" sqref="J343"/>
    </sheetView>
  </sheetViews>
  <sheetFormatPr defaultColWidth="9" defaultRowHeight="11.65" outlineLevelRow="1"/>
  <cols>
    <col min="1" max="1" width="12" style="1921" customWidth="1"/>
    <col min="2" max="2" width="18.59765625" style="1921" customWidth="1"/>
    <col min="3" max="3" width="14.73046875" style="1921" customWidth="1"/>
    <col min="4" max="4" width="14.265625" style="1921" customWidth="1"/>
    <col min="5" max="5" width="64.86328125" style="1921" bestFit="1" customWidth="1"/>
    <col min="6" max="6" width="13" style="1922" customWidth="1"/>
    <col min="7" max="7" width="11.73046875" style="1922" customWidth="1"/>
    <col min="8" max="8" width="12" style="1922" customWidth="1"/>
    <col min="9" max="9" width="8.73046875" style="1921" customWidth="1"/>
    <col min="10" max="10" width="13.265625" style="1921" bestFit="1" customWidth="1"/>
    <col min="11" max="11" width="13" style="1921" bestFit="1" customWidth="1"/>
    <col min="12" max="12" width="12.265625" style="1921" bestFit="1" customWidth="1"/>
    <col min="13" max="17" width="8.73046875" style="1921" customWidth="1"/>
    <col min="18" max="16384" width="9" style="1921"/>
  </cols>
  <sheetData>
    <row r="2" spans="1:8">
      <c r="B2" s="712" t="s">
        <v>799</v>
      </c>
      <c r="C2" s="712"/>
    </row>
    <row r="4" spans="1:8">
      <c r="A4" s="1923" t="s">
        <v>800</v>
      </c>
      <c r="B4" s="1923" t="s">
        <v>801</v>
      </c>
      <c r="C4" s="1924" t="s">
        <v>493</v>
      </c>
      <c r="D4" s="1923" t="s">
        <v>802</v>
      </c>
      <c r="F4" s="1924" t="s">
        <v>493</v>
      </c>
      <c r="G4" s="1923" t="s">
        <v>802</v>
      </c>
      <c r="H4" s="3066" t="s">
        <v>1487</v>
      </c>
    </row>
    <row r="5" spans="1:8" outlineLevel="1">
      <c r="C5" s="1925"/>
      <c r="F5" s="1926">
        <v>163848360</v>
      </c>
      <c r="G5" s="1926"/>
      <c r="H5" s="1926"/>
    </row>
    <row r="6" spans="1:8" outlineLevel="1">
      <c r="A6" s="1921" t="s">
        <v>1257</v>
      </c>
      <c r="B6" s="1921" t="s">
        <v>803</v>
      </c>
      <c r="C6" s="1927" t="s">
        <v>1324</v>
      </c>
      <c r="D6" s="1927" t="s">
        <v>1325</v>
      </c>
      <c r="F6" s="1922">
        <v>32727265</v>
      </c>
      <c r="G6" s="1922">
        <v>59882</v>
      </c>
      <c r="H6" s="1922">
        <v>909091</v>
      </c>
    </row>
    <row r="7" spans="1:8" outlineLevel="1">
      <c r="A7" s="1921" t="s">
        <v>1260</v>
      </c>
      <c r="B7" s="1921" t="s">
        <v>1463</v>
      </c>
      <c r="C7" s="1927" t="s">
        <v>1326</v>
      </c>
      <c r="D7" s="1927" t="s">
        <v>1327</v>
      </c>
      <c r="F7" s="1922">
        <v>82748803</v>
      </c>
      <c r="G7" s="1922">
        <v>64460</v>
      </c>
      <c r="H7" s="1922">
        <v>426541</v>
      </c>
    </row>
    <row r="8" spans="1:8" outlineLevel="1">
      <c r="A8" s="1921" t="s">
        <v>1328</v>
      </c>
      <c r="B8" s="1921" t="s">
        <v>1464</v>
      </c>
      <c r="C8" s="1927" t="s">
        <v>1002</v>
      </c>
      <c r="D8" s="1927" t="s">
        <v>810</v>
      </c>
      <c r="E8" s="1921" t="s">
        <v>1256</v>
      </c>
      <c r="F8" s="1922">
        <v>30000000</v>
      </c>
      <c r="G8" s="1922">
        <v>0</v>
      </c>
      <c r="H8" s="1922">
        <v>0</v>
      </c>
    </row>
    <row r="9" spans="1:8" outlineLevel="1">
      <c r="A9" s="1921" t="s">
        <v>1263</v>
      </c>
      <c r="B9" s="1921" t="s">
        <v>1465</v>
      </c>
      <c r="C9" s="1927" t="s">
        <v>1329</v>
      </c>
      <c r="D9" s="1927" t="s">
        <v>1330</v>
      </c>
      <c r="E9" s="1921" t="s">
        <v>1266</v>
      </c>
      <c r="F9" s="1922">
        <v>14530000</v>
      </c>
      <c r="G9" s="1922">
        <v>10044</v>
      </c>
      <c r="H9" s="1922">
        <v>50000</v>
      </c>
    </row>
    <row r="10" spans="1:8" outlineLevel="1">
      <c r="A10" s="1921" t="s">
        <v>1267</v>
      </c>
      <c r="B10" s="1921" t="s">
        <v>1466</v>
      </c>
      <c r="C10" s="1927" t="s">
        <v>1331</v>
      </c>
      <c r="D10" s="1927" t="s">
        <v>1320</v>
      </c>
      <c r="E10" s="1921" t="s">
        <v>1270</v>
      </c>
      <c r="F10" s="1922">
        <v>2402770</v>
      </c>
      <c r="G10" s="1922">
        <v>1674</v>
      </c>
      <c r="H10" s="1922">
        <v>13890</v>
      </c>
    </row>
    <row r="11" spans="1:8" outlineLevel="1">
      <c r="A11" s="1928" t="s">
        <v>1332</v>
      </c>
      <c r="B11" s="1928"/>
      <c r="C11" s="1929" t="s">
        <v>1333</v>
      </c>
      <c r="D11" s="1929" t="s">
        <v>1334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>
      <c r="A12" s="1921" t="s">
        <v>1257</v>
      </c>
      <c r="B12" s="1921" t="s">
        <v>803</v>
      </c>
      <c r="C12" s="1927" t="s">
        <v>1335</v>
      </c>
      <c r="D12" s="1927" t="s">
        <v>1336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>
      <c r="A13" s="1921" t="s">
        <v>1260</v>
      </c>
      <c r="B13" s="1921" t="s">
        <v>1463</v>
      </c>
      <c r="C13" s="1927" t="s">
        <v>1337</v>
      </c>
      <c r="D13" s="1927" t="s">
        <v>1338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>
      <c r="A14" s="1921" t="s">
        <v>1328</v>
      </c>
      <c r="B14" s="1921" t="s">
        <v>1464</v>
      </c>
      <c r="C14" s="1927" t="s">
        <v>1002</v>
      </c>
      <c r="D14" s="1927" t="s">
        <v>810</v>
      </c>
      <c r="E14" s="1921" t="s">
        <v>1256</v>
      </c>
      <c r="F14" s="1922">
        <v>30000000</v>
      </c>
      <c r="G14" s="1922">
        <v>0</v>
      </c>
      <c r="H14" s="1922">
        <f t="shared" si="0"/>
        <v>0</v>
      </c>
    </row>
    <row r="15" spans="1:8" outlineLevel="1">
      <c r="A15" s="1921" t="s">
        <v>1263</v>
      </c>
      <c r="B15" s="1921" t="s">
        <v>1465</v>
      </c>
      <c r="C15" s="1927" t="s">
        <v>1339</v>
      </c>
      <c r="D15" s="1927" t="s">
        <v>1340</v>
      </c>
      <c r="E15" s="1921" t="s">
        <v>1266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>
      <c r="A16" s="1921" t="s">
        <v>1267</v>
      </c>
      <c r="B16" s="1921" t="s">
        <v>1466</v>
      </c>
      <c r="C16" s="1927" t="s">
        <v>1341</v>
      </c>
      <c r="D16" s="1927" t="s">
        <v>1342</v>
      </c>
      <c r="E16" s="1921" t="s">
        <v>1270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>
      <c r="A17" s="1928" t="s">
        <v>1343</v>
      </c>
      <c r="B17" s="1928"/>
      <c r="C17" s="1929" t="s">
        <v>1344</v>
      </c>
      <c r="D17" s="1929" t="s">
        <v>1345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>
      <c r="A18" s="1921" t="s">
        <v>1257</v>
      </c>
      <c r="B18" s="1921" t="s">
        <v>803</v>
      </c>
      <c r="C18" s="1927" t="s">
        <v>1346</v>
      </c>
      <c r="D18" s="1927" t="s">
        <v>1347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>
      <c r="A19" s="1921" t="s">
        <v>1260</v>
      </c>
      <c r="B19" s="1921" t="s">
        <v>1463</v>
      </c>
      <c r="C19" s="1927" t="s">
        <v>1348</v>
      </c>
      <c r="D19" s="1927" t="s">
        <v>1349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>
      <c r="A20" s="1921" t="s">
        <v>1328</v>
      </c>
      <c r="B20" s="1921" t="s">
        <v>1464</v>
      </c>
      <c r="C20" s="1927" t="s">
        <v>1002</v>
      </c>
      <c r="D20" s="1927" t="s">
        <v>1350</v>
      </c>
      <c r="E20" s="1921" t="s">
        <v>1256</v>
      </c>
      <c r="F20" s="1922">
        <v>30000000</v>
      </c>
      <c r="G20" s="1922">
        <v>141375</v>
      </c>
      <c r="H20" s="1922">
        <f t="shared" si="0"/>
        <v>0</v>
      </c>
    </row>
    <row r="21" spans="1:8" outlineLevel="1">
      <c r="A21" s="1921" t="s">
        <v>1263</v>
      </c>
      <c r="B21" s="1921" t="s">
        <v>1465</v>
      </c>
      <c r="C21" s="1927" t="s">
        <v>1351</v>
      </c>
      <c r="D21" s="1927" t="s">
        <v>1352</v>
      </c>
      <c r="E21" s="1921" t="s">
        <v>1266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>
      <c r="A22" s="1921" t="s">
        <v>1267</v>
      </c>
      <c r="B22" s="1921" t="s">
        <v>1466</v>
      </c>
      <c r="C22" s="1927" t="s">
        <v>1353</v>
      </c>
      <c r="D22" s="1927" t="s">
        <v>1354</v>
      </c>
      <c r="E22" s="1921" t="s">
        <v>1270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>
      <c r="A23" s="1928" t="s">
        <v>1355</v>
      </c>
      <c r="B23" s="1928"/>
      <c r="C23" s="1929" t="s">
        <v>1356</v>
      </c>
      <c r="D23" s="1929" t="s">
        <v>1357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>
      <c r="A24" s="1921" t="s">
        <v>1257</v>
      </c>
      <c r="B24" s="1921" t="s">
        <v>803</v>
      </c>
      <c r="C24" s="1927" t="s">
        <v>1358</v>
      </c>
      <c r="D24" s="1927" t="s">
        <v>1359</v>
      </c>
      <c r="E24" s="1921" t="s">
        <v>1360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>
      <c r="A25" s="1921" t="s">
        <v>1260</v>
      </c>
      <c r="B25" s="1921" t="s">
        <v>1463</v>
      </c>
      <c r="C25" s="1927" t="s">
        <v>1361</v>
      </c>
      <c r="D25" s="1927" t="s">
        <v>1362</v>
      </c>
      <c r="E25" s="1921" t="s">
        <v>1363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>
      <c r="A26" s="1921" t="s">
        <v>1328</v>
      </c>
      <c r="B26" s="1921" t="s">
        <v>1464</v>
      </c>
      <c r="C26" s="1927" t="s">
        <v>1002</v>
      </c>
      <c r="D26" s="1927" t="s">
        <v>810</v>
      </c>
      <c r="E26" s="1921" t="s">
        <v>1256</v>
      </c>
      <c r="F26" s="1922">
        <v>30000000</v>
      </c>
      <c r="G26" s="1922">
        <v>0</v>
      </c>
      <c r="H26" s="1922">
        <f t="shared" si="0"/>
        <v>0</v>
      </c>
    </row>
    <row r="27" spans="1:8" outlineLevel="1">
      <c r="A27" s="1921" t="s">
        <v>1263</v>
      </c>
      <c r="B27" s="1921" t="s">
        <v>1465</v>
      </c>
      <c r="C27" s="1927" t="s">
        <v>1364</v>
      </c>
      <c r="D27" s="1927" t="s">
        <v>1365</v>
      </c>
      <c r="E27" s="1921" t="s">
        <v>1266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>
      <c r="A28" s="1921" t="s">
        <v>1267</v>
      </c>
      <c r="B28" s="1921" t="s">
        <v>1466</v>
      </c>
      <c r="C28" s="1927" t="s">
        <v>1366</v>
      </c>
      <c r="D28" s="1927" t="s">
        <v>1367</v>
      </c>
      <c r="E28" s="1921" t="s">
        <v>1270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>
      <c r="A29" s="1928" t="s">
        <v>1368</v>
      </c>
      <c r="B29" s="1928"/>
      <c r="C29" s="1929" t="s">
        <v>1369</v>
      </c>
      <c r="D29" s="1929" t="s">
        <v>1370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>
      <c r="A30" s="1921" t="s">
        <v>1257</v>
      </c>
      <c r="B30" s="1921" t="s">
        <v>803</v>
      </c>
      <c r="C30" s="1927" t="s">
        <v>1371</v>
      </c>
      <c r="D30" s="1927" t="s">
        <v>1372</v>
      </c>
      <c r="E30" s="1921" t="s">
        <v>1360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>
      <c r="A31" s="1921" t="s">
        <v>1260</v>
      </c>
      <c r="B31" s="1921" t="s">
        <v>1463</v>
      </c>
      <c r="C31" s="1927" t="s">
        <v>1373</v>
      </c>
      <c r="D31" s="1927" t="s">
        <v>1374</v>
      </c>
      <c r="E31" s="1921" t="s">
        <v>1363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>
      <c r="A32" s="1921" t="s">
        <v>1328</v>
      </c>
      <c r="B32" s="1921" t="s">
        <v>1464</v>
      </c>
      <c r="C32" s="1927" t="s">
        <v>1002</v>
      </c>
      <c r="D32" s="1927" t="s">
        <v>810</v>
      </c>
      <c r="E32" s="1921" t="s">
        <v>1256</v>
      </c>
      <c r="F32" s="1922">
        <v>30000000</v>
      </c>
      <c r="G32" s="1922">
        <v>0</v>
      </c>
      <c r="H32" s="1922">
        <f t="shared" si="0"/>
        <v>0</v>
      </c>
    </row>
    <row r="33" spans="1:8" outlineLevel="1">
      <c r="A33" s="1921" t="s">
        <v>1263</v>
      </c>
      <c r="B33" s="1921" t="s">
        <v>1465</v>
      </c>
      <c r="C33" s="1927" t="s">
        <v>1375</v>
      </c>
      <c r="D33" s="1927" t="s">
        <v>1376</v>
      </c>
      <c r="E33" s="1921" t="s">
        <v>1266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>
      <c r="A34" s="1921" t="s">
        <v>1267</v>
      </c>
      <c r="B34" s="1921" t="s">
        <v>1466</v>
      </c>
      <c r="C34" s="1927" t="s">
        <v>1377</v>
      </c>
      <c r="D34" s="1927" t="s">
        <v>1378</v>
      </c>
      <c r="E34" s="1921" t="s">
        <v>1270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>
      <c r="A35" s="1928" t="s">
        <v>1379</v>
      </c>
      <c r="B35" s="1928"/>
      <c r="C35" s="1929" t="s">
        <v>1380</v>
      </c>
      <c r="D35" s="1929" t="s">
        <v>1381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>
      <c r="A36" s="1921" t="s">
        <v>1257</v>
      </c>
      <c r="B36" s="1921" t="s">
        <v>803</v>
      </c>
      <c r="C36" s="1927" t="s">
        <v>1382</v>
      </c>
      <c r="D36" s="1927" t="s">
        <v>1383</v>
      </c>
      <c r="E36" s="1921" t="s">
        <v>1360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>
      <c r="A37" s="1921" t="s">
        <v>1260</v>
      </c>
      <c r="B37" s="1921" t="s">
        <v>1463</v>
      </c>
      <c r="C37" s="1927" t="s">
        <v>1384</v>
      </c>
      <c r="D37" s="1927" t="s">
        <v>1385</v>
      </c>
      <c r="E37" s="1921" t="s">
        <v>1363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>
      <c r="A38" s="1921" t="s">
        <v>1386</v>
      </c>
      <c r="B38" s="1921" t="s">
        <v>1464</v>
      </c>
      <c r="C38" s="1927" t="s">
        <v>1387</v>
      </c>
      <c r="D38" s="1927" t="s">
        <v>1144</v>
      </c>
      <c r="E38" s="1921" t="s">
        <v>1256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>
      <c r="A39" s="1921" t="s">
        <v>1263</v>
      </c>
      <c r="B39" s="1921" t="s">
        <v>1465</v>
      </c>
      <c r="C39" s="1927" t="s">
        <v>1388</v>
      </c>
      <c r="D39" s="1927" t="s">
        <v>1389</v>
      </c>
      <c r="E39" s="1921" t="s">
        <v>1266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>
      <c r="A40" s="1921" t="s">
        <v>1267</v>
      </c>
      <c r="B40" s="1921" t="s">
        <v>1466</v>
      </c>
      <c r="C40" s="1927" t="s">
        <v>1390</v>
      </c>
      <c r="D40" s="1927" t="s">
        <v>1391</v>
      </c>
      <c r="E40" s="1921" t="s">
        <v>1270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>
      <c r="A41" s="1928" t="s">
        <v>1392</v>
      </c>
      <c r="B41" s="1928"/>
      <c r="C41" s="1929" t="s">
        <v>1393</v>
      </c>
      <c r="D41" s="1929" t="s">
        <v>1394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>
      <c r="A42" s="1921" t="s">
        <v>1257</v>
      </c>
      <c r="B42" s="1921" t="s">
        <v>803</v>
      </c>
      <c r="C42" s="1927" t="s">
        <v>1395</v>
      </c>
      <c r="D42" s="1927" t="s">
        <v>1396</v>
      </c>
      <c r="E42" s="1921" t="s">
        <v>1360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>
      <c r="A43" s="1921" t="s">
        <v>1260</v>
      </c>
      <c r="B43" s="1921" t="s">
        <v>1463</v>
      </c>
      <c r="C43" s="1927" t="s">
        <v>1397</v>
      </c>
      <c r="D43" s="1927" t="s">
        <v>1398</v>
      </c>
      <c r="E43" s="1921" t="s">
        <v>1363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>
      <c r="A44" s="1921" t="s">
        <v>1386</v>
      </c>
      <c r="B44" s="1921" t="s">
        <v>1464</v>
      </c>
      <c r="C44" s="1927" t="s">
        <v>1387</v>
      </c>
      <c r="D44" s="1927" t="s">
        <v>810</v>
      </c>
      <c r="E44" s="1921" t="s">
        <v>1256</v>
      </c>
      <c r="F44" s="1922">
        <v>29433960</v>
      </c>
      <c r="G44" s="1922">
        <v>0</v>
      </c>
      <c r="H44" s="1922">
        <f t="shared" si="0"/>
        <v>0</v>
      </c>
    </row>
    <row r="45" spans="1:8" outlineLevel="1">
      <c r="A45" s="1921" t="s">
        <v>1263</v>
      </c>
      <c r="B45" s="1921" t="s">
        <v>1465</v>
      </c>
      <c r="C45" s="1927" t="s">
        <v>1399</v>
      </c>
      <c r="D45" s="1927" t="s">
        <v>1400</v>
      </c>
      <c r="E45" s="1921" t="s">
        <v>1266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>
      <c r="A46" s="1921" t="s">
        <v>1267</v>
      </c>
      <c r="B46" s="1921" t="s">
        <v>1466</v>
      </c>
      <c r="C46" s="1927" t="s">
        <v>1401</v>
      </c>
      <c r="D46" s="1927" t="s">
        <v>1402</v>
      </c>
      <c r="E46" s="1921" t="s">
        <v>1270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>
      <c r="A47" s="1928" t="s">
        <v>1403</v>
      </c>
      <c r="B47" s="1928"/>
      <c r="C47" s="1929" t="s">
        <v>1404</v>
      </c>
      <c r="D47" s="1929" t="s">
        <v>1405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>
      <c r="A48" s="1921" t="s">
        <v>1257</v>
      </c>
      <c r="B48" s="1921" t="s">
        <v>803</v>
      </c>
      <c r="C48" s="1927" t="s">
        <v>1406</v>
      </c>
      <c r="D48" s="1927" t="s">
        <v>1407</v>
      </c>
      <c r="E48" s="1921" t="s">
        <v>1360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>
      <c r="A49" s="1921" t="s">
        <v>1260</v>
      </c>
      <c r="B49" s="1921" t="s">
        <v>1463</v>
      </c>
      <c r="C49" s="1927" t="s">
        <v>1408</v>
      </c>
      <c r="D49" s="1927" t="s">
        <v>1409</v>
      </c>
      <c r="E49" s="1921" t="s">
        <v>1363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>
      <c r="A50" s="1921" t="s">
        <v>1386</v>
      </c>
      <c r="B50" s="1921" t="s">
        <v>1464</v>
      </c>
      <c r="C50" s="1927" t="s">
        <v>1387</v>
      </c>
      <c r="D50" s="1927" t="s">
        <v>810</v>
      </c>
      <c r="E50" s="1921" t="s">
        <v>1256</v>
      </c>
      <c r="F50" s="1922">
        <v>29433960</v>
      </c>
      <c r="G50" s="1922">
        <v>0</v>
      </c>
      <c r="H50" s="1922">
        <f t="shared" si="0"/>
        <v>0</v>
      </c>
    </row>
    <row r="51" spans="1:8" outlineLevel="1">
      <c r="A51" s="1921" t="s">
        <v>1263</v>
      </c>
      <c r="B51" s="1921" t="s">
        <v>1465</v>
      </c>
      <c r="C51" s="1927" t="s">
        <v>1410</v>
      </c>
      <c r="D51" s="1927" t="s">
        <v>1411</v>
      </c>
      <c r="E51" s="1921" t="s">
        <v>1266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>
      <c r="A52" s="1921" t="s">
        <v>1267</v>
      </c>
      <c r="B52" s="1921" t="s">
        <v>1466</v>
      </c>
      <c r="C52" s="1927" t="s">
        <v>1412</v>
      </c>
      <c r="D52" s="1927" t="s">
        <v>1413</v>
      </c>
      <c r="E52" s="1921" t="s">
        <v>1270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>
      <c r="A53" s="1928" t="s">
        <v>1414</v>
      </c>
      <c r="B53" s="1928"/>
      <c r="C53" s="1929" t="s">
        <v>1415</v>
      </c>
      <c r="D53" s="1929" t="s">
        <v>1416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>
      <c r="A54" s="1921" t="s">
        <v>1257</v>
      </c>
      <c r="B54" s="1921" t="s">
        <v>803</v>
      </c>
      <c r="C54" s="1927" t="s">
        <v>1417</v>
      </c>
      <c r="D54" s="1927" t="s">
        <v>1418</v>
      </c>
      <c r="E54" s="1921" t="s">
        <v>1360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>
      <c r="A55" s="1921" t="s">
        <v>1260</v>
      </c>
      <c r="B55" s="1921" t="s">
        <v>1463</v>
      </c>
      <c r="C55" s="1927" t="s">
        <v>1419</v>
      </c>
      <c r="D55" s="1927" t="s">
        <v>1420</v>
      </c>
      <c r="E55" s="1921" t="s">
        <v>1363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>
      <c r="A56" s="1921" t="s">
        <v>1386</v>
      </c>
      <c r="B56" s="1921" t="s">
        <v>1464</v>
      </c>
      <c r="C56" s="1927" t="s">
        <v>1421</v>
      </c>
      <c r="D56" s="1927" t="s">
        <v>1422</v>
      </c>
      <c r="E56" s="1921" t="s">
        <v>1256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>
      <c r="A57" s="1921" t="s">
        <v>1263</v>
      </c>
      <c r="B57" s="1921" t="s">
        <v>1465</v>
      </c>
      <c r="C57" s="1927" t="s">
        <v>1423</v>
      </c>
      <c r="D57" s="1927" t="s">
        <v>1424</v>
      </c>
      <c r="E57" s="1921" t="s">
        <v>1266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>
      <c r="A58" s="1921" t="s">
        <v>1267</v>
      </c>
      <c r="B58" s="1921" t="s">
        <v>1466</v>
      </c>
      <c r="C58" s="1927" t="s">
        <v>1425</v>
      </c>
      <c r="D58" s="1927" t="s">
        <v>1426</v>
      </c>
      <c r="E58" s="1921" t="s">
        <v>1270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>
      <c r="A59" s="1928" t="s">
        <v>1427</v>
      </c>
      <c r="B59" s="1928"/>
      <c r="C59" s="1929" t="s">
        <v>1428</v>
      </c>
      <c r="D59" s="1929" t="s">
        <v>1429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>
      <c r="A60" s="1921" t="s">
        <v>1257</v>
      </c>
      <c r="B60" s="1921" t="s">
        <v>803</v>
      </c>
      <c r="C60" s="1927" t="s">
        <v>1430</v>
      </c>
      <c r="D60" s="1927" t="s">
        <v>1431</v>
      </c>
      <c r="E60" s="1921" t="s">
        <v>1360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>
      <c r="A61" s="1921" t="s">
        <v>1260</v>
      </c>
      <c r="B61" s="1921" t="s">
        <v>1463</v>
      </c>
      <c r="C61" s="1927" t="s">
        <v>1432</v>
      </c>
      <c r="D61" s="1927" t="s">
        <v>1433</v>
      </c>
      <c r="E61" s="1921" t="s">
        <v>1363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>
      <c r="A62" s="1921" t="s">
        <v>1386</v>
      </c>
      <c r="B62" s="1921" t="s">
        <v>1464</v>
      </c>
      <c r="C62" s="1927" t="s">
        <v>1421</v>
      </c>
      <c r="D62" s="1927" t="s">
        <v>810</v>
      </c>
      <c r="E62" s="1921" t="s">
        <v>1256</v>
      </c>
      <c r="F62" s="1922">
        <v>28867920</v>
      </c>
      <c r="G62" s="1922">
        <v>0</v>
      </c>
      <c r="H62" s="1922">
        <f t="shared" si="0"/>
        <v>0</v>
      </c>
    </row>
    <row r="63" spans="1:8" outlineLevel="1">
      <c r="A63" s="1921" t="s">
        <v>1263</v>
      </c>
      <c r="B63" s="1921" t="s">
        <v>1465</v>
      </c>
      <c r="C63" s="1927" t="s">
        <v>1434</v>
      </c>
      <c r="D63" s="1927" t="s">
        <v>1435</v>
      </c>
      <c r="E63" s="1921" t="s">
        <v>1266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>
      <c r="A64" s="1921" t="s">
        <v>1267</v>
      </c>
      <c r="B64" s="1921" t="s">
        <v>1466</v>
      </c>
      <c r="C64" s="1927" t="s">
        <v>1436</v>
      </c>
      <c r="D64" s="1927" t="s">
        <v>1437</v>
      </c>
      <c r="E64" s="1921" t="s">
        <v>1270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>
      <c r="A65" s="1928" t="s">
        <v>1438</v>
      </c>
      <c r="B65" s="1928"/>
      <c r="C65" s="1929" t="s">
        <v>1439</v>
      </c>
      <c r="D65" s="1929" t="s">
        <v>1440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>
      <c r="A66" s="1921" t="s">
        <v>1257</v>
      </c>
      <c r="B66" s="1921" t="s">
        <v>803</v>
      </c>
      <c r="C66" s="1927" t="s">
        <v>1449</v>
      </c>
      <c r="D66" s="1927" t="s">
        <v>1450</v>
      </c>
      <c r="E66" s="1921" t="s">
        <v>1360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>
      <c r="A67" s="1921" t="s">
        <v>1260</v>
      </c>
      <c r="B67" s="1921" t="s">
        <v>1463</v>
      </c>
      <c r="C67" s="1927" t="s">
        <v>1451</v>
      </c>
      <c r="D67" s="1927" t="s">
        <v>1452</v>
      </c>
      <c r="E67" s="1921" t="s">
        <v>1363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>
      <c r="A68" s="1921" t="s">
        <v>1386</v>
      </c>
      <c r="B68" s="1921" t="s">
        <v>1464</v>
      </c>
      <c r="C68" s="1927" t="s">
        <v>1421</v>
      </c>
      <c r="D68" s="1927" t="s">
        <v>810</v>
      </c>
      <c r="E68" s="1921" t="s">
        <v>1256</v>
      </c>
      <c r="F68" s="1922">
        <v>28867920</v>
      </c>
      <c r="G68" s="1922">
        <v>0</v>
      </c>
      <c r="H68" s="1922">
        <f t="shared" si="0"/>
        <v>0</v>
      </c>
    </row>
    <row r="69" spans="1:12" outlineLevel="1">
      <c r="A69" s="1921" t="s">
        <v>1263</v>
      </c>
      <c r="B69" s="1921" t="s">
        <v>1465</v>
      </c>
      <c r="C69" s="1927" t="s">
        <v>1264</v>
      </c>
      <c r="D69" s="1927" t="s">
        <v>1453</v>
      </c>
      <c r="E69" s="1921" t="s">
        <v>1266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>
      <c r="A70" s="1921" t="s">
        <v>1267</v>
      </c>
      <c r="B70" s="1921" t="s">
        <v>1466</v>
      </c>
      <c r="C70" s="1927" t="s">
        <v>1454</v>
      </c>
      <c r="D70" s="1927" t="s">
        <v>1455</v>
      </c>
      <c r="E70" s="1921" t="s">
        <v>1270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>
      <c r="A71" s="1928" t="s">
        <v>1467</v>
      </c>
      <c r="B71" s="1928"/>
      <c r="C71" s="1929" t="s">
        <v>1456</v>
      </c>
      <c r="D71" s="1929" t="s">
        <v>1457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>
      <c r="A72" s="1921" t="s">
        <v>1257</v>
      </c>
      <c r="B72" s="1921" t="s">
        <v>803</v>
      </c>
      <c r="C72" s="1927" t="s">
        <v>1468</v>
      </c>
      <c r="D72" s="1927" t="s">
        <v>1469</v>
      </c>
      <c r="E72" s="1921" t="s">
        <v>1360</v>
      </c>
      <c r="F72" s="1922">
        <v>22727264</v>
      </c>
      <c r="G72" s="1922">
        <v>74697</v>
      </c>
      <c r="H72" s="1922">
        <f t="shared" si="0"/>
        <v>909091</v>
      </c>
      <c r="J72" s="1922">
        <f>+F72</f>
        <v>22727264</v>
      </c>
      <c r="K72" s="1922">
        <f t="shared" ref="K72:L76" si="1">+G72+G66+G60+G54+G48+G42+G36+G30+G24+G18+G12+G6</f>
        <v>531073.92999999993</v>
      </c>
      <c r="L72" s="1922">
        <f t="shared" si="1"/>
        <v>10909092</v>
      </c>
    </row>
    <row r="73" spans="1:12">
      <c r="A73" s="1921" t="s">
        <v>1260</v>
      </c>
      <c r="B73" s="1921" t="s">
        <v>1463</v>
      </c>
      <c r="C73" s="1927" t="s">
        <v>1470</v>
      </c>
      <c r="D73" s="1927" t="s">
        <v>1471</v>
      </c>
      <c r="E73" s="1921" t="s">
        <v>1363</v>
      </c>
      <c r="F73" s="1922">
        <v>78056852</v>
      </c>
      <c r="G73" s="1922">
        <v>60824</v>
      </c>
      <c r="H73" s="1922">
        <f t="shared" si="0"/>
        <v>426541</v>
      </c>
      <c r="J73" s="1922">
        <f t="shared" ref="J73:J76" si="2">+F73</f>
        <v>78056852</v>
      </c>
      <c r="K73" s="1922">
        <f t="shared" si="1"/>
        <v>737549</v>
      </c>
      <c r="L73" s="1922">
        <f t="shared" si="1"/>
        <v>5118492</v>
      </c>
    </row>
    <row r="74" spans="1:12">
      <c r="A74" s="1921" t="s">
        <v>1386</v>
      </c>
      <c r="B74" s="1921" t="s">
        <v>1464</v>
      </c>
      <c r="C74" s="1927" t="s">
        <v>1472</v>
      </c>
      <c r="D74" s="1927" t="s">
        <v>1473</v>
      </c>
      <c r="E74" s="1921" t="s">
        <v>1256</v>
      </c>
      <c r="F74" s="1922">
        <v>28301880</v>
      </c>
      <c r="G74" s="1922">
        <v>142294</v>
      </c>
      <c r="H74" s="1922">
        <f t="shared" si="0"/>
        <v>566040</v>
      </c>
      <c r="J74" s="1922">
        <f t="shared" si="2"/>
        <v>28301880</v>
      </c>
      <c r="K74" s="1922">
        <f t="shared" si="1"/>
        <v>583036</v>
      </c>
      <c r="L74" s="1922">
        <f t="shared" si="1"/>
        <v>1698120</v>
      </c>
    </row>
    <row r="75" spans="1:12">
      <c r="A75" s="1921" t="s">
        <v>1263</v>
      </c>
      <c r="B75" s="1921" t="s">
        <v>1465</v>
      </c>
      <c r="C75" s="1927" t="s">
        <v>1474</v>
      </c>
      <c r="D75" s="1927" t="s">
        <v>1475</v>
      </c>
      <c r="E75" s="1921" t="s">
        <v>1266</v>
      </c>
      <c r="F75" s="1922">
        <v>13980000</v>
      </c>
      <c r="G75" s="1922">
        <v>40714</v>
      </c>
      <c r="H75" s="1922">
        <f t="shared" si="0"/>
        <v>50000</v>
      </c>
      <c r="J75" s="1922">
        <f t="shared" si="2"/>
        <v>13980000</v>
      </c>
      <c r="K75" s="1922">
        <f t="shared" si="1"/>
        <v>185362</v>
      </c>
      <c r="L75" s="1922">
        <f t="shared" si="1"/>
        <v>600000</v>
      </c>
    </row>
    <row r="76" spans="1:12">
      <c r="A76" s="1921" t="s">
        <v>1267</v>
      </c>
      <c r="B76" s="1921" t="s">
        <v>1466</v>
      </c>
      <c r="C76" s="1927" t="s">
        <v>1476</v>
      </c>
      <c r="D76" s="1927" t="s">
        <v>1477</v>
      </c>
      <c r="E76" s="1921" t="s">
        <v>1270</v>
      </c>
      <c r="F76" s="1922">
        <v>2249980</v>
      </c>
      <c r="G76" s="1922">
        <v>6748</v>
      </c>
      <c r="H76" s="1922">
        <f t="shared" ref="H76" si="3">+F70-F76</f>
        <v>13890</v>
      </c>
      <c r="J76" s="1922">
        <f t="shared" si="2"/>
        <v>2249980</v>
      </c>
      <c r="K76" s="1922">
        <f t="shared" si="1"/>
        <v>31893</v>
      </c>
      <c r="L76" s="1922">
        <f t="shared" si="1"/>
        <v>166680</v>
      </c>
    </row>
    <row r="77" spans="1:12">
      <c r="A77" s="1930" t="s">
        <v>1478</v>
      </c>
      <c r="B77" s="1930"/>
      <c r="C77" s="1931" t="s">
        <v>1479</v>
      </c>
      <c r="D77" s="1931" t="s">
        <v>1480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26">
        <f>SUM(J72:J76)</f>
        <v>145315976</v>
      </c>
      <c r="K77" s="1926">
        <f t="shared" ref="K77:L77" si="4">SUM(K72:K76)</f>
        <v>2068913.93</v>
      </c>
      <c r="L77" s="1926">
        <f t="shared" si="4"/>
        <v>18492384</v>
      </c>
    </row>
    <row r="78" spans="1:12" outlineLevel="1">
      <c r="A78" s="1921" t="s">
        <v>1257</v>
      </c>
      <c r="B78" s="1921" t="s">
        <v>803</v>
      </c>
      <c r="C78" s="1927" t="s">
        <v>1489</v>
      </c>
      <c r="D78" s="1927" t="s">
        <v>1490</v>
      </c>
      <c r="E78" s="1921" t="s">
        <v>1360</v>
      </c>
      <c r="F78" s="1922">
        <v>21818173</v>
      </c>
      <c r="G78" s="1922">
        <v>91199</v>
      </c>
      <c r="H78" s="1922">
        <f>+F72-F78</f>
        <v>909091</v>
      </c>
    </row>
    <row r="79" spans="1:12" outlineLevel="1">
      <c r="A79" s="1921" t="s">
        <v>1260</v>
      </c>
      <c r="B79" s="1921" t="s">
        <v>1463</v>
      </c>
      <c r="C79" s="1927" t="s">
        <v>1491</v>
      </c>
      <c r="D79" s="1927" t="s">
        <v>1492</v>
      </c>
      <c r="E79" s="1921" t="s">
        <v>1363</v>
      </c>
      <c r="F79" s="1922">
        <v>77630311</v>
      </c>
      <c r="G79" s="1922">
        <v>60494</v>
      </c>
      <c r="H79" s="1922">
        <f>+F73-F79</f>
        <v>426541</v>
      </c>
    </row>
    <row r="80" spans="1:12" outlineLevel="1">
      <c r="A80" s="1921" t="s">
        <v>1386</v>
      </c>
      <c r="B80" s="1921" t="s">
        <v>1464</v>
      </c>
      <c r="C80" s="1927" t="s">
        <v>1472</v>
      </c>
      <c r="D80" s="1927" t="s">
        <v>810</v>
      </c>
      <c r="E80" s="1921" t="s">
        <v>1256</v>
      </c>
      <c r="F80" s="1922">
        <v>28301880</v>
      </c>
      <c r="G80" s="1922">
        <v>0</v>
      </c>
      <c r="H80" s="1922">
        <f>+F74-F80</f>
        <v>0</v>
      </c>
    </row>
    <row r="81" spans="1:8" outlineLevel="1">
      <c r="A81" s="1921" t="s">
        <v>1263</v>
      </c>
      <c r="B81" s="1921" t="s">
        <v>1465</v>
      </c>
      <c r="C81" s="1927" t="s">
        <v>1493</v>
      </c>
      <c r="D81" s="1927" t="s">
        <v>1494</v>
      </c>
      <c r="E81" s="1921" t="s">
        <v>1266</v>
      </c>
      <c r="F81" s="1922">
        <v>13920000</v>
      </c>
      <c r="G81" s="1922">
        <v>7676</v>
      </c>
      <c r="H81" s="1922">
        <f>+F75-F81</f>
        <v>60000</v>
      </c>
    </row>
    <row r="82" spans="1:8" outlineLevel="1">
      <c r="A82" s="1921" t="s">
        <v>1267</v>
      </c>
      <c r="B82" s="1921" t="s">
        <v>1466</v>
      </c>
      <c r="C82" s="1927" t="s">
        <v>1495</v>
      </c>
      <c r="D82" s="1927" t="s">
        <v>1496</v>
      </c>
      <c r="E82" s="1921" t="s">
        <v>1270</v>
      </c>
      <c r="F82" s="1922">
        <v>2236090</v>
      </c>
      <c r="G82" s="1922">
        <v>52487</v>
      </c>
      <c r="H82" s="1922">
        <f>+F76-F82</f>
        <v>13890</v>
      </c>
    </row>
    <row r="83" spans="1:8" outlineLevel="1">
      <c r="A83" s="1928" t="s">
        <v>1497</v>
      </c>
      <c r="B83" s="1928"/>
      <c r="C83" s="1929" t="s">
        <v>1498</v>
      </c>
      <c r="D83" s="1929" t="s">
        <v>1499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>
      <c r="A84" s="1921" t="s">
        <v>1257</v>
      </c>
      <c r="B84" s="1921" t="s">
        <v>803</v>
      </c>
      <c r="C84" s="1927" t="s">
        <v>1500</v>
      </c>
      <c r="D84" s="1927" t="s">
        <v>1501</v>
      </c>
      <c r="E84" s="1921" t="s">
        <v>1360</v>
      </c>
      <c r="F84" s="1922">
        <v>20909082</v>
      </c>
      <c r="G84" s="1922">
        <v>82133</v>
      </c>
      <c r="H84" s="1922">
        <f>+F78-F84</f>
        <v>909091</v>
      </c>
    </row>
    <row r="85" spans="1:8" outlineLevel="1">
      <c r="A85" s="1921" t="s">
        <v>1260</v>
      </c>
      <c r="B85" s="1921" t="s">
        <v>1463</v>
      </c>
      <c r="C85" s="1927" t="s">
        <v>1502</v>
      </c>
      <c r="D85" s="1927" t="s">
        <v>1503</v>
      </c>
      <c r="E85" s="1921" t="s">
        <v>1363</v>
      </c>
      <c r="F85" s="1922">
        <v>77203770</v>
      </c>
      <c r="G85" s="1922">
        <v>54341</v>
      </c>
      <c r="H85" s="1922">
        <f>+F79-F85</f>
        <v>426541</v>
      </c>
    </row>
    <row r="86" spans="1:8" outlineLevel="1">
      <c r="A86" s="1921" t="s">
        <v>1386</v>
      </c>
      <c r="B86" s="1921" t="s">
        <v>1464</v>
      </c>
      <c r="C86" s="1927" t="s">
        <v>1472</v>
      </c>
      <c r="D86" s="1927" t="s">
        <v>810</v>
      </c>
      <c r="E86" s="1921" t="s">
        <v>1256</v>
      </c>
      <c r="F86" s="1922">
        <v>28301880</v>
      </c>
      <c r="G86" s="1922">
        <v>0</v>
      </c>
      <c r="H86" s="1922">
        <f>+F80-F86</f>
        <v>0</v>
      </c>
    </row>
    <row r="87" spans="1:8" outlineLevel="1">
      <c r="A87" s="1921" t="s">
        <v>1263</v>
      </c>
      <c r="B87" s="1921" t="s">
        <v>1465</v>
      </c>
      <c r="C87" s="1927" t="s">
        <v>1504</v>
      </c>
      <c r="D87" s="1927" t="s">
        <v>1505</v>
      </c>
      <c r="E87" s="1921" t="s">
        <v>1266</v>
      </c>
      <c r="F87" s="1922">
        <v>13860000</v>
      </c>
      <c r="G87" s="1922">
        <v>49153</v>
      </c>
      <c r="H87" s="1922">
        <f>+F81-F87</f>
        <v>60000</v>
      </c>
    </row>
    <row r="88" spans="1:8" outlineLevel="1">
      <c r="A88" s="1921" t="s">
        <v>1267</v>
      </c>
      <c r="B88" s="1921" t="s">
        <v>1466</v>
      </c>
      <c r="C88" s="1927" t="s">
        <v>1506</v>
      </c>
      <c r="D88" s="1927" t="s">
        <v>1507</v>
      </c>
      <c r="E88" s="1921" t="s">
        <v>1270</v>
      </c>
      <c r="F88" s="1922">
        <v>2222200</v>
      </c>
      <c r="G88" s="1922">
        <v>8146</v>
      </c>
      <c r="H88" s="1922">
        <f>+F82-F88</f>
        <v>13890</v>
      </c>
    </row>
    <row r="89" spans="1:8" outlineLevel="1">
      <c r="A89" s="1928" t="s">
        <v>1508</v>
      </c>
      <c r="B89" s="1928"/>
      <c r="C89" s="1929" t="s">
        <v>1509</v>
      </c>
      <c r="D89" s="1929" t="s">
        <v>1510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>
      <c r="A90" s="1921" t="s">
        <v>1257</v>
      </c>
      <c r="B90" s="1921" t="s">
        <v>803</v>
      </c>
      <c r="C90" s="1927" t="s">
        <v>1524</v>
      </c>
      <c r="D90" s="1927" t="s">
        <v>1525</v>
      </c>
      <c r="E90" s="1921" t="s">
        <v>1360</v>
      </c>
      <c r="F90" s="1922">
        <v>19999991</v>
      </c>
      <c r="G90" s="1922">
        <v>97227</v>
      </c>
      <c r="H90" s="1922">
        <f>+F84-F90</f>
        <v>909091</v>
      </c>
    </row>
    <row r="91" spans="1:8" outlineLevel="1">
      <c r="A91" s="1921" t="s">
        <v>1260</v>
      </c>
      <c r="B91" s="1921" t="s">
        <v>1463</v>
      </c>
      <c r="C91" s="1927" t="s">
        <v>1526</v>
      </c>
      <c r="D91" s="1927" t="s">
        <v>1527</v>
      </c>
      <c r="E91" s="1921" t="s">
        <v>1363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>
      <c r="A92" s="1921" t="s">
        <v>1386</v>
      </c>
      <c r="B92" s="1921" t="s">
        <v>1464</v>
      </c>
      <c r="C92" s="1927" t="s">
        <v>1528</v>
      </c>
      <c r="D92" s="1927" t="s">
        <v>1529</v>
      </c>
      <c r="E92" s="1921" t="s">
        <v>1256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>
      <c r="A93" s="1921" t="s">
        <v>1263</v>
      </c>
      <c r="B93" s="1921" t="s">
        <v>1465</v>
      </c>
      <c r="C93" s="1927" t="s">
        <v>1530</v>
      </c>
      <c r="D93" s="1927" t="s">
        <v>1531</v>
      </c>
      <c r="E93" s="1921" t="s">
        <v>1266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>
      <c r="A94" s="1921" t="s">
        <v>1267</v>
      </c>
      <c r="B94" s="1921" t="s">
        <v>1466</v>
      </c>
      <c r="C94" s="1927" t="s">
        <v>1532</v>
      </c>
      <c r="D94" s="1927" t="s">
        <v>1533</v>
      </c>
      <c r="E94" s="1921" t="s">
        <v>1270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>
      <c r="A95" s="1928" t="s">
        <v>1514</v>
      </c>
      <c r="B95" s="1928"/>
      <c r="C95" s="1929" t="s">
        <v>1534</v>
      </c>
      <c r="D95" s="1929" t="s">
        <v>1535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>
      <c r="A96" s="1921" t="s">
        <v>1257</v>
      </c>
      <c r="B96" s="1921" t="s">
        <v>803</v>
      </c>
      <c r="C96" s="1927" t="s">
        <v>1546</v>
      </c>
      <c r="D96" s="1927" t="s">
        <v>1547</v>
      </c>
      <c r="E96" s="1921" t="s">
        <v>1360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>
      <c r="A97" s="1921" t="s">
        <v>1260</v>
      </c>
      <c r="B97" s="1921" t="s">
        <v>1463</v>
      </c>
      <c r="C97" s="1927" t="s">
        <v>1548</v>
      </c>
      <c r="D97" s="1927" t="s">
        <v>1549</v>
      </c>
      <c r="E97" s="1921" t="s">
        <v>1363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>
      <c r="A98" s="1921" t="s">
        <v>1386</v>
      </c>
      <c r="B98" s="1921" t="s">
        <v>1464</v>
      </c>
      <c r="C98" s="1927" t="s">
        <v>1528</v>
      </c>
      <c r="D98" s="1927" t="s">
        <v>810</v>
      </c>
      <c r="E98" s="1921" t="s">
        <v>1256</v>
      </c>
      <c r="F98" s="1922">
        <v>27735840</v>
      </c>
      <c r="G98" s="1922">
        <v>0</v>
      </c>
      <c r="H98" s="1922">
        <f t="shared" si="9"/>
        <v>0</v>
      </c>
    </row>
    <row r="99" spans="1:8" outlineLevel="1">
      <c r="A99" s="1921" t="s">
        <v>1263</v>
      </c>
      <c r="B99" s="1921" t="s">
        <v>1465</v>
      </c>
      <c r="C99" s="1927" t="s">
        <v>1550</v>
      </c>
      <c r="D99" s="1927" t="s">
        <v>1551</v>
      </c>
      <c r="E99" s="1921" t="s">
        <v>1266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>
      <c r="A100" s="1921" t="s">
        <v>1267</v>
      </c>
      <c r="B100" s="1921" t="s">
        <v>1466</v>
      </c>
      <c r="C100" s="1927" t="s">
        <v>1552</v>
      </c>
      <c r="D100" s="1927" t="s">
        <v>1553</v>
      </c>
      <c r="E100" s="1921" t="s">
        <v>1270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>
      <c r="A101" s="1928" t="s">
        <v>1515</v>
      </c>
      <c r="B101" s="1928"/>
      <c r="C101" s="1929" t="s">
        <v>1554</v>
      </c>
      <c r="D101" s="1929" t="s">
        <v>1555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>
      <c r="A102" s="1921" t="s">
        <v>1257</v>
      </c>
      <c r="B102" s="1921" t="s">
        <v>803</v>
      </c>
      <c r="C102" s="1927" t="s">
        <v>1556</v>
      </c>
      <c r="D102" s="1927" t="s">
        <v>1557</v>
      </c>
      <c r="E102" s="1921" t="s">
        <v>1360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>
      <c r="A103" s="1921" t="s">
        <v>1260</v>
      </c>
      <c r="B103" s="1921" t="s">
        <v>1463</v>
      </c>
      <c r="C103" s="1927" t="s">
        <v>1558</v>
      </c>
      <c r="D103" s="1927" t="s">
        <v>1559</v>
      </c>
      <c r="E103" s="1921" t="s">
        <v>1363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>
      <c r="A104" s="1921" t="s">
        <v>1386</v>
      </c>
      <c r="B104" s="1921" t="s">
        <v>1464</v>
      </c>
      <c r="C104" s="1927" t="s">
        <v>1528</v>
      </c>
      <c r="D104" s="1927" t="s">
        <v>810</v>
      </c>
      <c r="E104" s="1921" t="s">
        <v>1256</v>
      </c>
      <c r="F104" s="1922">
        <v>27735840</v>
      </c>
      <c r="G104" s="1922">
        <v>0</v>
      </c>
      <c r="H104" s="1922">
        <f t="shared" si="11"/>
        <v>0</v>
      </c>
    </row>
    <row r="105" spans="1:8" outlineLevel="1">
      <c r="A105" s="1921" t="s">
        <v>1263</v>
      </c>
      <c r="B105" s="1921" t="s">
        <v>1465</v>
      </c>
      <c r="C105" s="1927" t="s">
        <v>1560</v>
      </c>
      <c r="D105" s="1927" t="s">
        <v>1561</v>
      </c>
      <c r="E105" s="1921" t="s">
        <v>1266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>
      <c r="A106" s="1921" t="s">
        <v>1267</v>
      </c>
      <c r="B106" s="1921" t="s">
        <v>1466</v>
      </c>
      <c r="C106" s="1927" t="s">
        <v>1562</v>
      </c>
      <c r="D106" s="1927" t="s">
        <v>1563</v>
      </c>
      <c r="E106" s="1921" t="s">
        <v>1270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>
      <c r="A107" s="1928" t="s">
        <v>1516</v>
      </c>
      <c r="B107" s="1928"/>
      <c r="C107" s="1929" t="s">
        <v>1564</v>
      </c>
      <c r="D107" s="1929" t="s">
        <v>1565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>
      <c r="A108" s="1921" t="s">
        <v>1257</v>
      </c>
      <c r="B108" s="1921" t="s">
        <v>803</v>
      </c>
      <c r="C108" s="1927" t="s">
        <v>1578</v>
      </c>
      <c r="D108" s="1927" t="s">
        <v>1579</v>
      </c>
      <c r="E108" s="1921" t="s">
        <v>1360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>
      <c r="A109" s="1921" t="s">
        <v>1260</v>
      </c>
      <c r="B109" s="1921" t="s">
        <v>1463</v>
      </c>
      <c r="C109" s="1927" t="s">
        <v>1580</v>
      </c>
      <c r="D109" s="1927" t="s">
        <v>1581</v>
      </c>
      <c r="E109" s="1921" t="s">
        <v>1363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>
      <c r="A110" s="1921" t="s">
        <v>1386</v>
      </c>
      <c r="B110" s="1921" t="s">
        <v>1464</v>
      </c>
      <c r="C110" s="1927" t="s">
        <v>1582</v>
      </c>
      <c r="D110" s="1927" t="s">
        <v>1583</v>
      </c>
      <c r="E110" s="1921" t="s">
        <v>1256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>
      <c r="A111" s="1921" t="s">
        <v>1263</v>
      </c>
      <c r="B111" s="1921" t="s">
        <v>1465</v>
      </c>
      <c r="C111" s="1927" t="s">
        <v>1584</v>
      </c>
      <c r="D111" s="1927" t="s">
        <v>1585</v>
      </c>
      <c r="E111" s="1921" t="s">
        <v>1266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>
      <c r="A112" s="1921" t="s">
        <v>1267</v>
      </c>
      <c r="B112" s="1921" t="s">
        <v>1466</v>
      </c>
      <c r="C112" s="1927" t="s">
        <v>1586</v>
      </c>
      <c r="D112" s="1927" t="s">
        <v>1587</v>
      </c>
      <c r="E112" s="1921" t="s">
        <v>1270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>
      <c r="A113" s="1928" t="s">
        <v>1517</v>
      </c>
      <c r="B113" s="1928"/>
      <c r="C113" s="1929" t="s">
        <v>1588</v>
      </c>
      <c r="D113" s="1929" t="s">
        <v>1589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>
      <c r="A114" s="1921" t="s">
        <v>1257</v>
      </c>
      <c r="B114" s="1921" t="s">
        <v>803</v>
      </c>
      <c r="C114" s="1927" t="s">
        <v>2002</v>
      </c>
      <c r="D114" s="1927" t="s">
        <v>2003</v>
      </c>
      <c r="E114" s="1921" t="s">
        <v>1360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>
      <c r="A115" s="1921" t="s">
        <v>1260</v>
      </c>
      <c r="B115" s="1921" t="s">
        <v>1463</v>
      </c>
      <c r="C115" s="1927" t="s">
        <v>2004</v>
      </c>
      <c r="D115" s="1927" t="s">
        <v>2005</v>
      </c>
      <c r="E115" s="1921" t="s">
        <v>1363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>
      <c r="A116" s="1921" t="s">
        <v>1386</v>
      </c>
      <c r="B116" s="1921" t="s">
        <v>1464</v>
      </c>
      <c r="C116" s="1927" t="s">
        <v>1582</v>
      </c>
      <c r="D116" s="1927" t="s">
        <v>810</v>
      </c>
      <c r="E116" s="1921" t="s">
        <v>1256</v>
      </c>
      <c r="F116" s="1922">
        <v>27169800</v>
      </c>
      <c r="G116" s="1922">
        <v>0</v>
      </c>
      <c r="H116" s="1922">
        <f t="shared" si="15"/>
        <v>0</v>
      </c>
    </row>
    <row r="117" spans="1:8" outlineLevel="1">
      <c r="A117" s="1921" t="s">
        <v>1263</v>
      </c>
      <c r="B117" s="1921" t="s">
        <v>1465</v>
      </c>
      <c r="C117" s="1927" t="s">
        <v>2006</v>
      </c>
      <c r="D117" s="1927" t="s">
        <v>2007</v>
      </c>
      <c r="E117" s="1921" t="s">
        <v>1266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>
      <c r="A118" s="1921" t="s">
        <v>1267</v>
      </c>
      <c r="B118" s="1921" t="s">
        <v>1466</v>
      </c>
      <c r="C118" s="1927" t="s">
        <v>2008</v>
      </c>
      <c r="D118" s="1927" t="s">
        <v>2009</v>
      </c>
      <c r="E118" s="1921" t="s">
        <v>1270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>
      <c r="A119" s="1928" t="s">
        <v>1518</v>
      </c>
      <c r="B119" s="1928"/>
      <c r="C119" s="1929" t="s">
        <v>2010</v>
      </c>
      <c r="D119" s="1929" t="s">
        <v>2011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>
      <c r="A120" s="1921" t="s">
        <v>1257</v>
      </c>
      <c r="B120" s="1921" t="s">
        <v>803</v>
      </c>
      <c r="C120" s="1927" t="s">
        <v>2012</v>
      </c>
      <c r="D120" s="1927" t="s">
        <v>2013</v>
      </c>
      <c r="E120" s="1921" t="s">
        <v>1360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>
      <c r="A121" s="1921" t="s">
        <v>1260</v>
      </c>
      <c r="B121" s="1921" t="s">
        <v>1463</v>
      </c>
      <c r="C121" s="1927" t="s">
        <v>2014</v>
      </c>
      <c r="D121" s="1927" t="s">
        <v>2015</v>
      </c>
      <c r="E121" s="1921" t="s">
        <v>1363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>
      <c r="A122" s="1921" t="s">
        <v>1386</v>
      </c>
      <c r="B122" s="1921" t="s">
        <v>1464</v>
      </c>
      <c r="C122" s="1927" t="s">
        <v>1582</v>
      </c>
      <c r="D122" s="1927" t="s">
        <v>810</v>
      </c>
      <c r="E122" s="1921" t="s">
        <v>1256</v>
      </c>
      <c r="F122" s="1922">
        <v>27169800</v>
      </c>
      <c r="G122" s="1922">
        <v>0</v>
      </c>
      <c r="H122" s="1922">
        <f t="shared" si="17"/>
        <v>0</v>
      </c>
    </row>
    <row r="123" spans="1:8" outlineLevel="1">
      <c r="A123" s="1921" t="s">
        <v>1263</v>
      </c>
      <c r="B123" s="1921" t="s">
        <v>1465</v>
      </c>
      <c r="C123" s="1927" t="s">
        <v>2016</v>
      </c>
      <c r="D123" s="1927" t="s">
        <v>2017</v>
      </c>
      <c r="E123" s="1921" t="s">
        <v>1266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>
      <c r="A124" s="1921" t="s">
        <v>1267</v>
      </c>
      <c r="B124" s="1921" t="s">
        <v>1466</v>
      </c>
      <c r="C124" s="1927" t="s">
        <v>2018</v>
      </c>
      <c r="D124" s="1927" t="s">
        <v>2019</v>
      </c>
      <c r="E124" s="1921" t="s">
        <v>1270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>
      <c r="A125" s="1928" t="s">
        <v>1519</v>
      </c>
      <c r="B125" s="1928"/>
      <c r="C125" s="1929" t="s">
        <v>2020</v>
      </c>
      <c r="D125" s="1929" t="s">
        <v>2021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>
      <c r="A126" s="1921" t="s">
        <v>1257</v>
      </c>
      <c r="B126" s="1921" t="s">
        <v>803</v>
      </c>
      <c r="C126" s="1927" t="s">
        <v>2022</v>
      </c>
      <c r="D126" s="1927" t="s">
        <v>2023</v>
      </c>
      <c r="E126" s="1921" t="s">
        <v>1360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>
      <c r="A127" s="1921" t="s">
        <v>1260</v>
      </c>
      <c r="B127" s="1921" t="s">
        <v>1463</v>
      </c>
      <c r="C127" s="1927" t="s">
        <v>2024</v>
      </c>
      <c r="D127" s="1927" t="s">
        <v>2025</v>
      </c>
      <c r="E127" s="1921" t="s">
        <v>1363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>
      <c r="A128" s="1921" t="s">
        <v>1386</v>
      </c>
      <c r="B128" s="1921" t="s">
        <v>1464</v>
      </c>
      <c r="C128" s="1927" t="s">
        <v>2026</v>
      </c>
      <c r="D128" s="1927" t="s">
        <v>2027</v>
      </c>
      <c r="E128" s="1921" t="s">
        <v>1256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>
      <c r="A129" s="1921" t="s">
        <v>1263</v>
      </c>
      <c r="B129" s="1921" t="s">
        <v>1465</v>
      </c>
      <c r="C129" s="1927" t="s">
        <v>2028</v>
      </c>
      <c r="D129" s="1927" t="s">
        <v>2029</v>
      </c>
      <c r="E129" s="1921" t="s">
        <v>1266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>
      <c r="A130" s="1921" t="s">
        <v>1267</v>
      </c>
      <c r="B130" s="1921" t="s">
        <v>1466</v>
      </c>
      <c r="C130" s="1927" t="s">
        <v>2030</v>
      </c>
      <c r="D130" s="1927" t="s">
        <v>2031</v>
      </c>
      <c r="E130" s="1921" t="s">
        <v>1270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>
      <c r="A131" s="1928" t="s">
        <v>1520</v>
      </c>
      <c r="B131" s="1928"/>
      <c r="C131" s="1929" t="s">
        <v>2032</v>
      </c>
      <c r="D131" s="1929" t="s">
        <v>2033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>
      <c r="A132" s="1921" t="s">
        <v>1257</v>
      </c>
      <c r="B132" s="1921" t="s">
        <v>803</v>
      </c>
      <c r="C132" s="1927" t="s">
        <v>2034</v>
      </c>
      <c r="D132" s="1927" t="s">
        <v>2035</v>
      </c>
      <c r="E132" s="1921" t="s">
        <v>1360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>
      <c r="A133" s="1921" t="s">
        <v>1260</v>
      </c>
      <c r="B133" s="1921" t="s">
        <v>1463</v>
      </c>
      <c r="C133" s="1927" t="s">
        <v>2036</v>
      </c>
      <c r="D133" s="1927" t="s">
        <v>2037</v>
      </c>
      <c r="E133" s="1921" t="s">
        <v>1363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>
      <c r="A134" s="1921" t="s">
        <v>1386</v>
      </c>
      <c r="B134" s="1921" t="s">
        <v>1464</v>
      </c>
      <c r="C134" s="1927" t="s">
        <v>2026</v>
      </c>
      <c r="D134" s="1927" t="s">
        <v>810</v>
      </c>
      <c r="E134" s="1921" t="s">
        <v>1256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>
      <c r="A135" s="1921" t="s">
        <v>1263</v>
      </c>
      <c r="B135" s="1921" t="s">
        <v>1465</v>
      </c>
      <c r="C135" s="1927" t="s">
        <v>2038</v>
      </c>
      <c r="D135" s="1927" t="s">
        <v>2039</v>
      </c>
      <c r="E135" s="1921" t="s">
        <v>1266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>
      <c r="A136" s="1921" t="s">
        <v>1267</v>
      </c>
      <c r="B136" s="1921" t="s">
        <v>1466</v>
      </c>
      <c r="C136" s="1927" t="s">
        <v>2040</v>
      </c>
      <c r="D136" s="1927" t="s">
        <v>2041</v>
      </c>
      <c r="E136" s="1921" t="s">
        <v>1270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>
      <c r="A137" s="1928" t="s">
        <v>1521</v>
      </c>
      <c r="B137" s="1928"/>
      <c r="C137" s="1929" t="s">
        <v>2042</v>
      </c>
      <c r="D137" s="1929" t="s">
        <v>2043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>
      <c r="A138" s="1921" t="s">
        <v>1257</v>
      </c>
      <c r="B138" s="1921" t="s">
        <v>803</v>
      </c>
      <c r="C138" s="1927" t="s">
        <v>2044</v>
      </c>
      <c r="D138" s="1927" t="s">
        <v>2045</v>
      </c>
      <c r="E138" s="1921" t="s">
        <v>1360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>
      <c r="A139" s="1921" t="s">
        <v>1260</v>
      </c>
      <c r="B139" s="1921" t="s">
        <v>1463</v>
      </c>
      <c r="C139" s="1927" t="s">
        <v>2046</v>
      </c>
      <c r="D139" s="1927" t="s">
        <v>2047</v>
      </c>
      <c r="E139" s="1921" t="s">
        <v>1363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>
      <c r="A140" s="1921" t="s">
        <v>1386</v>
      </c>
      <c r="B140" s="1921" t="s">
        <v>1464</v>
      </c>
      <c r="C140" s="1927" t="s">
        <v>2026</v>
      </c>
      <c r="D140" s="1927" t="s">
        <v>810</v>
      </c>
      <c r="E140" s="1921" t="s">
        <v>1256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>
      <c r="A141" s="1921" t="s">
        <v>1263</v>
      </c>
      <c r="B141" s="1921" t="s">
        <v>1465</v>
      </c>
      <c r="C141" s="1927" t="s">
        <v>2048</v>
      </c>
      <c r="D141" s="1927" t="s">
        <v>2049</v>
      </c>
      <c r="E141" s="1921" t="s">
        <v>1266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>
      <c r="A142" s="1921" t="s">
        <v>1267</v>
      </c>
      <c r="B142" s="1921" t="s">
        <v>1466</v>
      </c>
      <c r="C142" s="1927" t="s">
        <v>2050</v>
      </c>
      <c r="D142" s="1927" t="s">
        <v>2051</v>
      </c>
      <c r="E142" s="1921" t="s">
        <v>1270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>
      <c r="A143" s="1928" t="s">
        <v>1522</v>
      </c>
      <c r="B143" s="1928"/>
      <c r="C143" s="1929" t="s">
        <v>2052</v>
      </c>
      <c r="D143" s="1929" t="s">
        <v>2053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>
      <c r="A144" s="1921" t="s">
        <v>1257</v>
      </c>
      <c r="B144" s="1921" t="s">
        <v>803</v>
      </c>
      <c r="C144" s="1927" t="s">
        <v>2054</v>
      </c>
      <c r="D144" s="1927" t="s">
        <v>2055</v>
      </c>
      <c r="E144" s="1921" t="s">
        <v>1360</v>
      </c>
      <c r="F144" s="1922">
        <v>11818172</v>
      </c>
      <c r="G144" s="1922">
        <v>86580</v>
      </c>
      <c r="H144" s="1922">
        <f>+F138-F144</f>
        <v>909091</v>
      </c>
      <c r="J144" s="1922">
        <f>+F144</f>
        <v>11818172</v>
      </c>
      <c r="K144" s="1922">
        <f t="shared" ref="K144:L148" si="25">+G144+G138+G132+G126+G120+G114+G108+G102+G96+G90+G84+G78</f>
        <v>1172702</v>
      </c>
      <c r="L144" s="1922">
        <f t="shared" si="25"/>
        <v>10909092</v>
      </c>
    </row>
    <row r="145" spans="1:12">
      <c r="A145" s="1921" t="s">
        <v>1260</v>
      </c>
      <c r="B145" s="1921" t="s">
        <v>1463</v>
      </c>
      <c r="C145" s="1927" t="s">
        <v>2056</v>
      </c>
      <c r="D145" s="1927" t="s">
        <v>2057</v>
      </c>
      <c r="E145" s="1921" t="s">
        <v>1363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22">
        <f t="shared" ref="J145:J148" si="27">+F145</f>
        <v>72938360</v>
      </c>
      <c r="K145" s="1922">
        <f t="shared" si="25"/>
        <v>690754</v>
      </c>
      <c r="L145" s="1922">
        <f t="shared" si="25"/>
        <v>5118492</v>
      </c>
    </row>
    <row r="146" spans="1:12">
      <c r="A146" s="1921" t="s">
        <v>1386</v>
      </c>
      <c r="B146" s="1921" t="s">
        <v>1464</v>
      </c>
      <c r="C146" s="1927" t="s">
        <v>2058</v>
      </c>
      <c r="D146" s="1927" t="s">
        <v>2059</v>
      </c>
      <c r="E146" s="1921" t="s">
        <v>1256</v>
      </c>
      <c r="F146" s="1922">
        <v>26037720</v>
      </c>
      <c r="G146" s="1922">
        <v>132575</v>
      </c>
      <c r="H146" s="1922">
        <f t="shared" si="26"/>
        <v>566040</v>
      </c>
      <c r="J146" s="1922">
        <f t="shared" si="27"/>
        <v>26037720</v>
      </c>
      <c r="K146" s="1922">
        <f t="shared" si="25"/>
        <v>542625</v>
      </c>
      <c r="L146" s="1922">
        <f t="shared" si="25"/>
        <v>2264160</v>
      </c>
    </row>
    <row r="147" spans="1:12">
      <c r="A147" s="1921" t="s">
        <v>1263</v>
      </c>
      <c r="B147" s="1921" t="s">
        <v>1465</v>
      </c>
      <c r="C147" s="1927" t="s">
        <v>2060</v>
      </c>
      <c r="D147" s="1927" t="s">
        <v>2061</v>
      </c>
      <c r="E147" s="1921" t="s">
        <v>1266</v>
      </c>
      <c r="F147" s="1922">
        <v>13260000</v>
      </c>
      <c r="G147" s="1922">
        <v>87172</v>
      </c>
      <c r="H147" s="1922">
        <f t="shared" si="26"/>
        <v>60000</v>
      </c>
      <c r="J147" s="1922">
        <f t="shared" si="27"/>
        <v>13260000</v>
      </c>
      <c r="K147" s="1922">
        <f t="shared" si="25"/>
        <v>844603</v>
      </c>
      <c r="L147" s="1922">
        <f t="shared" si="25"/>
        <v>720000</v>
      </c>
    </row>
    <row r="148" spans="1:12">
      <c r="A148" s="1921" t="s">
        <v>1267</v>
      </c>
      <c r="B148" s="1921" t="s">
        <v>1466</v>
      </c>
      <c r="C148" s="1927" t="s">
        <v>2062</v>
      </c>
      <c r="D148" s="1927" t="s">
        <v>2063</v>
      </c>
      <c r="E148" s="1921" t="s">
        <v>1270</v>
      </c>
      <c r="F148" s="1922">
        <v>2083300</v>
      </c>
      <c r="G148" s="1922">
        <v>13743</v>
      </c>
      <c r="H148" s="1922">
        <f t="shared" si="26"/>
        <v>13890</v>
      </c>
      <c r="J148" s="1922">
        <f t="shared" si="27"/>
        <v>2083300</v>
      </c>
      <c r="K148" s="1922">
        <f t="shared" si="25"/>
        <v>187683</v>
      </c>
      <c r="L148" s="1922">
        <f t="shared" si="25"/>
        <v>166680</v>
      </c>
    </row>
    <row r="149" spans="1:12">
      <c r="A149" s="1930" t="s">
        <v>1523</v>
      </c>
      <c r="B149" s="1930"/>
      <c r="C149" s="1931" t="s">
        <v>2064</v>
      </c>
      <c r="D149" s="1931" t="s">
        <v>2065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26">
        <f>SUM(J144:J148)</f>
        <v>126137552</v>
      </c>
      <c r="K149" s="1926">
        <f t="shared" ref="K149:L149" si="29">SUM(K144:K148)</f>
        <v>3438367</v>
      </c>
      <c r="L149" s="1926">
        <f t="shared" si="29"/>
        <v>19178424</v>
      </c>
    </row>
    <row r="150" spans="1:12" outlineLevel="1">
      <c r="A150" s="1921" t="s">
        <v>1257</v>
      </c>
      <c r="B150" s="1921" t="s">
        <v>803</v>
      </c>
      <c r="C150" s="1927" t="s">
        <v>2066</v>
      </c>
      <c r="D150" s="1927" t="s">
        <v>2067</v>
      </c>
      <c r="E150" s="1921" t="s">
        <v>1360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>
      <c r="A151" s="1921" t="s">
        <v>1260</v>
      </c>
      <c r="B151" s="1921" t="s">
        <v>1463</v>
      </c>
      <c r="C151" s="1927" t="s">
        <v>2068</v>
      </c>
      <c r="D151" s="1927" t="s">
        <v>2069</v>
      </c>
      <c r="E151" s="1921" t="s">
        <v>1363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>
      <c r="A152" s="1921" t="s">
        <v>1386</v>
      </c>
      <c r="B152" s="1921" t="s">
        <v>1464</v>
      </c>
      <c r="C152" s="1927" t="s">
        <v>2058</v>
      </c>
      <c r="D152" s="1927" t="s">
        <v>810</v>
      </c>
      <c r="E152" s="1921" t="s">
        <v>1256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>
      <c r="A153" s="1921" t="s">
        <v>1263</v>
      </c>
      <c r="B153" s="1921" t="s">
        <v>1465</v>
      </c>
      <c r="C153" s="1927" t="s">
        <v>2070</v>
      </c>
      <c r="D153" s="1927" t="s">
        <v>2071</v>
      </c>
      <c r="E153" s="1921" t="s">
        <v>1266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>
      <c r="A154" s="1921" t="s">
        <v>1267</v>
      </c>
      <c r="B154" s="1921" t="s">
        <v>1466</v>
      </c>
      <c r="C154" s="1927" t="s">
        <v>2072</v>
      </c>
      <c r="D154" s="1927" t="s">
        <v>2073</v>
      </c>
      <c r="E154" s="1921" t="s">
        <v>1270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>
      <c r="A155" s="1928" t="s">
        <v>2000</v>
      </c>
      <c r="B155" s="1928"/>
      <c r="C155" s="1929" t="s">
        <v>2074</v>
      </c>
      <c r="D155" s="1929" t="s">
        <v>2075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>
      <c r="A156" s="1921" t="s">
        <v>1257</v>
      </c>
      <c r="B156" s="1921" t="s">
        <v>803</v>
      </c>
      <c r="C156" s="1927" t="s">
        <v>2089</v>
      </c>
      <c r="D156" s="1927" t="s">
        <v>2090</v>
      </c>
      <c r="E156" s="1921" t="s">
        <v>1360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>
      <c r="A157" s="1921" t="s">
        <v>1260</v>
      </c>
      <c r="B157" s="1921" t="s">
        <v>1463</v>
      </c>
      <c r="C157" s="1927" t="s">
        <v>2091</v>
      </c>
      <c r="D157" s="1927" t="s">
        <v>2092</v>
      </c>
      <c r="E157" s="1921" t="s">
        <v>1363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>
      <c r="A158" s="1921" t="s">
        <v>1386</v>
      </c>
      <c r="B158" s="1921" t="s">
        <v>1464</v>
      </c>
      <c r="C158" s="1927" t="s">
        <v>2058</v>
      </c>
      <c r="D158" s="1927" t="s">
        <v>810</v>
      </c>
      <c r="E158" s="1921" t="s">
        <v>1256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>
      <c r="A159" s="1921" t="s">
        <v>1263</v>
      </c>
      <c r="B159" s="1921" t="s">
        <v>1465</v>
      </c>
      <c r="C159" s="1927" t="s">
        <v>2093</v>
      </c>
      <c r="D159" s="1927" t="s">
        <v>2094</v>
      </c>
      <c r="E159" s="1921" t="s">
        <v>1266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>
      <c r="A160" s="1921" t="s">
        <v>1267</v>
      </c>
      <c r="B160" s="1921" t="s">
        <v>1466</v>
      </c>
      <c r="C160" s="1927" t="s">
        <v>2095</v>
      </c>
      <c r="D160" s="1927" t="s">
        <v>2096</v>
      </c>
      <c r="E160" s="1921" t="s">
        <v>1270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>
      <c r="A161" s="1928" t="s">
        <v>2001</v>
      </c>
      <c r="B161" s="1928"/>
      <c r="C161" s="1929" t="s">
        <v>2097</v>
      </c>
      <c r="D161" s="1929" t="s">
        <v>2098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>
      <c r="A162" s="1921" t="s">
        <v>1257</v>
      </c>
      <c r="B162" s="1921" t="s">
        <v>803</v>
      </c>
      <c r="C162" s="1927" t="s">
        <v>2107</v>
      </c>
      <c r="D162" s="1927" t="s">
        <v>2108</v>
      </c>
      <c r="E162" s="1921" t="s">
        <v>1360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2119</v>
      </c>
      <c r="J162" s="640"/>
    </row>
    <row r="163" spans="1:10" outlineLevel="1">
      <c r="A163" s="1921" t="s">
        <v>1260</v>
      </c>
      <c r="B163" s="1921" t="s">
        <v>1463</v>
      </c>
      <c r="C163" s="1927" t="s">
        <v>2109</v>
      </c>
      <c r="D163" s="1927" t="s">
        <v>2110</v>
      </c>
      <c r="E163" s="1921" t="s">
        <v>1363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2120</v>
      </c>
      <c r="J163" s="640"/>
    </row>
    <row r="164" spans="1:10" outlineLevel="1">
      <c r="A164" s="1921" t="s">
        <v>1386</v>
      </c>
      <c r="B164" s="1921" t="s">
        <v>1464</v>
      </c>
      <c r="C164" s="1927" t="s">
        <v>2111</v>
      </c>
      <c r="D164" s="1927" t="s">
        <v>2112</v>
      </c>
      <c r="E164" s="1921" t="s">
        <v>1256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>
      <c r="A165" s="1921" t="s">
        <v>1263</v>
      </c>
      <c r="B165" s="1921" t="s">
        <v>1465</v>
      </c>
      <c r="C165" s="1927" t="s">
        <v>2113</v>
      </c>
      <c r="D165" s="1927" t="s">
        <v>2114</v>
      </c>
      <c r="E165" s="1921" t="s">
        <v>1266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>
      <c r="A166" s="1921" t="s">
        <v>1267</v>
      </c>
      <c r="B166" s="1921" t="s">
        <v>1466</v>
      </c>
      <c r="C166" s="1927" t="s">
        <v>2115</v>
      </c>
      <c r="D166" s="1927" t="s">
        <v>2116</v>
      </c>
      <c r="E166" s="1921" t="s">
        <v>1270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>
      <c r="A167" s="1928" t="s">
        <v>2099</v>
      </c>
      <c r="B167" s="1928"/>
      <c r="C167" s="1929" t="s">
        <v>2117</v>
      </c>
      <c r="D167" s="1929" t="s">
        <v>2118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>
      <c r="A168" s="1921" t="s">
        <v>1257</v>
      </c>
      <c r="B168" s="1921" t="s">
        <v>803</v>
      </c>
      <c r="C168" s="1927" t="s">
        <v>2135</v>
      </c>
      <c r="D168" s="1927" t="s">
        <v>2136</v>
      </c>
      <c r="E168" s="1921" t="s">
        <v>1360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>
      <c r="A169" s="1921" t="s">
        <v>1260</v>
      </c>
      <c r="B169" s="1921" t="s">
        <v>1463</v>
      </c>
      <c r="C169" s="1927" t="s">
        <v>2137</v>
      </c>
      <c r="D169" s="1927" t="s">
        <v>2138</v>
      </c>
      <c r="E169" s="1921" t="s">
        <v>1363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>
      <c r="A170" s="1921" t="s">
        <v>1386</v>
      </c>
      <c r="B170" s="1921" t="s">
        <v>1464</v>
      </c>
      <c r="C170" s="1927" t="s">
        <v>2111</v>
      </c>
      <c r="D170" s="1927" t="s">
        <v>810</v>
      </c>
      <c r="E170" s="1921" t="s">
        <v>1256</v>
      </c>
      <c r="F170" s="1922">
        <v>25471680</v>
      </c>
      <c r="G170" s="1922">
        <v>0</v>
      </c>
      <c r="H170" s="1922">
        <f>+F164-F170</f>
        <v>3000</v>
      </c>
    </row>
    <row r="171" spans="1:10" outlineLevel="1">
      <c r="A171" s="1921" t="s">
        <v>1263</v>
      </c>
      <c r="B171" s="1921" t="s">
        <v>1465</v>
      </c>
      <c r="C171" s="1927" t="s">
        <v>2139</v>
      </c>
      <c r="D171" s="1927" t="s">
        <v>2140</v>
      </c>
      <c r="E171" s="1921" t="s">
        <v>1266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>
      <c r="A172" s="1921" t="s">
        <v>1267</v>
      </c>
      <c r="B172" s="1921" t="s">
        <v>1466</v>
      </c>
      <c r="C172" s="1927" t="s">
        <v>2141</v>
      </c>
      <c r="D172" s="1927" t="s">
        <v>2142</v>
      </c>
      <c r="E172" s="1921" t="s">
        <v>1270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>
      <c r="A173" s="1928" t="s">
        <v>2143</v>
      </c>
      <c r="B173" s="1928"/>
      <c r="C173" s="1929" t="s">
        <v>2144</v>
      </c>
      <c r="D173" s="1929" t="s">
        <v>2145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>
      <c r="A174" s="1921" t="s">
        <v>1257</v>
      </c>
      <c r="B174" s="1921" t="s">
        <v>803</v>
      </c>
      <c r="C174" s="1927" t="s">
        <v>2146</v>
      </c>
      <c r="D174" s="1927" t="s">
        <v>2147</v>
      </c>
      <c r="E174" s="1921" t="s">
        <v>1360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>
      <c r="A175" s="1921" t="s">
        <v>1260</v>
      </c>
      <c r="B175" s="1921" t="s">
        <v>1463</v>
      </c>
      <c r="C175" s="1927" t="s">
        <v>2148</v>
      </c>
      <c r="D175" s="1927" t="s">
        <v>2149</v>
      </c>
      <c r="E175" s="1921" t="s">
        <v>1363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>
      <c r="A176" s="1921" t="s">
        <v>1386</v>
      </c>
      <c r="B176" s="1921" t="s">
        <v>1464</v>
      </c>
      <c r="C176" s="1927" t="s">
        <v>2111</v>
      </c>
      <c r="D176" s="1927" t="s">
        <v>810</v>
      </c>
      <c r="E176" s="1921" t="s">
        <v>1256</v>
      </c>
      <c r="F176" s="1922">
        <v>25471680</v>
      </c>
      <c r="G176" s="1922">
        <v>0</v>
      </c>
      <c r="H176" s="1922">
        <f>+F170-F176</f>
        <v>0</v>
      </c>
    </row>
    <row r="177" spans="1:8" outlineLevel="1">
      <c r="A177" s="1921" t="s">
        <v>1263</v>
      </c>
      <c r="B177" s="1921" t="s">
        <v>1465</v>
      </c>
      <c r="C177" s="1927" t="s">
        <v>2150</v>
      </c>
      <c r="D177" s="1927" t="s">
        <v>2151</v>
      </c>
      <c r="E177" s="1921" t="s">
        <v>1266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>
      <c r="A178" s="1921" t="s">
        <v>1267</v>
      </c>
      <c r="B178" s="1921" t="s">
        <v>1466</v>
      </c>
      <c r="C178" s="1927" t="s">
        <v>2152</v>
      </c>
      <c r="D178" s="1927" t="s">
        <v>2153</v>
      </c>
      <c r="E178" s="1921" t="s">
        <v>1270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>
      <c r="A179" s="1928" t="s">
        <v>2154</v>
      </c>
      <c r="B179" s="1928"/>
      <c r="C179" s="1929" t="s">
        <v>2155</v>
      </c>
      <c r="D179" s="1929" t="s">
        <v>2156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>
      <c r="A180" s="1921" t="s">
        <v>1257</v>
      </c>
      <c r="B180" s="1921" t="s">
        <v>803</v>
      </c>
      <c r="C180" s="1927" t="s">
        <v>2157</v>
      </c>
      <c r="D180" s="1927" t="s">
        <v>2158</v>
      </c>
      <c r="E180" s="1921" t="s">
        <v>1360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>
      <c r="A181" s="1921" t="s">
        <v>1260</v>
      </c>
      <c r="B181" s="1921" t="s">
        <v>1463</v>
      </c>
      <c r="C181" s="1927" t="s">
        <v>2159</v>
      </c>
      <c r="D181" s="1927" t="s">
        <v>2160</v>
      </c>
      <c r="E181" s="1921" t="s">
        <v>1363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>
      <c r="A182" s="1921" t="s">
        <v>1386</v>
      </c>
      <c r="B182" s="1921" t="s">
        <v>1464</v>
      </c>
      <c r="C182" s="1927" t="s">
        <v>2161</v>
      </c>
      <c r="D182" s="1927" t="s">
        <v>2162</v>
      </c>
      <c r="E182" s="1921" t="s">
        <v>1256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>
      <c r="A183" s="1921" t="s">
        <v>1263</v>
      </c>
      <c r="B183" s="1921" t="s">
        <v>1465</v>
      </c>
      <c r="C183" s="1927" t="s">
        <v>2163</v>
      </c>
      <c r="D183" s="1927" t="s">
        <v>2164</v>
      </c>
      <c r="E183" s="1921" t="s">
        <v>1266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>
      <c r="A184" s="1921" t="s">
        <v>1267</v>
      </c>
      <c r="B184" s="1921" t="s">
        <v>1466</v>
      </c>
      <c r="C184" s="1927" t="s">
        <v>2165</v>
      </c>
      <c r="D184" s="1927" t="s">
        <v>2166</v>
      </c>
      <c r="E184" s="1921" t="s">
        <v>1270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>
      <c r="A185" s="1928" t="s">
        <v>2167</v>
      </c>
      <c r="B185" s="1928"/>
      <c r="C185" s="1929" t="s">
        <v>2168</v>
      </c>
      <c r="D185" s="1929" t="s">
        <v>2169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>
      <c r="A186" s="1921" t="s">
        <v>1257</v>
      </c>
      <c r="B186" s="1921" t="s">
        <v>803</v>
      </c>
      <c r="C186" s="1927" t="s">
        <v>2170</v>
      </c>
      <c r="D186" s="1927" t="s">
        <v>2171</v>
      </c>
      <c r="E186" s="1921" t="s">
        <v>1360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>
      <c r="A187" s="1921" t="s">
        <v>1260</v>
      </c>
      <c r="B187" s="1921" t="s">
        <v>1463</v>
      </c>
      <c r="C187" s="1927" t="s">
        <v>2172</v>
      </c>
      <c r="D187" s="1927" t="s">
        <v>2173</v>
      </c>
      <c r="E187" s="1921" t="s">
        <v>1363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>
      <c r="A188" s="1921" t="s">
        <v>1386</v>
      </c>
      <c r="B188" s="1921" t="s">
        <v>1464</v>
      </c>
      <c r="C188" s="1927" t="s">
        <v>2161</v>
      </c>
      <c r="D188" s="1927" t="s">
        <v>810</v>
      </c>
      <c r="E188" s="1921" t="s">
        <v>1256</v>
      </c>
      <c r="F188" s="1922">
        <v>24905640</v>
      </c>
      <c r="G188" s="1922">
        <v>0</v>
      </c>
      <c r="H188" s="1922">
        <f t="shared" si="43"/>
        <v>0</v>
      </c>
    </row>
    <row r="189" spans="1:8" outlineLevel="1">
      <c r="A189" s="1921" t="s">
        <v>1263</v>
      </c>
      <c r="B189" s="1921" t="s">
        <v>1465</v>
      </c>
      <c r="C189" s="1927" t="s">
        <v>2174</v>
      </c>
      <c r="D189" s="1927" t="s">
        <v>2175</v>
      </c>
      <c r="E189" s="1921" t="s">
        <v>1266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>
      <c r="A190" s="1921" t="s">
        <v>1267</v>
      </c>
      <c r="B190" s="1921" t="s">
        <v>1466</v>
      </c>
      <c r="C190" s="1927" t="s">
        <v>2176</v>
      </c>
      <c r="D190" s="1927" t="s">
        <v>2177</v>
      </c>
      <c r="E190" s="1921" t="s">
        <v>1270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>
      <c r="A191" s="1928" t="s">
        <v>2178</v>
      </c>
      <c r="B191" s="1928"/>
      <c r="C191" s="1929" t="s">
        <v>2179</v>
      </c>
      <c r="D191" s="1929" t="s">
        <v>2180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>
      <c r="A192" s="1932" t="s">
        <v>1267</v>
      </c>
      <c r="B192" s="1921" t="s">
        <v>1466</v>
      </c>
      <c r="C192" s="1933" t="s">
        <v>2262</v>
      </c>
      <c r="D192" s="1927" t="s">
        <v>2263</v>
      </c>
      <c r="E192" s="1921" t="s">
        <v>1270</v>
      </c>
      <c r="G192" s="1922">
        <v>12127</v>
      </c>
    </row>
    <row r="193" spans="1:8" outlineLevel="1">
      <c r="A193" s="1932" t="s">
        <v>1263</v>
      </c>
      <c r="B193" s="1921" t="s">
        <v>1465</v>
      </c>
      <c r="C193" s="1933" t="s">
        <v>2262</v>
      </c>
      <c r="D193" s="1927" t="s">
        <v>2264</v>
      </c>
      <c r="E193" s="1921" t="s">
        <v>1266</v>
      </c>
      <c r="G193" s="1922">
        <v>78402</v>
      </c>
    </row>
    <row r="194" spans="1:8" outlineLevel="1">
      <c r="A194" s="1934">
        <v>45167</v>
      </c>
      <c r="B194" s="1935" t="s">
        <v>2265</v>
      </c>
      <c r="C194" s="1936"/>
      <c r="D194" s="1936" t="s">
        <v>2266</v>
      </c>
      <c r="E194" s="1935"/>
      <c r="G194" s="1937">
        <v>90529</v>
      </c>
    </row>
    <row r="195" spans="1:8" outlineLevel="1">
      <c r="A195" s="1921" t="s">
        <v>1257</v>
      </c>
      <c r="B195" s="1921" t="s">
        <v>2267</v>
      </c>
      <c r="C195" s="1927" t="s">
        <v>2268</v>
      </c>
      <c r="D195" s="1927" t="s">
        <v>2269</v>
      </c>
      <c r="E195" s="1921" t="s">
        <v>1360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>
      <c r="A196" s="1921" t="s">
        <v>1260</v>
      </c>
      <c r="B196" s="1921" t="s">
        <v>2270</v>
      </c>
      <c r="C196" s="1927" t="s">
        <v>2271</v>
      </c>
      <c r="D196" s="1927" t="s">
        <v>2272</v>
      </c>
      <c r="E196" s="1921" t="s">
        <v>1363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>
      <c r="A197" s="1921" t="s">
        <v>1386</v>
      </c>
      <c r="B197" s="1921" t="s">
        <v>2273</v>
      </c>
      <c r="C197" s="1927" t="s">
        <v>2161</v>
      </c>
      <c r="D197" s="1927" t="s">
        <v>810</v>
      </c>
      <c r="E197" s="1921" t="s">
        <v>1256</v>
      </c>
      <c r="F197" s="1922">
        <v>24905640</v>
      </c>
      <c r="G197" s="1922">
        <v>0</v>
      </c>
      <c r="H197" s="1922">
        <f>+F188-F197</f>
        <v>0</v>
      </c>
    </row>
    <row r="198" spans="1:8" outlineLevel="1">
      <c r="A198" s="1921" t="s">
        <v>2274</v>
      </c>
      <c r="B198" s="1921" t="s">
        <v>2275</v>
      </c>
      <c r="C198" s="1938" t="s">
        <v>2440</v>
      </c>
      <c r="D198" s="1927" t="s">
        <v>2276</v>
      </c>
      <c r="E198" s="1921" t="s">
        <v>2441</v>
      </c>
      <c r="F198" s="1922">
        <v>100000000</v>
      </c>
      <c r="G198" s="1922">
        <v>7202</v>
      </c>
      <c r="H198" s="1922">
        <v>0</v>
      </c>
    </row>
    <row r="199" spans="1:8" outlineLevel="1">
      <c r="A199" s="1921" t="s">
        <v>2277</v>
      </c>
      <c r="B199" s="1921" t="s">
        <v>2442</v>
      </c>
      <c r="C199" s="1927" t="s">
        <v>2278</v>
      </c>
      <c r="D199" s="1927" t="s">
        <v>2279</v>
      </c>
      <c r="E199" s="1921" t="s">
        <v>2443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>
      <c r="A200" s="1928" t="s">
        <v>2280</v>
      </c>
      <c r="B200" s="1928"/>
      <c r="C200" s="1929" t="s">
        <v>2281</v>
      </c>
      <c r="D200" s="1929" t="s">
        <v>2282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>
      <c r="A201" s="1921" t="s">
        <v>1257</v>
      </c>
      <c r="B201" s="1921" t="s">
        <v>2267</v>
      </c>
      <c r="C201" s="1927" t="s">
        <v>2283</v>
      </c>
      <c r="D201" s="1927" t="s">
        <v>2284</v>
      </c>
      <c r="E201" s="1921" t="s">
        <v>1360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>
      <c r="A202" s="1921" t="s">
        <v>1260</v>
      </c>
      <c r="B202" s="1921" t="s">
        <v>2270</v>
      </c>
      <c r="C202" s="1927" t="s">
        <v>2285</v>
      </c>
      <c r="D202" s="1927" t="s">
        <v>2286</v>
      </c>
      <c r="E202" s="1921" t="s">
        <v>1363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>
      <c r="A203" s="1921" t="s">
        <v>1386</v>
      </c>
      <c r="B203" s="1921" t="s">
        <v>2273</v>
      </c>
      <c r="C203" s="1927" t="s">
        <v>2287</v>
      </c>
      <c r="D203" s="1927" t="s">
        <v>2288</v>
      </c>
      <c r="E203" s="1921" t="s">
        <v>1256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>
      <c r="A204" s="1921" t="s">
        <v>2274</v>
      </c>
      <c r="B204" s="1921" t="s">
        <v>2275</v>
      </c>
      <c r="C204" s="1938" t="s">
        <v>2440</v>
      </c>
      <c r="D204" s="1927" t="s">
        <v>2289</v>
      </c>
      <c r="E204" s="1921" t="s">
        <v>2441</v>
      </c>
      <c r="F204" s="1922">
        <v>100000000</v>
      </c>
      <c r="G204" s="1922">
        <v>43927</v>
      </c>
      <c r="H204" s="1922">
        <f>+F198-F204</f>
        <v>0</v>
      </c>
    </row>
    <row r="205" spans="1:8" outlineLevel="1">
      <c r="A205" s="1921" t="s">
        <v>2277</v>
      </c>
      <c r="B205" s="1921" t="s">
        <v>2442</v>
      </c>
      <c r="C205" s="1927" t="s">
        <v>2290</v>
      </c>
      <c r="D205" s="1927" t="s">
        <v>2291</v>
      </c>
      <c r="E205" s="1921" t="s">
        <v>2443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>
      <c r="A206" s="1928" t="s">
        <v>2292</v>
      </c>
      <c r="B206" s="1928"/>
      <c r="C206" s="1929" t="s">
        <v>2293</v>
      </c>
      <c r="D206" s="1929" t="s">
        <v>2294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>
      <c r="A207" s="1921" t="s">
        <v>1257</v>
      </c>
      <c r="B207" s="1921" t="s">
        <v>2267</v>
      </c>
      <c r="C207" s="1927" t="s">
        <v>2348</v>
      </c>
      <c r="D207" s="1927" t="s">
        <v>2349</v>
      </c>
      <c r="E207" s="1921" t="s">
        <v>1360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>
      <c r="A208" s="1921" t="s">
        <v>1260</v>
      </c>
      <c r="B208" s="1921" t="s">
        <v>2270</v>
      </c>
      <c r="C208" s="1927" t="s">
        <v>2350</v>
      </c>
      <c r="D208" s="1927" t="s">
        <v>2351</v>
      </c>
      <c r="E208" s="1921" t="s">
        <v>1363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>
      <c r="A209" s="1921" t="s">
        <v>1386</v>
      </c>
      <c r="B209" s="1921" t="s">
        <v>2273</v>
      </c>
      <c r="C209" s="1927" t="s">
        <v>2287</v>
      </c>
      <c r="D209" s="1927" t="s">
        <v>810</v>
      </c>
      <c r="E209" s="1921" t="s">
        <v>1256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>
      <c r="A210" s="1921" t="s">
        <v>2274</v>
      </c>
      <c r="B210" s="1921" t="s">
        <v>2275</v>
      </c>
      <c r="C210" s="1938" t="s">
        <v>2440</v>
      </c>
      <c r="D210" s="1927" t="s">
        <v>2352</v>
      </c>
      <c r="E210" s="1921" t="s">
        <v>2441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>
      <c r="A211" s="1921" t="s">
        <v>2277</v>
      </c>
      <c r="B211" s="1921" t="s">
        <v>2442</v>
      </c>
      <c r="C211" s="1927" t="s">
        <v>2353</v>
      </c>
      <c r="D211" s="1927" t="s">
        <v>2354</v>
      </c>
      <c r="E211" s="1921" t="s">
        <v>2443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>
      <c r="A212" s="1928" t="s">
        <v>2444</v>
      </c>
      <c r="B212" s="1928"/>
      <c r="C212" s="1929" t="s">
        <v>2445</v>
      </c>
      <c r="D212" s="1929" t="s">
        <v>2446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>
      <c r="A213" s="1921" t="s">
        <v>1257</v>
      </c>
      <c r="B213" s="1921" t="s">
        <v>2267</v>
      </c>
      <c r="C213" s="1927" t="s">
        <v>2447</v>
      </c>
      <c r="D213" s="1927" t="s">
        <v>2448</v>
      </c>
      <c r="E213" s="1921" t="s">
        <v>1360</v>
      </c>
      <c r="F213" s="1939">
        <v>1818171</v>
      </c>
      <c r="G213" s="1939">
        <v>17818</v>
      </c>
      <c r="H213" s="1922">
        <f>+F207-F213</f>
        <v>909091</v>
      </c>
    </row>
    <row r="214" spans="1:12" outlineLevel="1">
      <c r="A214" s="1921" t="s">
        <v>1260</v>
      </c>
      <c r="B214" s="1921" t="s">
        <v>2270</v>
      </c>
      <c r="C214" s="1927" t="s">
        <v>2449</v>
      </c>
      <c r="D214" s="1927" t="s">
        <v>2450</v>
      </c>
      <c r="E214" s="1921" t="s">
        <v>1363</v>
      </c>
      <c r="F214" s="1939">
        <v>68246409</v>
      </c>
      <c r="G214" s="1939">
        <v>51504</v>
      </c>
      <c r="H214" s="1922">
        <f>+F208-F214</f>
        <v>426541</v>
      </c>
    </row>
    <row r="215" spans="1:12" outlineLevel="1">
      <c r="A215" s="1921" t="s">
        <v>1386</v>
      </c>
      <c r="B215" s="1921" t="s">
        <v>2273</v>
      </c>
      <c r="C215" s="1927" t="s">
        <v>2287</v>
      </c>
      <c r="D215" s="1927" t="s">
        <v>810</v>
      </c>
      <c r="E215" s="1921" t="s">
        <v>1256</v>
      </c>
      <c r="F215" s="1939">
        <v>24339600</v>
      </c>
      <c r="G215" s="1939">
        <v>0</v>
      </c>
      <c r="H215" s="1922">
        <f>+F209-F215</f>
        <v>0</v>
      </c>
    </row>
    <row r="216" spans="1:12" outlineLevel="1">
      <c r="A216" s="1921" t="s">
        <v>2274</v>
      </c>
      <c r="B216" s="1921" t="s">
        <v>2275</v>
      </c>
      <c r="C216" s="1940" t="s">
        <v>2451</v>
      </c>
      <c r="D216" s="1927" t="s">
        <v>2452</v>
      </c>
      <c r="E216" s="1921" t="s">
        <v>2441</v>
      </c>
      <c r="F216" s="1939">
        <v>100000000</v>
      </c>
      <c r="G216" s="1939">
        <v>133480</v>
      </c>
      <c r="H216" s="1922">
        <f>+F210-F216</f>
        <v>0</v>
      </c>
    </row>
    <row r="217" spans="1:12" outlineLevel="1">
      <c r="A217" s="1921" t="s">
        <v>2277</v>
      </c>
      <c r="B217" s="1921" t="s">
        <v>2442</v>
      </c>
      <c r="C217" s="1927" t="s">
        <v>2453</v>
      </c>
      <c r="D217" s="1927" t="s">
        <v>2454</v>
      </c>
      <c r="E217" s="1921" t="s">
        <v>2443</v>
      </c>
      <c r="F217" s="1939">
        <v>14598851</v>
      </c>
      <c r="G217" s="1939">
        <v>59721</v>
      </c>
      <c r="H217" s="1922">
        <f>+F211-F217</f>
        <v>56804</v>
      </c>
    </row>
    <row r="218" spans="1:12" outlineLevel="1">
      <c r="A218" s="1928" t="s">
        <v>2455</v>
      </c>
      <c r="B218" s="1928"/>
      <c r="C218" s="1929" t="s">
        <v>2456</v>
      </c>
      <c r="D218" s="1929" t="s">
        <v>2457</v>
      </c>
      <c r="F218" s="1941">
        <f>SUM(F213:F217)</f>
        <v>209003031</v>
      </c>
      <c r="G218" s="1941">
        <f t="shared" ref="G218:H218" si="49">SUM(G213:G217)</f>
        <v>262523</v>
      </c>
      <c r="H218" s="1926">
        <f t="shared" si="49"/>
        <v>1392436</v>
      </c>
    </row>
    <row r="219" spans="1:12">
      <c r="A219" s="1921" t="s">
        <v>1257</v>
      </c>
      <c r="B219" s="1921" t="s">
        <v>2267</v>
      </c>
      <c r="C219" s="1927" t="s">
        <v>2447</v>
      </c>
      <c r="D219" s="1927" t="s">
        <v>810</v>
      </c>
      <c r="E219" s="1921" t="s">
        <v>1360</v>
      </c>
      <c r="F219" s="1939">
        <v>1818171</v>
      </c>
      <c r="G219" s="1939">
        <v>0</v>
      </c>
      <c r="H219" s="1922">
        <f>+F213-F219</f>
        <v>0</v>
      </c>
      <c r="J219" s="1922">
        <f>+F219</f>
        <v>1818171</v>
      </c>
      <c r="K219" s="1922">
        <f t="shared" ref="K219:L221" si="50">+G150+G156+G162+G168+G174+G180+G186+G195+G201+G207+G213+G219</f>
        <v>531882</v>
      </c>
      <c r="L219" s="1922">
        <f t="shared" si="50"/>
        <v>10000001</v>
      </c>
    </row>
    <row r="220" spans="1:12">
      <c r="A220" s="1921" t="s">
        <v>1260</v>
      </c>
      <c r="B220" s="1921" t="s">
        <v>2270</v>
      </c>
      <c r="C220" s="1927" t="s">
        <v>2458</v>
      </c>
      <c r="D220" s="1927" t="s">
        <v>2459</v>
      </c>
      <c r="E220" s="1921" t="s">
        <v>1363</v>
      </c>
      <c r="F220" s="1939">
        <v>67819868</v>
      </c>
      <c r="G220" s="1939">
        <v>52890</v>
      </c>
      <c r="H220" s="1922">
        <f t="shared" ref="H220:H223" si="51">+F214-F220</f>
        <v>426541</v>
      </c>
      <c r="J220" s="1922">
        <f t="shared" ref="J220:J223" si="52">+F220</f>
        <v>67819868</v>
      </c>
      <c r="K220" s="1922">
        <f t="shared" si="50"/>
        <v>644049</v>
      </c>
      <c r="L220" s="1922">
        <f t="shared" si="50"/>
        <v>5118492</v>
      </c>
    </row>
    <row r="221" spans="1:12">
      <c r="A221" s="1921" t="s">
        <v>1386</v>
      </c>
      <c r="B221" s="1921" t="s">
        <v>2273</v>
      </c>
      <c r="C221" s="1927" t="s">
        <v>2460</v>
      </c>
      <c r="D221" s="1927" t="s">
        <v>2461</v>
      </c>
      <c r="E221" s="1921" t="s">
        <v>1256</v>
      </c>
      <c r="F221" s="1939">
        <v>23773560</v>
      </c>
      <c r="G221" s="1939">
        <v>122610</v>
      </c>
      <c r="H221" s="1922">
        <f t="shared" si="51"/>
        <v>566040</v>
      </c>
      <c r="J221" s="1922">
        <f t="shared" si="52"/>
        <v>23773560</v>
      </c>
      <c r="K221" s="1922">
        <f t="shared" si="50"/>
        <v>497861</v>
      </c>
      <c r="L221" s="1922">
        <f t="shared" si="50"/>
        <v>2264160</v>
      </c>
    </row>
    <row r="222" spans="1:12">
      <c r="A222" s="1921" t="s">
        <v>2274</v>
      </c>
      <c r="B222" s="1921" t="s">
        <v>2275</v>
      </c>
      <c r="C222" s="1940" t="s">
        <v>2451</v>
      </c>
      <c r="D222" s="1927" t="s">
        <v>2462</v>
      </c>
      <c r="E222" s="1921" t="s">
        <v>2441</v>
      </c>
      <c r="F222" s="1939">
        <v>47385571</v>
      </c>
      <c r="G222" s="1939">
        <v>124222</v>
      </c>
      <c r="H222" s="1922">
        <f t="shared" si="51"/>
        <v>52614429</v>
      </c>
      <c r="J222" s="1922">
        <f t="shared" si="52"/>
        <v>47385571</v>
      </c>
      <c r="K222" s="1922">
        <f>+G198+G204+G210+G216+G222</f>
        <v>389641</v>
      </c>
      <c r="L222" s="1922">
        <f>+H198+H204+H210+H216+H222</f>
        <v>52614429</v>
      </c>
    </row>
    <row r="223" spans="1:12">
      <c r="A223" s="1921" t="s">
        <v>2277</v>
      </c>
      <c r="B223" s="1921" t="s">
        <v>2442</v>
      </c>
      <c r="C223" s="1927" t="s">
        <v>2463</v>
      </c>
      <c r="D223" s="1927" t="s">
        <v>2464</v>
      </c>
      <c r="E223" s="1921" t="s">
        <v>2443</v>
      </c>
      <c r="F223" s="1939">
        <v>14542045</v>
      </c>
      <c r="G223" s="1939">
        <v>61473</v>
      </c>
      <c r="H223" s="1922">
        <f t="shared" si="51"/>
        <v>56806</v>
      </c>
      <c r="J223" s="1922">
        <f t="shared" si="52"/>
        <v>14542045</v>
      </c>
      <c r="K223" s="1922">
        <f>+G154+G160+G166+G172+G178+G184+G190+G199+G205+G211+G217+G223+G194+G189+G183+G177+G171+G165+G159+G153</f>
        <v>1015095</v>
      </c>
      <c r="L223" s="1922">
        <f>+H154+H160+H166+H172+H178+H184+H190+H199+H205+H211+H217+H223+H194+H189+H183+H177+H171+H165+H159+H153</f>
        <v>801255</v>
      </c>
    </row>
    <row r="224" spans="1:12">
      <c r="A224" s="1928" t="s">
        <v>2465</v>
      </c>
      <c r="B224" s="1928"/>
      <c r="C224" s="1929" t="s">
        <v>2466</v>
      </c>
      <c r="D224" s="1929" t="s">
        <v>2467</v>
      </c>
      <c r="F224" s="1941">
        <f>SUM(F219:F223)</f>
        <v>155339215</v>
      </c>
      <c r="G224" s="1941">
        <f t="shared" ref="G224:H224" si="53">SUM(G219:G223)</f>
        <v>361195</v>
      </c>
      <c r="H224" s="1926">
        <f t="shared" si="53"/>
        <v>53663816</v>
      </c>
      <c r="J224" s="1926">
        <f>SUM(J219:J223)</f>
        <v>155339215</v>
      </c>
      <c r="K224" s="1926">
        <f t="shared" ref="K224:L224" si="54">SUM(K219:K223)</f>
        <v>3078528</v>
      </c>
      <c r="L224" s="1926">
        <f t="shared" si="54"/>
        <v>70798337</v>
      </c>
    </row>
    <row r="225" spans="1:10" outlineLevel="1">
      <c r="A225" s="1932" t="s">
        <v>1257</v>
      </c>
      <c r="B225" s="1932" t="s">
        <v>2267</v>
      </c>
      <c r="C225" s="1942" t="s">
        <v>810</v>
      </c>
      <c r="D225" s="1943" t="s">
        <v>2468</v>
      </c>
      <c r="E225" s="1921" t="s">
        <v>1360</v>
      </c>
      <c r="F225" s="1922">
        <v>0</v>
      </c>
      <c r="G225" s="1922">
        <v>18255</v>
      </c>
      <c r="H225" s="1922">
        <f>+F219-F225</f>
        <v>1818171</v>
      </c>
    </row>
    <row r="226" spans="1:10" outlineLevel="1">
      <c r="A226" s="1921" t="s">
        <v>1260</v>
      </c>
      <c r="B226" s="1921" t="s">
        <v>2270</v>
      </c>
      <c r="C226" s="1944" t="s">
        <v>2469</v>
      </c>
      <c r="D226" s="1944" t="s">
        <v>2470</v>
      </c>
      <c r="E226" s="1921" t="s">
        <v>1363</v>
      </c>
      <c r="F226" s="1922">
        <v>67393327</v>
      </c>
      <c r="G226" s="1922">
        <v>52560</v>
      </c>
      <c r="H226" s="1922">
        <f t="shared" ref="H226:H229" si="55">+F220-F226</f>
        <v>426541</v>
      </c>
    </row>
    <row r="227" spans="1:10" outlineLevel="1">
      <c r="A227" s="1921" t="s">
        <v>1386</v>
      </c>
      <c r="B227" s="1921" t="s">
        <v>2273</v>
      </c>
      <c r="C227" s="1944" t="s">
        <v>2460</v>
      </c>
      <c r="D227" s="1944" t="s">
        <v>810</v>
      </c>
      <c r="E227" s="1921" t="s">
        <v>1256</v>
      </c>
      <c r="F227" s="1922">
        <v>23773560</v>
      </c>
      <c r="G227" s="1922">
        <v>0</v>
      </c>
      <c r="H227" s="1922">
        <f t="shared" si="55"/>
        <v>0</v>
      </c>
    </row>
    <row r="228" spans="1:10" outlineLevel="1">
      <c r="A228" s="1921" t="s">
        <v>2274</v>
      </c>
      <c r="B228" s="1921" t="s">
        <v>2275</v>
      </c>
      <c r="C228" s="1945" t="s">
        <v>2471</v>
      </c>
      <c r="D228" s="1944" t="s">
        <v>2472</v>
      </c>
      <c r="E228" s="1921" t="s">
        <v>2441</v>
      </c>
      <c r="F228" s="1922">
        <v>47385571</v>
      </c>
      <c r="G228" s="1922">
        <v>7581</v>
      </c>
      <c r="H228" s="1922">
        <f t="shared" si="55"/>
        <v>0</v>
      </c>
    </row>
    <row r="229" spans="1:10" outlineLevel="1">
      <c r="A229" s="1921" t="s">
        <v>2277</v>
      </c>
      <c r="B229" s="1921" t="s">
        <v>2442</v>
      </c>
      <c r="C229" s="1944" t="s">
        <v>2473</v>
      </c>
      <c r="D229" s="1944" t="s">
        <v>2474</v>
      </c>
      <c r="E229" s="1921" t="s">
        <v>2443</v>
      </c>
      <c r="F229" s="1922">
        <v>14485240</v>
      </c>
      <c r="G229" s="1922">
        <v>61234</v>
      </c>
      <c r="H229" s="1922">
        <f t="shared" si="55"/>
        <v>56805</v>
      </c>
      <c r="J229" s="1921">
        <f>+H229*12</f>
        <v>681660</v>
      </c>
    </row>
    <row r="230" spans="1:10" outlineLevel="1">
      <c r="A230" s="1928" t="s">
        <v>2475</v>
      </c>
      <c r="B230" s="1928"/>
      <c r="C230" s="1946" t="s">
        <v>2476</v>
      </c>
      <c r="D230" s="1946" t="s">
        <v>2477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>
      <c r="A231" s="1921" t="s">
        <v>1260</v>
      </c>
      <c r="B231" s="1921" t="s">
        <v>2270</v>
      </c>
      <c r="C231" s="1944" t="s">
        <v>2478</v>
      </c>
      <c r="D231" s="1944" t="s">
        <v>2479</v>
      </c>
      <c r="E231" s="1921" t="s">
        <v>1363</v>
      </c>
      <c r="F231" s="1922">
        <v>66966786</v>
      </c>
      <c r="G231" s="1922">
        <v>48860</v>
      </c>
      <c r="H231" s="1922">
        <f>+F226-F231</f>
        <v>426541</v>
      </c>
    </row>
    <row r="232" spans="1:10" outlineLevel="1">
      <c r="A232" s="1921" t="s">
        <v>1386</v>
      </c>
      <c r="B232" s="1921" t="s">
        <v>2273</v>
      </c>
      <c r="C232" s="1944" t="s">
        <v>2460</v>
      </c>
      <c r="D232" s="1944" t="s">
        <v>810</v>
      </c>
      <c r="E232" s="1921" t="s">
        <v>1256</v>
      </c>
      <c r="F232" s="1922">
        <v>23773560</v>
      </c>
      <c r="G232" s="1922">
        <v>0</v>
      </c>
      <c r="H232" s="1922">
        <f t="shared" ref="H232:H234" si="57">+F227-F232</f>
        <v>0</v>
      </c>
    </row>
    <row r="233" spans="1:10" outlineLevel="1">
      <c r="A233" s="1921" t="s">
        <v>2274</v>
      </c>
      <c r="B233" s="1921" t="s">
        <v>2275</v>
      </c>
      <c r="C233" s="1944" t="s">
        <v>2471</v>
      </c>
      <c r="D233" s="1944" t="s">
        <v>2480</v>
      </c>
      <c r="E233" s="1921" t="s">
        <v>2441</v>
      </c>
      <c r="F233" s="1922">
        <v>47385571</v>
      </c>
      <c r="G233" s="1922">
        <v>13037</v>
      </c>
      <c r="H233" s="1922">
        <f t="shared" si="57"/>
        <v>0</v>
      </c>
    </row>
    <row r="234" spans="1:10" outlineLevel="1">
      <c r="A234" s="1921" t="s">
        <v>2277</v>
      </c>
      <c r="B234" s="1921" t="s">
        <v>2442</v>
      </c>
      <c r="C234" s="1944" t="s">
        <v>2481</v>
      </c>
      <c r="D234" s="1944" t="s">
        <v>2482</v>
      </c>
      <c r="E234" s="1921" t="s">
        <v>2443</v>
      </c>
      <c r="F234" s="1922">
        <v>14428435</v>
      </c>
      <c r="G234" s="1922">
        <v>57059</v>
      </c>
      <c r="H234" s="1922">
        <f t="shared" si="57"/>
        <v>56805</v>
      </c>
    </row>
    <row r="235" spans="1:10" outlineLevel="1">
      <c r="A235" s="1928" t="s">
        <v>2483</v>
      </c>
      <c r="B235" s="1928"/>
      <c r="C235" s="1946" t="s">
        <v>2484</v>
      </c>
      <c r="D235" s="1946" t="s">
        <v>2485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>
      <c r="A236" s="1921" t="s">
        <v>1260</v>
      </c>
      <c r="B236" s="1921" t="s">
        <v>2270</v>
      </c>
      <c r="C236" s="1944" t="s">
        <v>2486</v>
      </c>
      <c r="D236" s="1944" t="s">
        <v>2487</v>
      </c>
      <c r="E236" s="1921" t="s">
        <v>1363</v>
      </c>
      <c r="F236" s="1922">
        <v>66540245</v>
      </c>
      <c r="G236" s="1922">
        <v>51899</v>
      </c>
      <c r="H236" s="1922">
        <f>+F231-F236</f>
        <v>426541</v>
      </c>
    </row>
    <row r="237" spans="1:10" outlineLevel="1">
      <c r="A237" s="1921" t="s">
        <v>1386</v>
      </c>
      <c r="B237" s="1921" t="s">
        <v>2273</v>
      </c>
      <c r="C237" s="1944" t="s">
        <v>2488</v>
      </c>
      <c r="D237" s="1944" t="s">
        <v>2489</v>
      </c>
      <c r="E237" s="1921" t="s">
        <v>1256</v>
      </c>
      <c r="F237" s="1922">
        <v>23207520</v>
      </c>
      <c r="G237" s="1922">
        <v>114608</v>
      </c>
      <c r="H237" s="1922">
        <f>+F232-F237</f>
        <v>566040</v>
      </c>
      <c r="J237" s="1921">
        <f>+H237*4</f>
        <v>2264160</v>
      </c>
    </row>
    <row r="238" spans="1:10" outlineLevel="1">
      <c r="A238" s="1921" t="s">
        <v>2274</v>
      </c>
      <c r="B238" s="1921" t="s">
        <v>2275</v>
      </c>
      <c r="C238" s="1944" t="s">
        <v>2490</v>
      </c>
      <c r="D238" s="1944" t="s">
        <v>2491</v>
      </c>
      <c r="E238" s="1921" t="s">
        <v>2492</v>
      </c>
      <c r="F238" s="1922">
        <v>52487461</v>
      </c>
      <c r="G238" s="1922">
        <v>18943</v>
      </c>
      <c r="H238" s="1922">
        <v>0</v>
      </c>
    </row>
    <row r="239" spans="1:10" outlineLevel="1">
      <c r="A239" s="1921" t="s">
        <v>2277</v>
      </c>
      <c r="B239" s="1921" t="s">
        <v>2442</v>
      </c>
      <c r="C239" s="1944" t="s">
        <v>2493</v>
      </c>
      <c r="D239" s="1944" t="s">
        <v>2494</v>
      </c>
      <c r="E239" s="1921" t="s">
        <v>2495</v>
      </c>
      <c r="F239" s="1922">
        <v>14371631</v>
      </c>
      <c r="G239" s="1922">
        <v>60755</v>
      </c>
      <c r="H239" s="1922">
        <f t="shared" ref="H239" si="59">+F234-F239</f>
        <v>56804</v>
      </c>
    </row>
    <row r="240" spans="1:10" outlineLevel="1">
      <c r="A240" s="1928" t="s">
        <v>2496</v>
      </c>
      <c r="B240" s="1928"/>
      <c r="C240" s="1946" t="s">
        <v>2497</v>
      </c>
      <c r="D240" s="1946" t="s">
        <v>2498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11" outlineLevel="1">
      <c r="A241" s="1921" t="s">
        <v>1260</v>
      </c>
      <c r="B241" s="1921" t="s">
        <v>2270</v>
      </c>
      <c r="C241" s="1944" t="s">
        <v>2499</v>
      </c>
      <c r="D241" s="1944" t="s">
        <v>2500</v>
      </c>
      <c r="E241" s="1921" t="s">
        <v>1363</v>
      </c>
      <c r="F241" s="1922">
        <v>66113704</v>
      </c>
      <c r="G241" s="1922">
        <v>49905</v>
      </c>
      <c r="H241" s="1922">
        <f>+F236-F241</f>
        <v>426541</v>
      </c>
    </row>
    <row r="242" spans="1:11" outlineLevel="1">
      <c r="A242" s="1921" t="s">
        <v>1386</v>
      </c>
      <c r="B242" s="1921" t="s">
        <v>2273</v>
      </c>
      <c r="C242" s="1944" t="s">
        <v>2488</v>
      </c>
      <c r="D242" s="1944" t="s">
        <v>810</v>
      </c>
      <c r="E242" s="1921" t="s">
        <v>1256</v>
      </c>
      <c r="F242" s="1922">
        <v>23207520</v>
      </c>
      <c r="G242" s="1922">
        <v>0</v>
      </c>
      <c r="H242" s="1922">
        <f>+F237-F242</f>
        <v>0</v>
      </c>
    </row>
    <row r="243" spans="1:11" outlineLevel="1">
      <c r="A243" s="1921" t="s">
        <v>2274</v>
      </c>
      <c r="B243" s="1921" t="s">
        <v>2275</v>
      </c>
      <c r="C243" s="1944" t="s">
        <v>2501</v>
      </c>
      <c r="D243" s="1944" t="s">
        <v>2502</v>
      </c>
      <c r="E243" s="1921" t="s">
        <v>2441</v>
      </c>
      <c r="F243" s="1922">
        <v>64146313</v>
      </c>
      <c r="G243" s="1922">
        <v>43989</v>
      </c>
      <c r="H243" s="1922">
        <v>0</v>
      </c>
    </row>
    <row r="244" spans="1:11" outlineLevel="1">
      <c r="A244" s="1921" t="s">
        <v>2277</v>
      </c>
      <c r="B244" s="1921" t="s">
        <v>2442</v>
      </c>
      <c r="C244" s="1944" t="s">
        <v>2503</v>
      </c>
      <c r="D244" s="1944" t="s">
        <v>2504</v>
      </c>
      <c r="E244" s="1921" t="s">
        <v>2443</v>
      </c>
      <c r="F244" s="1922">
        <v>14314826</v>
      </c>
      <c r="G244" s="1922">
        <v>58564</v>
      </c>
      <c r="H244" s="1922">
        <f t="shared" ref="H244" si="61">+F239-F244</f>
        <v>56805</v>
      </c>
    </row>
    <row r="245" spans="1:11" outlineLevel="1">
      <c r="A245" s="1928" t="s">
        <v>2505</v>
      </c>
      <c r="B245" s="1928"/>
      <c r="C245" s="1946" t="s">
        <v>2506</v>
      </c>
      <c r="D245" s="1946" t="s">
        <v>2507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11" outlineLevel="1">
      <c r="A246" s="1921" t="s">
        <v>1260</v>
      </c>
      <c r="B246" s="1921" t="s">
        <v>2270</v>
      </c>
      <c r="C246" s="1944" t="s">
        <v>2508</v>
      </c>
      <c r="D246" s="1944" t="s">
        <v>2509</v>
      </c>
      <c r="E246" s="1921" t="s">
        <v>1363</v>
      </c>
      <c r="F246" s="1922">
        <v>65687163</v>
      </c>
      <c r="G246" s="1922">
        <v>51238</v>
      </c>
      <c r="H246" s="1922">
        <f>+F241-F246</f>
        <v>426541</v>
      </c>
    </row>
    <row r="247" spans="1:11" outlineLevel="1">
      <c r="A247" s="1921" t="s">
        <v>1386</v>
      </c>
      <c r="B247" s="1921" t="s">
        <v>2273</v>
      </c>
      <c r="C247" s="1944" t="s">
        <v>2488</v>
      </c>
      <c r="D247" s="1944" t="s">
        <v>810</v>
      </c>
      <c r="E247" s="1921" t="s">
        <v>1256</v>
      </c>
      <c r="F247" s="1922">
        <v>23207520</v>
      </c>
      <c r="G247" s="1922">
        <v>0</v>
      </c>
      <c r="H247" s="1922">
        <f>+F242-F247</f>
        <v>0</v>
      </c>
    </row>
    <row r="248" spans="1:11" outlineLevel="1">
      <c r="A248" s="1921" t="s">
        <v>2274</v>
      </c>
      <c r="B248" s="1921" t="s">
        <v>2275</v>
      </c>
      <c r="C248" s="1944" t="s">
        <v>2510</v>
      </c>
      <c r="D248" s="1944" t="s">
        <v>2511</v>
      </c>
      <c r="E248" s="1921" t="s">
        <v>2441</v>
      </c>
      <c r="F248" s="1922">
        <v>72997128</v>
      </c>
      <c r="G248" s="1922">
        <v>65266</v>
      </c>
      <c r="H248" s="1922">
        <v>0</v>
      </c>
    </row>
    <row r="249" spans="1:11" outlineLevel="1">
      <c r="A249" s="1921" t="s">
        <v>2277</v>
      </c>
      <c r="B249" s="1921" t="s">
        <v>2442</v>
      </c>
      <c r="C249" s="1944" t="s">
        <v>2512</v>
      </c>
      <c r="D249" s="1944" t="s">
        <v>2513</v>
      </c>
      <c r="E249" s="1921" t="s">
        <v>2443</v>
      </c>
      <c r="F249" s="1922">
        <v>14258021</v>
      </c>
      <c r="G249" s="1922">
        <v>60277</v>
      </c>
      <c r="H249" s="1922">
        <f t="shared" ref="H249" si="63">+F244-F249</f>
        <v>56805</v>
      </c>
    </row>
    <row r="250" spans="1:11" outlineLevel="1">
      <c r="A250" s="1928" t="s">
        <v>2514</v>
      </c>
      <c r="B250" s="1928"/>
      <c r="C250" s="1946" t="s">
        <v>2515</v>
      </c>
      <c r="D250" s="1946" t="s">
        <v>2516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11" outlineLevel="1">
      <c r="A251" s="1921" t="s">
        <v>1260</v>
      </c>
      <c r="B251" s="1921" t="s">
        <v>2270</v>
      </c>
      <c r="C251" s="1944" t="s">
        <v>2517</v>
      </c>
      <c r="D251" s="1944" t="s">
        <v>2518</v>
      </c>
      <c r="E251" s="1921" t="s">
        <v>1363</v>
      </c>
      <c r="F251" s="1922">
        <v>65260622</v>
      </c>
      <c r="G251" s="1922">
        <v>49265</v>
      </c>
      <c r="H251" s="1922">
        <f>+F246-F251</f>
        <v>426541</v>
      </c>
    </row>
    <row r="252" spans="1:11" outlineLevel="1">
      <c r="A252" s="1921" t="s">
        <v>1386</v>
      </c>
      <c r="B252" s="1921" t="s">
        <v>2273</v>
      </c>
      <c r="C252" s="1944" t="s">
        <v>2519</v>
      </c>
      <c r="D252" s="1944" t="s">
        <v>2520</v>
      </c>
      <c r="E252" s="1921" t="s">
        <v>1256</v>
      </c>
      <c r="F252" s="1922">
        <v>22641480</v>
      </c>
      <c r="G252" s="1922">
        <v>115650</v>
      </c>
      <c r="H252" s="1922">
        <f t="shared" ref="H252:H277" si="65">+F247-F252</f>
        <v>566040</v>
      </c>
    </row>
    <row r="253" spans="1:11" outlineLevel="1">
      <c r="A253" s="1921" t="s">
        <v>2274</v>
      </c>
      <c r="B253" s="1921" t="s">
        <v>2275</v>
      </c>
      <c r="C253" s="1944" t="s">
        <v>2521</v>
      </c>
      <c r="D253" s="1944" t="s">
        <v>2522</v>
      </c>
      <c r="E253" s="1921" t="s">
        <v>2441</v>
      </c>
      <c r="F253" s="1922">
        <v>72997813</v>
      </c>
      <c r="G253" s="1922">
        <v>33249</v>
      </c>
      <c r="H253" s="1922">
        <v>0</v>
      </c>
    </row>
    <row r="254" spans="1:11" outlineLevel="1">
      <c r="A254" s="1921" t="s">
        <v>2277</v>
      </c>
      <c r="B254" s="1921" t="s">
        <v>2442</v>
      </c>
      <c r="C254" s="1944" t="s">
        <v>2523</v>
      </c>
      <c r="D254" s="1944" t="s">
        <v>2524</v>
      </c>
      <c r="E254" s="1921" t="s">
        <v>2443</v>
      </c>
      <c r="F254" s="1922">
        <v>14201217</v>
      </c>
      <c r="G254" s="1922">
        <v>58101</v>
      </c>
      <c r="H254" s="1922">
        <f t="shared" si="65"/>
        <v>56804</v>
      </c>
    </row>
    <row r="255" spans="1:11" outlineLevel="1">
      <c r="A255" s="1928" t="s">
        <v>2525</v>
      </c>
      <c r="B255" s="1928"/>
      <c r="C255" s="1946" t="s">
        <v>2526</v>
      </c>
      <c r="D255" s="1946" t="s">
        <v>2527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11" outlineLevel="1">
      <c r="A256" s="1921" t="s">
        <v>1260</v>
      </c>
      <c r="B256" s="1921" t="s">
        <v>2270</v>
      </c>
      <c r="C256" s="1944" t="s">
        <v>2528</v>
      </c>
      <c r="D256" s="1944" t="s">
        <v>2529</v>
      </c>
      <c r="E256" s="1921" t="s">
        <v>1363</v>
      </c>
      <c r="F256" s="1922">
        <v>64834081</v>
      </c>
      <c r="G256" s="1922">
        <v>50576</v>
      </c>
      <c r="H256" s="1922">
        <f t="shared" si="65"/>
        <v>426541</v>
      </c>
      <c r="J256" s="1922"/>
      <c r="K256" s="1922"/>
    </row>
    <row r="257" spans="1:16" outlineLevel="1">
      <c r="A257" s="1921" t="s">
        <v>1386</v>
      </c>
      <c r="B257" s="1921" t="s">
        <v>2273</v>
      </c>
      <c r="C257" s="1944" t="s">
        <v>2519</v>
      </c>
      <c r="D257" s="1944" t="s">
        <v>810</v>
      </c>
      <c r="E257" s="1921" t="s">
        <v>1256</v>
      </c>
      <c r="F257" s="1922">
        <v>22641480</v>
      </c>
      <c r="G257" s="1922">
        <v>0</v>
      </c>
      <c r="H257" s="1922">
        <f t="shared" si="65"/>
        <v>0</v>
      </c>
      <c r="J257" s="1922"/>
      <c r="K257" s="1922"/>
    </row>
    <row r="258" spans="1:16" outlineLevel="1">
      <c r="A258" s="1921" t="s">
        <v>2274</v>
      </c>
      <c r="B258" s="1921" t="s">
        <v>2275</v>
      </c>
      <c r="C258" s="1944" t="s">
        <v>2530</v>
      </c>
      <c r="D258" s="1944" t="s">
        <v>2531</v>
      </c>
      <c r="E258" s="1921" t="s">
        <v>2441</v>
      </c>
      <c r="F258" s="1922">
        <v>78777128</v>
      </c>
      <c r="G258" s="1922">
        <v>42996</v>
      </c>
      <c r="H258" s="1922">
        <v>0</v>
      </c>
      <c r="J258" s="1922"/>
      <c r="K258" s="1922"/>
    </row>
    <row r="259" spans="1:16" outlineLevel="1">
      <c r="A259" s="1921" t="s">
        <v>2277</v>
      </c>
      <c r="B259" s="1921" t="s">
        <v>2442</v>
      </c>
      <c r="C259" s="1944" t="s">
        <v>2532</v>
      </c>
      <c r="D259" s="1944" t="s">
        <v>2533</v>
      </c>
      <c r="E259" s="1921" t="s">
        <v>2443</v>
      </c>
      <c r="F259" s="1922">
        <v>14144411</v>
      </c>
      <c r="G259" s="1922">
        <v>59799</v>
      </c>
      <c r="H259" s="1922">
        <f t="shared" si="65"/>
        <v>56806</v>
      </c>
      <c r="J259" s="1922"/>
      <c r="K259" s="1922"/>
    </row>
    <row r="260" spans="1:16" outlineLevel="1">
      <c r="A260" s="1928" t="s">
        <v>2534</v>
      </c>
      <c r="B260" s="1928"/>
      <c r="C260" s="1946" t="s">
        <v>2535</v>
      </c>
      <c r="D260" s="1946" t="s">
        <v>2536</v>
      </c>
      <c r="F260" s="1926">
        <f>SUM(F256:F259)</f>
        <v>180397100</v>
      </c>
      <c r="G260" s="1926">
        <f t="shared" ref="G260:H260" si="67">SUM(G256:G259)</f>
        <v>153371</v>
      </c>
      <c r="H260" s="1926">
        <f t="shared" si="67"/>
        <v>483347</v>
      </c>
    </row>
    <row r="261" spans="1:16" outlineLevel="1">
      <c r="A261" s="1921" t="s">
        <v>1260</v>
      </c>
      <c r="B261" s="1921" t="s">
        <v>2270</v>
      </c>
      <c r="C261" s="1944" t="s">
        <v>2537</v>
      </c>
      <c r="D261" s="1944" t="s">
        <v>2538</v>
      </c>
      <c r="E261" s="1921" t="s">
        <v>1363</v>
      </c>
      <c r="F261" s="1922">
        <v>64407540</v>
      </c>
      <c r="G261" s="1922">
        <v>50246</v>
      </c>
      <c r="H261" s="1922">
        <f t="shared" si="65"/>
        <v>426541</v>
      </c>
    </row>
    <row r="262" spans="1:16" outlineLevel="1">
      <c r="A262" s="1921" t="s">
        <v>1386</v>
      </c>
      <c r="B262" s="1921" t="s">
        <v>2273</v>
      </c>
      <c r="C262" s="1944" t="s">
        <v>2519</v>
      </c>
      <c r="D262" s="1944" t="s">
        <v>810</v>
      </c>
      <c r="E262" s="1921" t="s">
        <v>1256</v>
      </c>
      <c r="F262" s="1922">
        <v>22641480</v>
      </c>
      <c r="G262" s="1922">
        <v>0</v>
      </c>
      <c r="H262" s="1922">
        <f t="shared" si="65"/>
        <v>0</v>
      </c>
    </row>
    <row r="263" spans="1:16">
      <c r="A263" s="1921" t="s">
        <v>2274</v>
      </c>
      <c r="B263" s="1921" t="s">
        <v>2275</v>
      </c>
      <c r="C263" s="1944" t="s">
        <v>2539</v>
      </c>
      <c r="D263" s="1944" t="s">
        <v>2540</v>
      </c>
      <c r="E263" s="1921" t="s">
        <v>2441</v>
      </c>
      <c r="F263" s="1922">
        <v>78945574</v>
      </c>
      <c r="G263" s="1922">
        <v>50292</v>
      </c>
      <c r="H263" s="1922">
        <v>0</v>
      </c>
    </row>
    <row r="264" spans="1:16">
      <c r="A264" s="1921" t="s">
        <v>2277</v>
      </c>
      <c r="B264" s="1921" t="s">
        <v>2442</v>
      </c>
      <c r="C264" s="1944" t="s">
        <v>2541</v>
      </c>
      <c r="D264" s="1944" t="s">
        <v>2542</v>
      </c>
      <c r="E264" s="1921" t="s">
        <v>2443</v>
      </c>
      <c r="F264" s="1922">
        <v>14087606</v>
      </c>
      <c r="G264" s="1922">
        <v>59559</v>
      </c>
      <c r="H264" s="1922">
        <f t="shared" si="65"/>
        <v>56805</v>
      </c>
    </row>
    <row r="265" spans="1:16">
      <c r="A265" s="1928" t="s">
        <v>2543</v>
      </c>
      <c r="B265" s="1928"/>
      <c r="C265" s="1946" t="s">
        <v>2544</v>
      </c>
      <c r="D265" s="1946" t="s">
        <v>2545</v>
      </c>
      <c r="F265" s="1926">
        <f>SUM(F261:F264)</f>
        <v>180082200</v>
      </c>
      <c r="G265" s="1926">
        <f t="shared" ref="G265:H265" si="68">SUM(G261:G264)</f>
        <v>160097</v>
      </c>
      <c r="H265" s="1926">
        <f t="shared" si="68"/>
        <v>483346</v>
      </c>
    </row>
    <row r="266" spans="1:16">
      <c r="A266" s="1921" t="s">
        <v>1260</v>
      </c>
      <c r="B266" s="1921" t="s">
        <v>2270</v>
      </c>
      <c r="C266" s="1944" t="s">
        <v>2546</v>
      </c>
      <c r="D266" s="1944" t="s">
        <v>2547</v>
      </c>
      <c r="E266" s="1921" t="s">
        <v>1363</v>
      </c>
      <c r="F266" s="1922">
        <v>63980999</v>
      </c>
      <c r="G266" s="1922">
        <v>48305</v>
      </c>
      <c r="H266" s="1922">
        <f t="shared" si="65"/>
        <v>426541</v>
      </c>
      <c r="I266" s="1922"/>
    </row>
    <row r="267" spans="1:16">
      <c r="A267" s="1921" t="s">
        <v>1386</v>
      </c>
      <c r="B267" s="1921" t="s">
        <v>2273</v>
      </c>
      <c r="C267" s="1944" t="s">
        <v>2548</v>
      </c>
      <c r="D267" s="1944" t="s">
        <v>2549</v>
      </c>
      <c r="E267" s="1921" t="s">
        <v>1256</v>
      </c>
      <c r="F267" s="1922">
        <v>22075440</v>
      </c>
      <c r="G267" s="1922">
        <v>112830</v>
      </c>
      <c r="H267" s="1922">
        <f t="shared" si="65"/>
        <v>566040</v>
      </c>
      <c r="I267" s="1922"/>
    </row>
    <row r="268" spans="1:16">
      <c r="A268" s="1921" t="s">
        <v>2274</v>
      </c>
      <c r="B268" s="1921" t="s">
        <v>2275</v>
      </c>
      <c r="C268" s="1944" t="s">
        <v>2550</v>
      </c>
      <c r="D268" s="1944" t="s">
        <v>2551</v>
      </c>
      <c r="E268" s="1921" t="s">
        <v>2441</v>
      </c>
      <c r="F268" s="1922">
        <v>13920622</v>
      </c>
      <c r="G268" s="1922">
        <v>53951</v>
      </c>
      <c r="H268" s="1922">
        <f>+F263-F268</f>
        <v>65024952</v>
      </c>
      <c r="I268" s="1922"/>
    </row>
    <row r="269" spans="1:16">
      <c r="A269" s="1921" t="s">
        <v>2277</v>
      </c>
      <c r="B269" s="1921" t="s">
        <v>2442</v>
      </c>
      <c r="C269" s="1944" t="s">
        <v>2552</v>
      </c>
      <c r="D269" s="1944" t="s">
        <v>2553</v>
      </c>
      <c r="E269" s="1921" t="s">
        <v>2443</v>
      </c>
      <c r="F269" s="1922">
        <v>14030801</v>
      </c>
      <c r="G269" s="1922">
        <v>57406</v>
      </c>
      <c r="H269" s="1922">
        <f t="shared" si="65"/>
        <v>56805</v>
      </c>
    </row>
    <row r="270" spans="1:16">
      <c r="A270" s="1928" t="s">
        <v>2554</v>
      </c>
      <c r="B270" s="1928"/>
      <c r="C270" s="1946" t="s">
        <v>2555</v>
      </c>
      <c r="D270" s="1946" t="s">
        <v>2556</v>
      </c>
      <c r="F270" s="1926">
        <f>SUM(F266:F269)</f>
        <v>114007862</v>
      </c>
      <c r="G270" s="1926">
        <f t="shared" ref="G270:H270" si="69">SUM(G266:G269)</f>
        <v>272492</v>
      </c>
      <c r="H270" s="1926">
        <f t="shared" si="69"/>
        <v>66074338</v>
      </c>
    </row>
    <row r="271" spans="1:16">
      <c r="A271" s="1921" t="s">
        <v>1260</v>
      </c>
      <c r="B271" s="1921" t="s">
        <v>2270</v>
      </c>
      <c r="C271" s="1944" t="s">
        <v>2626</v>
      </c>
      <c r="D271" s="1944" t="s">
        <v>2627</v>
      </c>
      <c r="E271" s="1921" t="s">
        <v>1363</v>
      </c>
      <c r="F271" s="1922">
        <v>63554458</v>
      </c>
      <c r="G271" s="1922">
        <v>49585</v>
      </c>
      <c r="H271" s="1922">
        <f t="shared" si="65"/>
        <v>426541</v>
      </c>
      <c r="O271" s="1922"/>
      <c r="P271" s="1922"/>
    </row>
    <row r="272" spans="1:16">
      <c r="A272" s="1921" t="s">
        <v>1386</v>
      </c>
      <c r="B272" s="1921" t="s">
        <v>2273</v>
      </c>
      <c r="C272" s="1944" t="s">
        <v>2548</v>
      </c>
      <c r="D272" s="1944" t="s">
        <v>810</v>
      </c>
      <c r="E272" s="1921" t="s">
        <v>1256</v>
      </c>
      <c r="F272" s="1922">
        <v>22075440</v>
      </c>
      <c r="G272" s="1922">
        <v>0</v>
      </c>
      <c r="H272" s="1922">
        <f t="shared" si="65"/>
        <v>0</v>
      </c>
      <c r="O272" s="1922"/>
      <c r="P272" s="1922"/>
    </row>
    <row r="273" spans="1:16">
      <c r="A273" s="1921" t="s">
        <v>2274</v>
      </c>
      <c r="B273" s="1921" t="s">
        <v>2275</v>
      </c>
      <c r="C273" s="1944" t="s">
        <v>2550</v>
      </c>
      <c r="D273" s="1944" t="s">
        <v>2628</v>
      </c>
      <c r="E273" s="1921" t="s">
        <v>2441</v>
      </c>
      <c r="F273" s="1922">
        <v>13920622</v>
      </c>
      <c r="G273" s="1922">
        <v>58617</v>
      </c>
      <c r="H273" s="1922">
        <f t="shared" si="65"/>
        <v>0</v>
      </c>
      <c r="N273" s="1922"/>
      <c r="O273" s="1922"/>
      <c r="P273" s="1922"/>
    </row>
    <row r="274" spans="1:16">
      <c r="A274" s="1921" t="s">
        <v>2277</v>
      </c>
      <c r="B274" s="1921" t="s">
        <v>2442</v>
      </c>
      <c r="C274" s="1944" t="s">
        <v>2629</v>
      </c>
      <c r="D274" s="1944" t="s">
        <v>2630</v>
      </c>
      <c r="E274" s="1921" t="s">
        <v>2443</v>
      </c>
      <c r="F274" s="1922">
        <v>13973996</v>
      </c>
      <c r="G274" s="1922">
        <v>59081</v>
      </c>
      <c r="H274" s="1922">
        <f t="shared" si="65"/>
        <v>56805</v>
      </c>
      <c r="O274" s="1922"/>
      <c r="P274" s="1922"/>
    </row>
    <row r="275" spans="1:16">
      <c r="A275" s="1928" t="s">
        <v>2571</v>
      </c>
      <c r="B275" s="1928"/>
      <c r="C275" s="1946" t="s">
        <v>2631</v>
      </c>
      <c r="D275" s="1946" t="s">
        <v>2632</v>
      </c>
      <c r="F275" s="1926">
        <f>SUM(F271:F274)</f>
        <v>113524516</v>
      </c>
      <c r="G275" s="1926">
        <f t="shared" ref="G275:H275" si="70">SUM(G271:G274)</f>
        <v>167283</v>
      </c>
      <c r="H275" s="1926">
        <f t="shared" si="70"/>
        <v>483346</v>
      </c>
      <c r="O275" s="1922"/>
    </row>
    <row r="276" spans="1:16" ht="12.75">
      <c r="A276" t="s">
        <v>1260</v>
      </c>
      <c r="B276" t="s">
        <v>2270</v>
      </c>
      <c r="C276" s="2926" t="s">
        <v>2633</v>
      </c>
      <c r="D276" s="2926" t="s">
        <v>2634</v>
      </c>
      <c r="E276" t="s">
        <v>1363</v>
      </c>
      <c r="F276" s="1922">
        <v>63127917</v>
      </c>
      <c r="G276" s="1922">
        <v>47665</v>
      </c>
      <c r="H276" s="1922">
        <f>+F271-F276</f>
        <v>426541</v>
      </c>
      <c r="O276" s="1922"/>
    </row>
    <row r="277" spans="1:16" ht="12.75">
      <c r="A277" t="s">
        <v>1386</v>
      </c>
      <c r="B277" t="s">
        <v>2273</v>
      </c>
      <c r="C277" s="2926" t="s">
        <v>2548</v>
      </c>
      <c r="D277" s="2926" t="s">
        <v>810</v>
      </c>
      <c r="E277" t="s">
        <v>1256</v>
      </c>
      <c r="F277" s="1922">
        <v>22075440</v>
      </c>
      <c r="G277" s="1922">
        <v>0</v>
      </c>
      <c r="H277" s="1922">
        <f t="shared" si="65"/>
        <v>0</v>
      </c>
    </row>
    <row r="278" spans="1:16" ht="12.75">
      <c r="A278" t="s">
        <v>2274</v>
      </c>
      <c r="B278" t="s">
        <v>2275</v>
      </c>
      <c r="C278" s="2926" t="s">
        <v>2550</v>
      </c>
      <c r="D278" s="2926" t="s">
        <v>2635</v>
      </c>
      <c r="E278" t="s">
        <v>2636</v>
      </c>
      <c r="F278" s="1922">
        <v>13920622</v>
      </c>
      <c r="G278" s="1922">
        <v>56726</v>
      </c>
      <c r="H278" s="1922">
        <f>+F273-F278</f>
        <v>0</v>
      </c>
    </row>
    <row r="279" spans="1:16" ht="12.75">
      <c r="A279" t="s">
        <v>2277</v>
      </c>
      <c r="B279" t="s">
        <v>2637</v>
      </c>
      <c r="C279" s="2926" t="s">
        <v>2638</v>
      </c>
      <c r="D279" s="2926" t="s">
        <v>2639</v>
      </c>
      <c r="E279" t="s">
        <v>2640</v>
      </c>
      <c r="F279" s="1922">
        <v>13917192</v>
      </c>
      <c r="G279" s="1922">
        <v>56944</v>
      </c>
      <c r="H279" s="1922">
        <f>+F274-F279</f>
        <v>56804</v>
      </c>
    </row>
    <row r="280" spans="1:16" ht="12.75">
      <c r="A280" s="1228" t="s">
        <v>2572</v>
      </c>
      <c r="B280" s="1228"/>
      <c r="C280" s="2927" t="s">
        <v>2641</v>
      </c>
      <c r="D280" s="2927" t="s">
        <v>2642</v>
      </c>
      <c r="E280"/>
      <c r="F280" s="1926">
        <f>SUM(F276:F279)</f>
        <v>113041171</v>
      </c>
      <c r="G280" s="1926">
        <f t="shared" ref="G280:H280" si="71">SUM(G276:G279)</f>
        <v>161335</v>
      </c>
      <c r="H280" s="1926">
        <f t="shared" si="71"/>
        <v>483345</v>
      </c>
    </row>
    <row r="281" spans="1:16" ht="12.75">
      <c r="A281" t="s">
        <v>1260</v>
      </c>
      <c r="B281" t="s">
        <v>2662</v>
      </c>
      <c r="C281" s="2926" t="s">
        <v>2663</v>
      </c>
      <c r="D281" s="2926" t="s">
        <v>2664</v>
      </c>
      <c r="E281" t="s">
        <v>1363</v>
      </c>
      <c r="F281" s="1922">
        <v>62701376</v>
      </c>
      <c r="G281" s="1922">
        <v>48924</v>
      </c>
      <c r="H281" s="1922">
        <f t="shared" ref="H281:H284" si="72">+F276-F281</f>
        <v>426541</v>
      </c>
    </row>
    <row r="282" spans="1:16" ht="12.75">
      <c r="A282" t="s">
        <v>1386</v>
      </c>
      <c r="B282" t="s">
        <v>2665</v>
      </c>
      <c r="C282" s="2926" t="s">
        <v>2666</v>
      </c>
      <c r="D282" s="2926" t="s">
        <v>2667</v>
      </c>
      <c r="E282" t="s">
        <v>1256</v>
      </c>
      <c r="F282" s="1922">
        <v>21509400</v>
      </c>
      <c r="G282" s="1922">
        <v>111205</v>
      </c>
      <c r="H282" s="1922">
        <f t="shared" si="72"/>
        <v>566040</v>
      </c>
    </row>
    <row r="283" spans="1:16" ht="12.75">
      <c r="A283" t="s">
        <v>2274</v>
      </c>
      <c r="B283" t="s">
        <v>2668</v>
      </c>
      <c r="C283" s="2926" t="s">
        <v>2550</v>
      </c>
      <c r="D283" s="2926" t="s">
        <v>2628</v>
      </c>
      <c r="E283" t="s">
        <v>2636</v>
      </c>
      <c r="F283" s="1922">
        <v>13920622</v>
      </c>
      <c r="G283" s="1922">
        <v>58617</v>
      </c>
      <c r="H283" s="1922">
        <f t="shared" si="72"/>
        <v>0</v>
      </c>
    </row>
    <row r="284" spans="1:16" ht="12.75">
      <c r="A284" t="s">
        <v>2277</v>
      </c>
      <c r="B284" t="s">
        <v>2669</v>
      </c>
      <c r="C284" s="2926" t="s">
        <v>2670</v>
      </c>
      <c r="D284" s="2926" t="s">
        <v>2671</v>
      </c>
      <c r="E284" t="s">
        <v>2672</v>
      </c>
      <c r="F284" s="1922">
        <v>13860388</v>
      </c>
      <c r="G284" s="1922">
        <v>58617</v>
      </c>
      <c r="H284" s="1922">
        <f t="shared" si="72"/>
        <v>56804</v>
      </c>
    </row>
    <row r="285" spans="1:16" ht="12.75">
      <c r="A285" s="3008" t="s">
        <v>2673</v>
      </c>
      <c r="B285" s="3008" t="s">
        <v>2674</v>
      </c>
      <c r="C285" s="3009" t="s">
        <v>2675</v>
      </c>
      <c r="D285" s="3009" t="s">
        <v>2676</v>
      </c>
      <c r="E285" s="3008" t="s">
        <v>2677</v>
      </c>
      <c r="F285" s="1922">
        <v>2611345</v>
      </c>
      <c r="G285" s="1922">
        <v>3239</v>
      </c>
    </row>
    <row r="286" spans="1:16" ht="12.75">
      <c r="A286" s="1228" t="s">
        <v>2678</v>
      </c>
      <c r="B286" s="1228"/>
      <c r="C286" s="1229" t="s">
        <v>2679</v>
      </c>
      <c r="D286" s="1229" t="s">
        <v>2680</v>
      </c>
      <c r="E286"/>
      <c r="F286" s="1926">
        <f>SUM(F281:F285)</f>
        <v>114603131</v>
      </c>
      <c r="G286" s="1926">
        <f t="shared" ref="G286:H286" si="73">SUM(G281:G285)</f>
        <v>280602</v>
      </c>
      <c r="H286" s="1926">
        <f t="shared" si="73"/>
        <v>1049385</v>
      </c>
    </row>
    <row r="287" spans="1:16" ht="12.75">
      <c r="A287" t="s">
        <v>1260</v>
      </c>
      <c r="B287" t="s">
        <v>2662</v>
      </c>
      <c r="C287" s="2926" t="s">
        <v>2698</v>
      </c>
      <c r="D287" s="2926" t="s">
        <v>2699</v>
      </c>
      <c r="E287" t="s">
        <v>1363</v>
      </c>
      <c r="F287" s="1922">
        <v>62274825</v>
      </c>
      <c r="G287" s="1922">
        <v>48593</v>
      </c>
      <c r="H287" s="1922">
        <f>+F281-F287</f>
        <v>426551</v>
      </c>
    </row>
    <row r="288" spans="1:16" ht="12.75">
      <c r="A288" t="s">
        <v>1386</v>
      </c>
      <c r="B288" t="s">
        <v>2665</v>
      </c>
      <c r="C288" s="2926" t="s">
        <v>2666</v>
      </c>
      <c r="D288" s="2926" t="s">
        <v>810</v>
      </c>
      <c r="E288" t="s">
        <v>1256</v>
      </c>
      <c r="F288" s="1922">
        <v>21509400</v>
      </c>
      <c r="G288" s="1922">
        <v>0</v>
      </c>
      <c r="H288" s="1922">
        <f>+F282-F288</f>
        <v>0</v>
      </c>
    </row>
    <row r="289" spans="1:8" ht="12.75">
      <c r="A289" t="s">
        <v>2274</v>
      </c>
      <c r="B289" t="s">
        <v>2668</v>
      </c>
      <c r="C289" s="2926" t="s">
        <v>2550</v>
      </c>
      <c r="D289" s="2926" t="s">
        <v>2628</v>
      </c>
      <c r="E289" t="s">
        <v>2636</v>
      </c>
      <c r="F289" s="1922">
        <v>13920622</v>
      </c>
      <c r="G289" s="1922">
        <v>58617</v>
      </c>
      <c r="H289" s="1922">
        <f t="shared" ref="H289:H290" si="74">+F283-F289</f>
        <v>0</v>
      </c>
    </row>
    <row r="290" spans="1:8" ht="12.75">
      <c r="A290" t="s">
        <v>2277</v>
      </c>
      <c r="B290" t="s">
        <v>2669</v>
      </c>
      <c r="C290" s="2926" t="s">
        <v>2700</v>
      </c>
      <c r="D290" s="2926" t="s">
        <v>2701</v>
      </c>
      <c r="E290" t="s">
        <v>2672</v>
      </c>
      <c r="F290" s="1922">
        <v>13803582</v>
      </c>
      <c r="G290" s="1922">
        <v>58363</v>
      </c>
      <c r="H290" s="1922">
        <f t="shared" si="74"/>
        <v>56806</v>
      </c>
    </row>
    <row r="291" spans="1:8" ht="12.75">
      <c r="A291" s="1465" t="s">
        <v>2673</v>
      </c>
      <c r="B291" s="1465" t="s">
        <v>2674</v>
      </c>
      <c r="C291" s="3017" t="s">
        <v>2693</v>
      </c>
      <c r="D291" s="3017" t="s">
        <v>2702</v>
      </c>
      <c r="E291" t="s">
        <v>2703</v>
      </c>
      <c r="F291" s="1922">
        <v>2611345</v>
      </c>
      <c r="G291" s="1922">
        <v>7173</v>
      </c>
      <c r="H291" s="1922">
        <f>+F285-F291</f>
        <v>0</v>
      </c>
    </row>
    <row r="292" spans="1:8" ht="12.75">
      <c r="A292" s="1228" t="s">
        <v>2704</v>
      </c>
      <c r="B292" s="1228"/>
      <c r="C292" s="1229" t="s">
        <v>2705</v>
      </c>
      <c r="D292" s="1229" t="s">
        <v>2706</v>
      </c>
      <c r="E292"/>
      <c r="F292" s="1926">
        <f>SUM(F287:F291)</f>
        <v>114119774</v>
      </c>
      <c r="G292" s="1926">
        <f t="shared" ref="G292:H292" si="75">SUM(G287:G291)</f>
        <v>172746</v>
      </c>
      <c r="H292" s="1926">
        <f t="shared" si="75"/>
        <v>483357</v>
      </c>
    </row>
    <row r="293" spans="1:8" ht="12.75">
      <c r="A293" t="s">
        <v>1260</v>
      </c>
      <c r="B293" t="s">
        <v>2662</v>
      </c>
      <c r="C293" s="3015" t="s">
        <v>2688</v>
      </c>
      <c r="D293" s="2926" t="s">
        <v>2689</v>
      </c>
      <c r="E293" t="s">
        <v>1363</v>
      </c>
      <c r="F293" s="1922">
        <v>61848294</v>
      </c>
      <c r="G293" s="1922">
        <v>43592</v>
      </c>
      <c r="H293" s="1922">
        <f t="shared" ref="H293:H296" si="76">+F287-F293</f>
        <v>426531</v>
      </c>
    </row>
    <row r="294" spans="1:8" ht="12.75">
      <c r="A294" t="s">
        <v>1386</v>
      </c>
      <c r="B294" t="s">
        <v>2665</v>
      </c>
      <c r="C294" s="3015" t="s">
        <v>2666</v>
      </c>
      <c r="D294" s="2926" t="s">
        <v>810</v>
      </c>
      <c r="E294" t="s">
        <v>1256</v>
      </c>
      <c r="F294" s="1922">
        <v>21509400</v>
      </c>
      <c r="G294" s="1922">
        <v>0</v>
      </c>
      <c r="H294" s="1922">
        <f t="shared" si="76"/>
        <v>0</v>
      </c>
    </row>
    <row r="295" spans="1:8" ht="12.75">
      <c r="A295" t="s">
        <v>2274</v>
      </c>
      <c r="B295" t="s">
        <v>2668</v>
      </c>
      <c r="C295" s="3015" t="s">
        <v>2550</v>
      </c>
      <c r="D295" s="2926" t="s">
        <v>2690</v>
      </c>
      <c r="E295" t="s">
        <v>2636</v>
      </c>
      <c r="F295" s="1922">
        <v>13920622</v>
      </c>
      <c r="G295" s="1922">
        <v>54944</v>
      </c>
      <c r="H295" s="1922">
        <f t="shared" si="76"/>
        <v>0</v>
      </c>
    </row>
    <row r="296" spans="1:8" ht="12.75">
      <c r="A296" t="s">
        <v>2277</v>
      </c>
      <c r="B296" t="s">
        <v>2669</v>
      </c>
      <c r="C296" s="3015" t="s">
        <v>2691</v>
      </c>
      <c r="D296" s="2926" t="s">
        <v>2692</v>
      </c>
      <c r="E296" t="s">
        <v>2672</v>
      </c>
      <c r="F296" s="1922">
        <v>13746777</v>
      </c>
      <c r="G296" s="1922">
        <v>52499</v>
      </c>
      <c r="H296" s="1922">
        <f t="shared" si="76"/>
        <v>56805</v>
      </c>
    </row>
    <row r="297" spans="1:8" ht="12.75">
      <c r="A297" s="1465" t="s">
        <v>2673</v>
      </c>
      <c r="B297" s="1465" t="s">
        <v>2674</v>
      </c>
      <c r="C297" s="3016" t="s">
        <v>2693</v>
      </c>
      <c r="D297" s="3017" t="s">
        <v>2694</v>
      </c>
      <c r="E297" t="s">
        <v>2703</v>
      </c>
      <c r="F297" s="1922">
        <v>2611345</v>
      </c>
      <c r="G297" s="1922">
        <v>6479</v>
      </c>
      <c r="H297" s="1922">
        <f>+F291-F297</f>
        <v>0</v>
      </c>
    </row>
    <row r="298" spans="1:8" ht="12.75">
      <c r="A298" s="1228" t="s">
        <v>2695</v>
      </c>
      <c r="B298" s="1228"/>
      <c r="C298" s="1229" t="s">
        <v>2696</v>
      </c>
      <c r="D298" s="1229" t="s">
        <v>2697</v>
      </c>
      <c r="E298"/>
      <c r="F298" s="1926">
        <f>SUM(F293:F297)</f>
        <v>113636438</v>
      </c>
      <c r="G298" s="1926">
        <f t="shared" ref="G298:H298" si="77">SUM(G293:G297)</f>
        <v>157514</v>
      </c>
      <c r="H298" s="1926">
        <f t="shared" si="77"/>
        <v>483336</v>
      </c>
    </row>
    <row r="299" spans="1:8" ht="12.75">
      <c r="A299" t="s">
        <v>1260</v>
      </c>
      <c r="B299" t="s">
        <v>2662</v>
      </c>
      <c r="C299" s="3015" t="s">
        <v>2712</v>
      </c>
      <c r="D299" s="2926" t="s">
        <v>2713</v>
      </c>
      <c r="E299" t="s">
        <v>1363</v>
      </c>
      <c r="F299" s="1922">
        <v>61421753</v>
      </c>
      <c r="G299" s="1922">
        <v>47932</v>
      </c>
      <c r="H299" s="1922">
        <f>+F293-F299</f>
        <v>426541</v>
      </c>
    </row>
    <row r="300" spans="1:8" ht="12.75">
      <c r="A300" t="s">
        <v>1386</v>
      </c>
      <c r="B300" t="s">
        <v>2665</v>
      </c>
      <c r="C300" s="3015" t="s">
        <v>2714</v>
      </c>
      <c r="D300" s="2926" t="s">
        <v>2715</v>
      </c>
      <c r="E300" t="s">
        <v>1256</v>
      </c>
      <c r="F300" s="1922">
        <v>20943360</v>
      </c>
      <c r="G300" s="1922">
        <v>102528</v>
      </c>
      <c r="H300" s="1922">
        <f t="shared" ref="H300:H301" si="78">+F294-F300</f>
        <v>566040</v>
      </c>
    </row>
    <row r="301" spans="1:8" ht="12.75">
      <c r="A301" t="s">
        <v>2274</v>
      </c>
      <c r="B301" t="s">
        <v>2668</v>
      </c>
      <c r="C301" s="3015" t="s">
        <v>2550</v>
      </c>
      <c r="D301" s="2926" t="s">
        <v>2628</v>
      </c>
      <c r="E301" t="s">
        <v>2636</v>
      </c>
      <c r="F301" s="1922">
        <v>13920622</v>
      </c>
      <c r="G301" s="1922">
        <v>58617</v>
      </c>
      <c r="H301" s="1922">
        <f t="shared" si="78"/>
        <v>0</v>
      </c>
    </row>
    <row r="302" spans="1:8" ht="12.75">
      <c r="A302" s="22" t="s">
        <v>2277</v>
      </c>
      <c r="B302" s="22" t="s">
        <v>2669</v>
      </c>
      <c r="C302" s="3023" t="s">
        <v>2716</v>
      </c>
      <c r="D302" s="3024" t="s">
        <v>2717</v>
      </c>
      <c r="E302" t="s">
        <v>2672</v>
      </c>
      <c r="F302" s="1922">
        <v>13689972</v>
      </c>
      <c r="G302" s="1922">
        <v>57885</v>
      </c>
      <c r="H302" s="1922">
        <f>+F296-F302</f>
        <v>56805</v>
      </c>
    </row>
    <row r="303" spans="1:8" ht="12.75">
      <c r="A303" s="1465" t="s">
        <v>2673</v>
      </c>
      <c r="B303" s="1465" t="s">
        <v>2674</v>
      </c>
      <c r="C303" s="3016" t="s">
        <v>2718</v>
      </c>
      <c r="D303" s="3017" t="s">
        <v>2719</v>
      </c>
      <c r="E303" s="1465" t="s">
        <v>2703</v>
      </c>
      <c r="F303" s="1922">
        <v>3480238.48</v>
      </c>
      <c r="G303" s="1922">
        <v>8020.15</v>
      </c>
    </row>
    <row r="304" spans="1:8" ht="12.75">
      <c r="A304" s="1228" t="s">
        <v>2720</v>
      </c>
      <c r="B304" s="1228"/>
      <c r="C304" s="1229" t="s">
        <v>2721</v>
      </c>
      <c r="D304" s="1229" t="s">
        <v>2722</v>
      </c>
      <c r="E304"/>
      <c r="F304" s="1926">
        <f>SUM(F299:F303)</f>
        <v>113455945.48</v>
      </c>
      <c r="G304" s="1926">
        <f t="shared" ref="G304:H304" si="79">SUM(G299:G303)</f>
        <v>274982.15000000002</v>
      </c>
      <c r="H304" s="1926">
        <f t="shared" si="79"/>
        <v>1049386</v>
      </c>
    </row>
    <row r="305" spans="1:8" ht="12.75">
      <c r="A305" t="s">
        <v>1260</v>
      </c>
      <c r="B305" t="s">
        <v>2662</v>
      </c>
      <c r="C305" s="3015" t="s">
        <v>2725</v>
      </c>
      <c r="D305" s="2926" t="s">
        <v>2726</v>
      </c>
      <c r="E305" t="s">
        <v>1363</v>
      </c>
      <c r="F305" s="1922">
        <v>60995212</v>
      </c>
      <c r="G305" s="1922">
        <v>46066</v>
      </c>
      <c r="H305" s="1922">
        <f>+F299-F305</f>
        <v>426541</v>
      </c>
    </row>
    <row r="306" spans="1:8" ht="12.75">
      <c r="A306" t="s">
        <v>1386</v>
      </c>
      <c r="B306" t="s">
        <v>2665</v>
      </c>
      <c r="C306" s="3015" t="s">
        <v>2727</v>
      </c>
      <c r="D306" s="2926" t="s">
        <v>810</v>
      </c>
      <c r="E306" t="s">
        <v>1256</v>
      </c>
      <c r="F306" s="1922">
        <v>20943360</v>
      </c>
      <c r="G306" s="1922">
        <v>0</v>
      </c>
      <c r="H306" s="1922">
        <f t="shared" ref="H306:H308" si="80">+F300-F306</f>
        <v>0</v>
      </c>
    </row>
    <row r="307" spans="1:8" ht="12.75">
      <c r="A307" t="s">
        <v>2274</v>
      </c>
      <c r="B307" t="s">
        <v>2668</v>
      </c>
      <c r="C307" s="3015" t="s">
        <v>2728</v>
      </c>
      <c r="D307" s="2926" t="s">
        <v>2635</v>
      </c>
      <c r="E307" t="s">
        <v>2636</v>
      </c>
      <c r="F307" s="1922">
        <v>13920622.949999999</v>
      </c>
      <c r="G307" s="1922">
        <v>56726</v>
      </c>
      <c r="H307" s="1922">
        <f>+F301-F307</f>
        <v>-0.94999999925494194</v>
      </c>
    </row>
    <row r="308" spans="1:8" ht="12.75">
      <c r="A308" s="22" t="s">
        <v>2277</v>
      </c>
      <c r="B308" s="22" t="s">
        <v>2669</v>
      </c>
      <c r="C308" s="3023" t="s">
        <v>2729</v>
      </c>
      <c r="D308" s="3024" t="s">
        <v>2730</v>
      </c>
      <c r="E308" t="s">
        <v>2672</v>
      </c>
      <c r="F308" s="1922">
        <v>13633167.73</v>
      </c>
      <c r="G308" s="1922">
        <v>55786</v>
      </c>
      <c r="H308" s="1922">
        <f t="shared" si="80"/>
        <v>56804.269999999553</v>
      </c>
    </row>
    <row r="309" spans="1:8" ht="12.75">
      <c r="A309" s="1465" t="s">
        <v>2673</v>
      </c>
      <c r="B309" s="1465" t="s">
        <v>2674</v>
      </c>
      <c r="C309" s="3016" t="s">
        <v>2731</v>
      </c>
      <c r="D309" s="3017" t="s">
        <v>2732</v>
      </c>
      <c r="E309" s="1465" t="s">
        <v>2703</v>
      </c>
      <c r="F309" s="3026">
        <v>7622061.21</v>
      </c>
      <c r="G309" s="3026">
        <v>12453.53</v>
      </c>
    </row>
    <row r="310" spans="1:8" ht="12.75">
      <c r="A310" s="1228" t="s">
        <v>2733</v>
      </c>
      <c r="B310" s="1228"/>
      <c r="C310" s="1229" t="s">
        <v>2734</v>
      </c>
      <c r="D310" s="1229" t="s">
        <v>2735</v>
      </c>
      <c r="E310"/>
      <c r="F310" s="1926">
        <f>SUM(F305:F309)</f>
        <v>117114423.89</v>
      </c>
      <c r="G310" s="1926">
        <f t="shared" ref="G310:H310" si="81">SUM(G305:G309)</f>
        <v>171031.53</v>
      </c>
      <c r="H310" s="1926">
        <f t="shared" si="81"/>
        <v>483344.3200000003</v>
      </c>
    </row>
    <row r="311" spans="1:8" ht="12.75">
      <c r="A311" t="s">
        <v>1260</v>
      </c>
      <c r="B311" t="s">
        <v>2662</v>
      </c>
      <c r="C311" s="2926" t="s">
        <v>2811</v>
      </c>
      <c r="D311" s="2926" t="s">
        <v>2812</v>
      </c>
      <c r="E311" t="s">
        <v>1363</v>
      </c>
      <c r="F311" s="1922">
        <v>60568671</v>
      </c>
      <c r="G311" s="1922">
        <v>47271</v>
      </c>
      <c r="H311" s="1922">
        <f>+F305-F311</f>
        <v>426541</v>
      </c>
    </row>
    <row r="312" spans="1:8" ht="12.75">
      <c r="A312" t="s">
        <v>1386</v>
      </c>
      <c r="B312" t="s">
        <v>2665</v>
      </c>
      <c r="C312" s="2926" t="s">
        <v>2727</v>
      </c>
      <c r="D312" s="2926" t="s">
        <v>810</v>
      </c>
      <c r="E312" t="s">
        <v>1256</v>
      </c>
      <c r="F312" s="1922">
        <v>20943360</v>
      </c>
      <c r="G312" s="1922">
        <v>0</v>
      </c>
      <c r="H312" s="1922">
        <f t="shared" ref="H312:H315" si="82">+F306-F312</f>
        <v>0</v>
      </c>
    </row>
    <row r="313" spans="1:8" ht="12.75">
      <c r="A313" t="s">
        <v>2274</v>
      </c>
      <c r="B313" t="s">
        <v>2668</v>
      </c>
      <c r="C313" s="2926" t="s">
        <v>2813</v>
      </c>
      <c r="D313" s="2926" t="s">
        <v>2628</v>
      </c>
      <c r="E313" t="s">
        <v>2636</v>
      </c>
      <c r="F313" s="1922">
        <v>13503955.949999999</v>
      </c>
      <c r="G313" s="1922">
        <v>58617</v>
      </c>
      <c r="H313" s="1922">
        <f>+F307-F313</f>
        <v>416667</v>
      </c>
    </row>
    <row r="314" spans="1:8" ht="12.75">
      <c r="A314" s="22" t="s">
        <v>2277</v>
      </c>
      <c r="B314" s="22" t="s">
        <v>2669</v>
      </c>
      <c r="C314" s="3024" t="s">
        <v>2814</v>
      </c>
      <c r="D314" s="3024" t="s">
        <v>2815</v>
      </c>
      <c r="E314" t="s">
        <v>2672</v>
      </c>
      <c r="F314" s="1922">
        <v>13576362.859999999</v>
      </c>
      <c r="G314" s="1922">
        <v>57407</v>
      </c>
      <c r="H314" s="1922">
        <f t="shared" si="82"/>
        <v>56804.870000001043</v>
      </c>
    </row>
    <row r="315" spans="1:8" ht="12.75">
      <c r="A315" s="1465" t="s">
        <v>2673</v>
      </c>
      <c r="B315" s="1465" t="s">
        <v>2674</v>
      </c>
      <c r="C315" s="3017" t="s">
        <v>2731</v>
      </c>
      <c r="D315" s="3017" t="s">
        <v>810</v>
      </c>
      <c r="E315" s="1465" t="s">
        <v>2703</v>
      </c>
      <c r="F315" s="1922">
        <v>7622061.21</v>
      </c>
      <c r="G315" s="1922">
        <v>0</v>
      </c>
      <c r="H315" s="1922">
        <f t="shared" si="82"/>
        <v>0</v>
      </c>
    </row>
    <row r="316" spans="1:8" ht="12.75">
      <c r="A316" s="1228" t="s">
        <v>2816</v>
      </c>
      <c r="B316" s="1228"/>
      <c r="C316" s="2927" t="s">
        <v>2817</v>
      </c>
      <c r="D316" s="1229" t="s">
        <v>2818</v>
      </c>
      <c r="E316"/>
      <c r="F316" s="1926">
        <f>SUM(F311:F315)</f>
        <v>116214411.02</v>
      </c>
      <c r="G316" s="1926">
        <f t="shared" ref="G316:H316" si="83">SUM(G311:G315)</f>
        <v>163295</v>
      </c>
      <c r="H316" s="1926">
        <f t="shared" si="83"/>
        <v>900012.87000000104</v>
      </c>
    </row>
    <row r="317" spans="1:8" ht="12.75">
      <c r="A317" t="s">
        <v>1260</v>
      </c>
      <c r="B317" t="s">
        <v>2662</v>
      </c>
      <c r="C317" s="3060" t="s">
        <v>2819</v>
      </c>
      <c r="D317" s="2926" t="s">
        <v>2820</v>
      </c>
      <c r="E317" t="s">
        <v>1363</v>
      </c>
      <c r="F317" s="1922">
        <v>60142130</v>
      </c>
      <c r="G317" s="1922">
        <v>45426.51</v>
      </c>
      <c r="H317" s="1922">
        <f>+F311-F317</f>
        <v>426541</v>
      </c>
    </row>
    <row r="318" spans="1:8" ht="12.75">
      <c r="A318" t="s">
        <v>1386</v>
      </c>
      <c r="B318" t="s">
        <v>2665</v>
      </c>
      <c r="C318" s="2926" t="s">
        <v>2821</v>
      </c>
      <c r="D318" s="2926" t="s">
        <v>2822</v>
      </c>
      <c r="E318" t="s">
        <v>1256</v>
      </c>
      <c r="F318" s="1922">
        <v>20377320</v>
      </c>
      <c r="G318" s="1922">
        <v>104367.74</v>
      </c>
      <c r="H318" s="1922">
        <f t="shared" ref="H318:H319" si="84">+F312-F318</f>
        <v>566040</v>
      </c>
    </row>
    <row r="319" spans="1:8" ht="12.75">
      <c r="A319" t="s">
        <v>2274</v>
      </c>
      <c r="B319" t="s">
        <v>2668</v>
      </c>
      <c r="C319" s="2926" t="s">
        <v>2823</v>
      </c>
      <c r="D319" s="2926" t="s">
        <v>2824</v>
      </c>
      <c r="E319" t="s">
        <v>2636</v>
      </c>
      <c r="F319" s="1922">
        <v>13087288.949999999</v>
      </c>
      <c r="G319" s="1922">
        <v>55028.62</v>
      </c>
      <c r="H319" s="1922">
        <f t="shared" si="84"/>
        <v>416667</v>
      </c>
    </row>
    <row r="320" spans="1:8" ht="12.75">
      <c r="A320" s="22" t="s">
        <v>2277</v>
      </c>
      <c r="B320" s="22" t="s">
        <v>2669</v>
      </c>
      <c r="C320" s="3024" t="s">
        <v>2825</v>
      </c>
      <c r="D320" s="3024" t="s">
        <v>2826</v>
      </c>
      <c r="E320" t="s">
        <v>2672</v>
      </c>
      <c r="F320" s="1922">
        <v>13519557.99</v>
      </c>
      <c r="G320" s="1922">
        <v>55323.67</v>
      </c>
      <c r="H320" s="1922">
        <f>+F314-F320</f>
        <v>56804.86999999918</v>
      </c>
    </row>
    <row r="321" spans="1:8" ht="12.75">
      <c r="A321" s="1465" t="s">
        <v>2673</v>
      </c>
      <c r="B321" s="1465" t="s">
        <v>2674</v>
      </c>
      <c r="C321" s="3017" t="s">
        <v>2827</v>
      </c>
      <c r="D321" s="3017" t="s">
        <v>810</v>
      </c>
      <c r="E321" s="1465" t="s">
        <v>2703</v>
      </c>
      <c r="F321" s="1922">
        <v>7662061.21</v>
      </c>
      <c r="G321" s="1922">
        <v>0</v>
      </c>
    </row>
    <row r="322" spans="1:8" ht="12.75">
      <c r="A322" s="1228" t="s">
        <v>2828</v>
      </c>
      <c r="B322" s="1228"/>
      <c r="C322" s="2927" t="s">
        <v>2829</v>
      </c>
      <c r="D322" s="1229" t="s">
        <v>2830</v>
      </c>
      <c r="E322"/>
      <c r="F322" s="1926">
        <f>SUM(F317:F321)</f>
        <v>114788358.14999999</v>
      </c>
      <c r="G322" s="1926">
        <f t="shared" ref="G322:H322" si="85">SUM(G317:G321)</f>
        <v>260146.53999999998</v>
      </c>
      <c r="H322" s="1926">
        <f t="shared" si="85"/>
        <v>1466052.8699999992</v>
      </c>
    </row>
    <row r="323" spans="1:8" ht="12.75">
      <c r="A323" t="s">
        <v>1260</v>
      </c>
      <c r="B323" t="s">
        <v>2662</v>
      </c>
      <c r="C323" s="3060" t="s">
        <v>2837</v>
      </c>
      <c r="D323" s="2926" t="s">
        <v>2838</v>
      </c>
      <c r="E323" t="s">
        <v>1363</v>
      </c>
      <c r="F323" s="1922">
        <v>59715589</v>
      </c>
      <c r="G323" s="1922">
        <v>46610.15</v>
      </c>
      <c r="H323" s="1922">
        <f>+F317-F323</f>
        <v>426541</v>
      </c>
    </row>
    <row r="324" spans="1:8" ht="12.75">
      <c r="A324" t="s">
        <v>1386</v>
      </c>
      <c r="B324" t="s">
        <v>2665</v>
      </c>
      <c r="C324" s="2926" t="s">
        <v>2821</v>
      </c>
      <c r="D324" s="2926" t="s">
        <v>810</v>
      </c>
      <c r="E324" t="s">
        <v>1256</v>
      </c>
      <c r="F324" s="1922">
        <v>20377320</v>
      </c>
      <c r="G324" s="1922">
        <v>0</v>
      </c>
      <c r="H324" s="1922">
        <f t="shared" ref="H324:H325" si="86">+F318-F324</f>
        <v>0</v>
      </c>
    </row>
    <row r="325" spans="1:8" ht="12.75">
      <c r="A325" t="s">
        <v>2274</v>
      </c>
      <c r="B325" t="s">
        <v>2668</v>
      </c>
      <c r="C325" s="2926" t="s">
        <v>2839</v>
      </c>
      <c r="D325" s="2926" t="s">
        <v>2840</v>
      </c>
      <c r="E325" t="s">
        <v>2636</v>
      </c>
      <c r="F325" s="1922">
        <v>12670621.949999999</v>
      </c>
      <c r="G325" s="1922">
        <v>55108.39</v>
      </c>
      <c r="H325" s="1922">
        <f t="shared" si="86"/>
        <v>416667</v>
      </c>
    </row>
    <row r="326" spans="1:8" ht="12.75">
      <c r="A326" s="22" t="s">
        <v>2277</v>
      </c>
      <c r="B326" s="22" t="s">
        <v>2669</v>
      </c>
      <c r="C326" s="3024" t="s">
        <v>2841</v>
      </c>
      <c r="D326" s="3024" t="s">
        <v>2842</v>
      </c>
      <c r="E326" t="s">
        <v>2672</v>
      </c>
      <c r="F326" s="1922">
        <v>13462753.119999999</v>
      </c>
      <c r="G326" s="1922">
        <v>56928.61</v>
      </c>
      <c r="H326" s="1922">
        <f>+F320-F326</f>
        <v>56804.870000001043</v>
      </c>
    </row>
    <row r="327" spans="1:8" ht="12.75">
      <c r="A327" s="1465" t="s">
        <v>2673</v>
      </c>
      <c r="B327" s="1465" t="s">
        <v>2674</v>
      </c>
      <c r="C327" s="3017" t="s">
        <v>2731</v>
      </c>
      <c r="D327" s="3017" t="s">
        <v>810</v>
      </c>
      <c r="E327" s="1465" t="s">
        <v>2703</v>
      </c>
      <c r="F327" s="1922">
        <v>7622061.21</v>
      </c>
      <c r="G327" s="1922">
        <v>0</v>
      </c>
      <c r="H327" s="1922">
        <f>+F321-F327</f>
        <v>40000</v>
      </c>
    </row>
    <row r="328" spans="1:8" ht="12.75">
      <c r="A328" s="1228" t="s">
        <v>2843</v>
      </c>
      <c r="B328" s="1228"/>
      <c r="C328" s="2927" t="s">
        <v>2844</v>
      </c>
      <c r="D328" s="1229" t="s">
        <v>2845</v>
      </c>
      <c r="E328"/>
      <c r="F328" s="1926">
        <f>SUM(F323:F327)</f>
        <v>113848345.28</v>
      </c>
      <c r="G328" s="1926">
        <f t="shared" ref="G328:H328" si="87">SUM(G323:G327)</f>
        <v>158647.15000000002</v>
      </c>
      <c r="H328" s="1926">
        <f t="shared" si="87"/>
        <v>940012.87000000104</v>
      </c>
    </row>
    <row r="329" spans="1:8" ht="12.75">
      <c r="A329" t="s">
        <v>1260</v>
      </c>
      <c r="B329" t="s">
        <v>2662</v>
      </c>
      <c r="C329" s="3060" t="s">
        <v>2879</v>
      </c>
      <c r="D329" s="2926" t="s">
        <v>2880</v>
      </c>
      <c r="E329" t="s">
        <v>1363</v>
      </c>
      <c r="F329" s="1922">
        <v>59289048</v>
      </c>
      <c r="G329" s="1922">
        <v>46279.58</v>
      </c>
      <c r="H329" s="1922">
        <f>+F323-F329</f>
        <v>426541</v>
      </c>
    </row>
    <row r="330" spans="1:8" ht="12.75">
      <c r="A330" t="s">
        <v>1386</v>
      </c>
      <c r="B330" t="s">
        <v>2665</v>
      </c>
      <c r="C330" s="2926" t="s">
        <v>2821</v>
      </c>
      <c r="D330" s="2926" t="s">
        <v>810</v>
      </c>
      <c r="E330" t="s">
        <v>1256</v>
      </c>
      <c r="F330" s="1922">
        <v>20377320</v>
      </c>
      <c r="G330" s="1922">
        <v>0</v>
      </c>
      <c r="H330" s="1922">
        <f t="shared" ref="H330:H333" si="88">+F324-F330</f>
        <v>0</v>
      </c>
    </row>
    <row r="331" spans="1:8" ht="12.75">
      <c r="A331" t="s">
        <v>2274</v>
      </c>
      <c r="B331" t="s">
        <v>2668</v>
      </c>
      <c r="C331" s="2926" t="s">
        <v>2881</v>
      </c>
      <c r="D331" s="2926" t="s">
        <v>2882</v>
      </c>
      <c r="E331" t="s">
        <v>2636</v>
      </c>
      <c r="F331" s="1922">
        <v>12253954.949999999</v>
      </c>
      <c r="G331" s="1922">
        <v>53353.88</v>
      </c>
      <c r="H331" s="1922">
        <f t="shared" si="88"/>
        <v>416667</v>
      </c>
    </row>
    <row r="332" spans="1:8" ht="12.75">
      <c r="A332" s="22" t="s">
        <v>2277</v>
      </c>
      <c r="B332" s="22" t="s">
        <v>2669</v>
      </c>
      <c r="C332" s="3024" t="s">
        <v>2883</v>
      </c>
      <c r="D332" s="3024" t="s">
        <v>2884</v>
      </c>
      <c r="E332" t="s">
        <v>2672</v>
      </c>
      <c r="F332" s="1922">
        <v>13405948.25</v>
      </c>
      <c r="G332" s="1922">
        <v>56689.41</v>
      </c>
      <c r="H332" s="1922">
        <f t="shared" si="88"/>
        <v>56804.86999999918</v>
      </c>
    </row>
    <row r="333" spans="1:8" ht="12.75">
      <c r="A333" s="1465" t="s">
        <v>2673</v>
      </c>
      <c r="B333" s="1465" t="s">
        <v>2674</v>
      </c>
      <c r="C333" s="3017" t="s">
        <v>2731</v>
      </c>
      <c r="D333" s="3017" t="s">
        <v>2885</v>
      </c>
      <c r="E333" s="1465" t="s">
        <v>2703</v>
      </c>
      <c r="F333" s="1922">
        <v>7622061.21</v>
      </c>
      <c r="G333" s="1922">
        <v>20937.38</v>
      </c>
      <c r="H333" s="1922">
        <f t="shared" si="88"/>
        <v>0</v>
      </c>
    </row>
    <row r="334" spans="1:8" ht="12.75">
      <c r="A334" s="1228" t="s">
        <v>2886</v>
      </c>
      <c r="B334" s="1228"/>
      <c r="C334" s="2927" t="s">
        <v>2887</v>
      </c>
      <c r="D334" s="1229" t="s">
        <v>2888</v>
      </c>
      <c r="E334"/>
      <c r="F334" s="1926">
        <f>SUM(F329:F333)</f>
        <v>112948332.41</v>
      </c>
      <c r="G334" s="1926">
        <f t="shared" ref="G334:H334" si="89">SUM(G329:G333)</f>
        <v>177260.25</v>
      </c>
      <c r="H334" s="1926">
        <f t="shared" si="89"/>
        <v>900012.86999999918</v>
      </c>
    </row>
    <row r="335" spans="1:8" ht="12.75">
      <c r="A335" t="s">
        <v>1260</v>
      </c>
      <c r="B335" t="s">
        <v>2662</v>
      </c>
      <c r="C335" s="3060" t="s">
        <v>2889</v>
      </c>
      <c r="D335" s="2926" t="s">
        <v>2890</v>
      </c>
      <c r="E335" t="s">
        <v>1363</v>
      </c>
      <c r="F335" s="1922">
        <v>58862507</v>
      </c>
      <c r="G335" s="1922">
        <v>44466.78</v>
      </c>
      <c r="H335" s="1922">
        <f>+F329-F335</f>
        <v>426541</v>
      </c>
    </row>
    <row r="336" spans="1:8" ht="12.75">
      <c r="A336" t="s">
        <v>1386</v>
      </c>
      <c r="B336" t="s">
        <v>2665</v>
      </c>
      <c r="C336" s="2926" t="s">
        <v>2891</v>
      </c>
      <c r="D336" s="2926" t="s">
        <v>2892</v>
      </c>
      <c r="E336" t="s">
        <v>1256</v>
      </c>
      <c r="F336" s="1922">
        <v>19811280</v>
      </c>
      <c r="G336" s="1922">
        <v>101546.98</v>
      </c>
      <c r="H336" s="1922">
        <f t="shared" ref="H336:H338" si="90">+F330-F336</f>
        <v>566040</v>
      </c>
    </row>
    <row r="337" spans="1:10" ht="12.75">
      <c r="A337" t="s">
        <v>2274</v>
      </c>
      <c r="B337" t="s">
        <v>2668</v>
      </c>
      <c r="C337" s="2926" t="s">
        <v>2893</v>
      </c>
      <c r="D337" s="2926" t="s">
        <v>2894</v>
      </c>
      <c r="E337" t="s">
        <v>2636</v>
      </c>
      <c r="F337" s="1922">
        <v>12202030.949999999</v>
      </c>
      <c r="G337" s="1922">
        <v>46934.86</v>
      </c>
      <c r="H337" s="1922">
        <f t="shared" si="90"/>
        <v>51924</v>
      </c>
    </row>
    <row r="338" spans="1:10" ht="12.75">
      <c r="A338" s="22" t="s">
        <v>2277</v>
      </c>
      <c r="B338" s="22" t="s">
        <v>2669</v>
      </c>
      <c r="C338" s="3024" t="s">
        <v>2895</v>
      </c>
      <c r="D338" s="3024" t="s">
        <v>2896</v>
      </c>
      <c r="E338" t="s">
        <v>2672</v>
      </c>
      <c r="F338" s="1922">
        <v>13349143.380000001</v>
      </c>
      <c r="G338" s="1922">
        <v>54629.24</v>
      </c>
      <c r="H338" s="1922">
        <f t="shared" si="90"/>
        <v>56804.86999999918</v>
      </c>
    </row>
    <row r="339" spans="1:10" ht="12.75">
      <c r="A339" s="1465" t="s">
        <v>2673</v>
      </c>
      <c r="B339" s="1465" t="s">
        <v>2674</v>
      </c>
      <c r="C339" s="3017" t="s">
        <v>2897</v>
      </c>
      <c r="D339" s="3017" t="s">
        <v>2898</v>
      </c>
      <c r="E339" s="1465" t="s">
        <v>2703</v>
      </c>
      <c r="F339" s="1922">
        <v>14440276.869999999</v>
      </c>
      <c r="G339" s="1922">
        <v>31741.200000000001</v>
      </c>
      <c r="J339" s="1921">
        <f>+G339/F339</f>
        <v>2.1981018983052228E-3</v>
      </c>
    </row>
    <row r="340" spans="1:10" ht="12.75">
      <c r="A340" s="1228" t="s">
        <v>2899</v>
      </c>
      <c r="B340" s="1228"/>
      <c r="C340" s="2927" t="s">
        <v>2900</v>
      </c>
      <c r="D340" s="1229" t="s">
        <v>2901</v>
      </c>
      <c r="E340"/>
      <c r="F340" s="1926">
        <f>SUM(F335:F339)</f>
        <v>118665238.2</v>
      </c>
      <c r="G340" s="1926">
        <f t="shared" ref="G340:H340" si="91">SUM(G335:G339)</f>
        <v>279319.06</v>
      </c>
      <c r="H340" s="1926">
        <f t="shared" si="91"/>
        <v>1101309.8699999992</v>
      </c>
    </row>
    <row r="341" spans="1:10">
      <c r="J341" s="1921">
        <f>+G339*3</f>
        <v>95223.6</v>
      </c>
    </row>
    <row r="342" spans="1:10">
      <c r="J342" s="1922">
        <f>+J341+G339+G333</f>
        <v>147902.18</v>
      </c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workbookViewId="0"/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>
      <c r="A2" s="1449" t="s">
        <v>1818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149999999999999" thickBot="1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27.4" thickBot="1">
      <c r="A4" s="277" t="s">
        <v>220</v>
      </c>
      <c r="B4" s="278"/>
      <c r="C4" s="1527" t="s">
        <v>63</v>
      </c>
      <c r="D4" s="1531" t="s">
        <v>2127</v>
      </c>
      <c r="E4" s="1904" t="s">
        <v>1158</v>
      </c>
      <c r="F4" s="1905" t="s">
        <v>1159</v>
      </c>
      <c r="G4" s="1906" t="s">
        <v>1819</v>
      </c>
      <c r="H4" s="1905" t="s">
        <v>1820</v>
      </c>
      <c r="I4" s="1907" t="s">
        <v>2338</v>
      </c>
      <c r="J4" s="1461"/>
    </row>
    <row r="5" spans="1:10" ht="12" customHeight="1" thickBot="1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>
      <c r="A6" s="1420" t="s">
        <v>221</v>
      </c>
      <c r="B6" s="1421" t="s">
        <v>222</v>
      </c>
      <c r="C6" s="1422"/>
      <c r="D6" s="1534">
        <f>SUM(D7:D26)</f>
        <v>191588.33000000002</v>
      </c>
      <c r="E6" s="1423">
        <f t="shared" ref="E6:I6" si="0">SUM(E7:E26)</f>
        <v>176266.96123000002</v>
      </c>
      <c r="F6" s="1423">
        <f t="shared" si="0"/>
        <v>177804.61959230001</v>
      </c>
      <c r="G6" s="1423">
        <f t="shared" si="0"/>
        <v>182463.72443006901</v>
      </c>
      <c r="H6" s="1423">
        <f t="shared" si="0"/>
        <v>187262.60241297109</v>
      </c>
      <c r="I6" s="1423">
        <f t="shared" si="0"/>
        <v>192613.17904497174</v>
      </c>
      <c r="J6" s="298"/>
    </row>
    <row r="7" spans="1:10" s="286" customFormat="1" ht="18" customHeight="1" outlineLevel="1" thickTop="1">
      <c r="A7" s="879"/>
      <c r="B7" s="1100" t="s">
        <v>1150</v>
      </c>
      <c r="C7" s="1908">
        <v>1111</v>
      </c>
      <c r="D7" s="1535">
        <f>+'Souhrn příjmů a výdajů 2025'!J7/1000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>
      <c r="A8" s="879"/>
      <c r="B8" s="1095" t="s">
        <v>1152</v>
      </c>
      <c r="C8" s="1909">
        <v>1112</v>
      </c>
      <c r="D8" s="1536">
        <f>+'Souhrn příjmů a výdajů 2025'!J8/1000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>
      <c r="A9" s="879"/>
      <c r="B9" s="1095" t="s">
        <v>1153</v>
      </c>
      <c r="C9" s="1909">
        <v>1112</v>
      </c>
      <c r="D9" s="1536">
        <f>+'Souhrn příjmů a výdajů 2025'!J10/1000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>
      <c r="A10" s="879"/>
      <c r="B10" s="1095" t="s">
        <v>1151</v>
      </c>
      <c r="C10" s="1909">
        <v>1113</v>
      </c>
      <c r="D10" s="1536">
        <f>+'Souhrn příjmů a výdajů 2025'!J9/1000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>
      <c r="A11" s="879"/>
      <c r="B11" s="1095" t="s">
        <v>15</v>
      </c>
      <c r="C11" s="1909">
        <v>1121</v>
      </c>
      <c r="D11" s="1536">
        <f>+'Souhrn příjmů a výdajů 2025'!J12/1000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>
      <c r="A12" s="879"/>
      <c r="B12" s="1095" t="s">
        <v>2079</v>
      </c>
      <c r="C12" s="1909">
        <v>1122</v>
      </c>
      <c r="D12" s="1536">
        <f>+'Souhrn příjmů a výdajů 2025'!J13/1000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8" t="s">
        <v>16</v>
      </c>
      <c r="C13" s="1910">
        <v>1211</v>
      </c>
      <c r="D13" s="1537">
        <f>+'Souhrn příjmů a výdajů 2025'!J14/1000</f>
        <v>77563.517999999996</v>
      </c>
      <c r="E13" s="1459">
        <f t="shared" ref="E13:E19" si="8">+D13</f>
        <v>77563.517999999996</v>
      </c>
      <c r="F13" s="1459">
        <f t="shared" si="2"/>
        <v>78339.153179999994</v>
      </c>
      <c r="G13" s="1459">
        <f t="shared" ref="G13:I19" si="9">+F13*1.03</f>
        <v>80689.327775400001</v>
      </c>
      <c r="H13" s="1459">
        <f t="shared" si="9"/>
        <v>83110.00760866201</v>
      </c>
      <c r="I13" s="1459">
        <f t="shared" si="9"/>
        <v>85603.307836921871</v>
      </c>
      <c r="J13" s="289"/>
    </row>
    <row r="14" spans="1:10" s="290" customFormat="1" ht="18" customHeight="1" outlineLevel="1">
      <c r="A14" s="881"/>
      <c r="B14" s="1458" t="s">
        <v>1951</v>
      </c>
      <c r="C14" s="1910" t="s">
        <v>17</v>
      </c>
      <c r="D14" s="1537">
        <f>+'Souhrn příjmů a výdajů 2025'!J15/1000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>
      <c r="A15" s="880"/>
      <c r="B15" s="1458" t="s">
        <v>20</v>
      </c>
      <c r="C15" s="1910" t="s">
        <v>19</v>
      </c>
      <c r="D15" s="1537">
        <f>+'Souhrn příjmů a výdajů 2025'!J16/1000</f>
        <v>7924.2240000000002</v>
      </c>
      <c r="E15" s="1459">
        <f t="shared" si="8"/>
        <v>7924.2240000000002</v>
      </c>
      <c r="F15" s="1459">
        <f t="shared" si="10"/>
        <v>7924.2240000000002</v>
      </c>
      <c r="G15" s="1459">
        <f t="shared" si="10"/>
        <v>7924.2240000000002</v>
      </c>
      <c r="H15" s="1459">
        <f t="shared" si="10"/>
        <v>7924.2240000000002</v>
      </c>
      <c r="I15" s="1459">
        <f t="shared" si="10"/>
        <v>7924.2240000000002</v>
      </c>
      <c r="J15" s="289"/>
    </row>
    <row r="16" spans="1:10" ht="18" customHeight="1" outlineLevel="1">
      <c r="A16" s="880"/>
      <c r="B16" s="1458" t="s">
        <v>21</v>
      </c>
      <c r="C16" s="1910">
        <v>1341</v>
      </c>
      <c r="D16" s="1537">
        <f>+'Souhrn příjmů a výdajů 2025'!J17/1000</f>
        <v>260</v>
      </c>
      <c r="E16" s="1459">
        <f t="shared" si="8"/>
        <v>260</v>
      </c>
      <c r="F16" s="1459">
        <f t="shared" si="10"/>
        <v>260</v>
      </c>
      <c r="G16" s="1459">
        <f t="shared" si="10"/>
        <v>260</v>
      </c>
      <c r="H16" s="1459">
        <f t="shared" si="10"/>
        <v>260</v>
      </c>
      <c r="I16" s="1459">
        <f t="shared" si="10"/>
        <v>260</v>
      </c>
      <c r="J16" s="289"/>
    </row>
    <row r="17" spans="1:10" ht="18" customHeight="1" outlineLevel="1">
      <c r="A17" s="880"/>
      <c r="B17" s="1458" t="s">
        <v>22</v>
      </c>
      <c r="C17" s="1910">
        <v>1343</v>
      </c>
      <c r="D17" s="1537">
        <f>+'Souhrn příjmů a výdajů 2025'!J18/1000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>
      <c r="A18" s="880"/>
      <c r="B18" s="1458" t="s">
        <v>23</v>
      </c>
      <c r="C18" s="1910">
        <v>1344</v>
      </c>
      <c r="D18" s="1537">
        <f>+'Souhrn příjmů a výdajů 2025'!J19/1000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>
      <c r="A19" s="880"/>
      <c r="B19" s="1458" t="s">
        <v>24</v>
      </c>
      <c r="C19" s="1910">
        <v>1345</v>
      </c>
      <c r="D19" s="1537">
        <f>+'Souhrn příjmů a výdajů 2025'!J20/1000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>
      <c r="A20" s="880"/>
      <c r="B20" s="1458" t="s">
        <v>25</v>
      </c>
      <c r="C20" s="1910">
        <v>1347</v>
      </c>
      <c r="D20" s="1537">
        <f>+'Souhrn příjmů a výdajů 2025'!J21/1000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>
      <c r="A21" s="881"/>
      <c r="B21" s="1460" t="s">
        <v>27</v>
      </c>
      <c r="C21" s="1910" t="s">
        <v>26</v>
      </c>
      <c r="D21" s="1537">
        <f>+'Souhrn příjmů a výdajů 2025'!J22/1000</f>
        <v>2520</v>
      </c>
      <c r="E21" s="1459"/>
      <c r="F21" s="1459"/>
      <c r="G21" s="1459"/>
      <c r="H21" s="1459"/>
      <c r="I21" s="1459"/>
      <c r="J21" s="289"/>
    </row>
    <row r="22" spans="1:10" ht="18" customHeight="1" outlineLevel="1">
      <c r="A22" s="880"/>
      <c r="B22" s="1458" t="s">
        <v>480</v>
      </c>
      <c r="C22" s="1910" t="s">
        <v>26</v>
      </c>
      <c r="D22" s="1537">
        <f>+'Souhrn příjmů a výdajů 2025'!J23/1000</f>
        <v>13080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>
      <c r="A23" s="880"/>
      <c r="B23" s="1458" t="s">
        <v>30</v>
      </c>
      <c r="C23" s="1910" t="s">
        <v>29</v>
      </c>
      <c r="D23" s="1537">
        <f>+'Souhrn příjmů a výdajů 2025'!J24/1000</f>
        <v>500</v>
      </c>
      <c r="E23" s="1459">
        <f>+D23</f>
        <v>500</v>
      </c>
      <c r="F23" s="1459">
        <f t="shared" ref="F23:I26" si="12">+E23</f>
        <v>500</v>
      </c>
      <c r="G23" s="1459">
        <f t="shared" si="12"/>
        <v>500</v>
      </c>
      <c r="H23" s="1459">
        <f t="shared" si="12"/>
        <v>500</v>
      </c>
      <c r="I23" s="1459">
        <f t="shared" si="12"/>
        <v>500</v>
      </c>
      <c r="J23" s="289"/>
    </row>
    <row r="24" spans="1:10" ht="18" customHeight="1" outlineLevel="1">
      <c r="A24" s="880"/>
      <c r="B24" s="1458" t="s">
        <v>28</v>
      </c>
      <c r="C24" s="1910">
        <v>1381</v>
      </c>
      <c r="D24" s="1537">
        <f>+'Souhrn příjmů a výdajů 2025'!J25/1000</f>
        <v>0</v>
      </c>
      <c r="E24" s="1459">
        <f>+D24</f>
        <v>0</v>
      </c>
      <c r="F24" s="1459">
        <f t="shared" si="12"/>
        <v>0</v>
      </c>
      <c r="G24" s="1459">
        <f t="shared" si="12"/>
        <v>0</v>
      </c>
      <c r="H24" s="1459">
        <f t="shared" si="12"/>
        <v>0</v>
      </c>
      <c r="I24" s="1459">
        <f t="shared" si="12"/>
        <v>0</v>
      </c>
      <c r="J24" s="289"/>
    </row>
    <row r="25" spans="1:10" s="290" customFormat="1" ht="18" customHeight="1" outlineLevel="1">
      <c r="A25" s="881"/>
      <c r="B25" s="1095" t="s">
        <v>482</v>
      </c>
      <c r="C25" s="1910">
        <v>1385</v>
      </c>
      <c r="D25" s="1536">
        <f>+'Souhrn příjmů a výdajů 2025'!J26/1000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>
      <c r="A26" s="880"/>
      <c r="B26" s="1458" t="s">
        <v>31</v>
      </c>
      <c r="C26" s="1910">
        <v>1511</v>
      </c>
      <c r="D26" s="832">
        <f>+'Souhrn příjmů a výdajů 2025'!J27/1000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6.5" thickBot="1">
      <c r="A27" s="1424" t="s">
        <v>223</v>
      </c>
      <c r="B27" s="1425" t="s">
        <v>224</v>
      </c>
      <c r="C27" s="1426"/>
      <c r="D27" s="1538">
        <f>SUM(D28:D72)</f>
        <v>30511.343000000001</v>
      </c>
      <c r="E27" s="1427">
        <f t="shared" ref="E27:I27" si="13">SUM(E28:E72)</f>
        <v>29125.535</v>
      </c>
      <c r="F27" s="1427">
        <f t="shared" si="13"/>
        <v>29100.535</v>
      </c>
      <c r="G27" s="1427">
        <f t="shared" si="13"/>
        <v>29100.535</v>
      </c>
      <c r="H27" s="1427">
        <f t="shared" si="13"/>
        <v>29100.535</v>
      </c>
      <c r="I27" s="1427">
        <f t="shared" si="13"/>
        <v>29100.535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2025'!J31/1000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1537</v>
      </c>
      <c r="C29" s="608">
        <v>2111</v>
      </c>
      <c r="D29" s="831">
        <f>+'Souhrn příjmů a výdajů 2025'!J32/1000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1538</v>
      </c>
      <c r="C30" s="608">
        <v>2322</v>
      </c>
      <c r="D30" s="831">
        <f>+'Souhrn příjmů a výdajů 2025'!J33/1000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9" t="s">
        <v>40</v>
      </c>
      <c r="D31" s="1536">
        <f>+'Souhrn příjmů a výdajů 2025'!J34/1000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>
      <c r="A32" s="879"/>
      <c r="B32" s="1095" t="s">
        <v>43</v>
      </c>
      <c r="C32" s="1909" t="s">
        <v>40</v>
      </c>
      <c r="D32" s="1536">
        <f>+'Souhrn příjmů a výdajů 2025'!J35/1000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2025'!J36/1000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2025'!J37/1000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2025'!J38/1000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9"/>
    </row>
    <row r="36" spans="1:10" ht="17.25" customHeight="1" outlineLevel="1">
      <c r="A36" s="880"/>
      <c r="B36" s="1091" t="s">
        <v>1539</v>
      </c>
      <c r="C36" s="608">
        <v>2321</v>
      </c>
      <c r="D36" s="831">
        <f>+'Souhrn příjmů a výdajů 2025'!J39/1000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2025'!J40/1000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2025'!J41/1000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2025'!J42/1000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2025'!J44/1000</f>
        <v>983.6</v>
      </c>
      <c r="E40" s="212">
        <f>+'Příjmy kapitol celkem'!S42/1000</f>
        <v>330.005</v>
      </c>
      <c r="F40" s="212">
        <f>+'Příjmy kapitol celkem'!T42/1000</f>
        <v>330.005</v>
      </c>
      <c r="G40" s="212">
        <f>+'Příjmy kapitol celkem'!U42/1000</f>
        <v>330.005</v>
      </c>
      <c r="H40" s="212">
        <f>+'Příjmy kapitol celkem'!V42/1000</f>
        <v>330.005</v>
      </c>
      <c r="I40" s="212">
        <f>+'Příjmy kapitol celkem'!W42/1000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2025'!J45/1000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2025'!J46/1000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1540</v>
      </c>
      <c r="C43" s="608">
        <v>2322</v>
      </c>
      <c r="D43" s="831">
        <f>+'Souhrn příjmů a výdajů 2025'!J47/1000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1236</v>
      </c>
      <c r="C44" s="608">
        <v>3122</v>
      </c>
      <c r="D44" s="831">
        <f>+'Souhrn příjmů a výdajů 2025'!J48/1000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2025'!J50/1000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2025'!J51/1000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741</v>
      </c>
      <c r="C47" s="608">
        <v>2111</v>
      </c>
      <c r="D47" s="831">
        <f>+'Souhrn příjmů a výdajů 2025'!J52/1000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2025'!J53/1000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2025'!J54/1000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2025'!J55/1000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>
      <c r="A51" s="881"/>
      <c r="B51" s="1458" t="s">
        <v>1541</v>
      </c>
      <c r="C51" s="1910">
        <v>2321</v>
      </c>
      <c r="D51" s="831">
        <f>+'Souhrn příjmů a výdajů 2025'!J56/1000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8" t="s">
        <v>1540</v>
      </c>
      <c r="C52" s="1910">
        <v>2322</v>
      </c>
      <c r="D52" s="831">
        <f>+'Souhrn příjmů a výdajů 2025'!J57/1000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8" t="s">
        <v>964</v>
      </c>
      <c r="C53" s="1910" t="s">
        <v>44</v>
      </c>
      <c r="D53" s="831">
        <f>+'Souhrn příjmů a výdajů 2025'!J58/1000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2025'!J59/1000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742</v>
      </c>
      <c r="C55" s="608">
        <v>2111</v>
      </c>
      <c r="D55" s="831">
        <f>+'Souhrn příjmů a výdajů 2025'!J60/1000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2080</v>
      </c>
      <c r="C56" s="608">
        <v>2324</v>
      </c>
      <c r="D56" s="831">
        <f>+'Souhrn příjmů a výdajů 2025'!J61/1000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1512</v>
      </c>
      <c r="C57" s="608">
        <v>2321</v>
      </c>
      <c r="D57" s="831">
        <f>+'Souhrn příjmů a výdajů 2025'!J62/1000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2123</v>
      </c>
      <c r="C58" s="608">
        <v>2324</v>
      </c>
      <c r="D58" s="831">
        <f>+'Souhrn příjmů a výdajů 2025'!J63/1000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743</v>
      </c>
      <c r="C59" s="608">
        <v>2132</v>
      </c>
      <c r="D59" s="831">
        <f>+'Souhrn příjmů a výdajů 2025'!J64/1000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2025'!J65/1000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1237</v>
      </c>
      <c r="C61" s="608">
        <v>2111</v>
      </c>
      <c r="D61" s="831">
        <f>+'Souhrn příjmů a výdajů 2025'!J66/1000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1943</v>
      </c>
      <c r="C62" s="608">
        <v>2324</v>
      </c>
      <c r="D62" s="831">
        <f>+'Souhrn příjmů a výdajů 2025'!J67/1000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2025'!J68/1000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1238</v>
      </c>
      <c r="C64" s="608">
        <v>2321</v>
      </c>
      <c r="D64" s="831">
        <f>+'Souhrn příjmů a výdajů 2025'!J69/1000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2025'!J70/1000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2025'!J71/1000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1239</v>
      </c>
      <c r="C67" s="608">
        <v>2212</v>
      </c>
      <c r="D67" s="831">
        <f>+'Souhrn příjmů a výdajů 2025'!J72/1000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2025'!J73/1000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1240</v>
      </c>
      <c r="C69" s="608">
        <v>2212</v>
      </c>
      <c r="D69" s="831">
        <f>+'Souhrn příjmů a výdajů 2025'!J74/1000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744</v>
      </c>
      <c r="C70" s="608">
        <v>2141</v>
      </c>
      <c r="D70" s="831">
        <f>+'Souhrn příjmů a výdajů 2025'!J75/1000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2025'!J76/1000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745</v>
      </c>
      <c r="C72" s="1911">
        <v>2119</v>
      </c>
      <c r="D72" s="831">
        <f>+'Souhrn příjmů a výdajů 2025'!J77/1000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24" t="s">
        <v>226</v>
      </c>
      <c r="B74" s="1425" t="s">
        <v>227</v>
      </c>
      <c r="C74" s="1426"/>
      <c r="D74" s="1538">
        <f>SUM(D75:D77)</f>
        <v>65</v>
      </c>
      <c r="E74" s="1427">
        <f t="shared" ref="E74:I74" si="40">SUM(E75:E77)</f>
        <v>65</v>
      </c>
      <c r="F74" s="1427">
        <f t="shared" si="40"/>
        <v>65</v>
      </c>
      <c r="G74" s="1427">
        <f t="shared" si="40"/>
        <v>65</v>
      </c>
      <c r="H74" s="1427">
        <f t="shared" si="40"/>
        <v>65</v>
      </c>
      <c r="I74" s="1427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celkem'!E79/1000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celkem'!E76/1000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4" t="s">
        <v>230</v>
      </c>
      <c r="B79" s="1425" t="s">
        <v>231</v>
      </c>
      <c r="C79" s="1426"/>
      <c r="D79" s="1538">
        <f>SUM(D80:D107)</f>
        <v>44581.710999999996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>
      <c r="A80" s="880"/>
      <c r="B80" s="1091" t="s">
        <v>2106</v>
      </c>
      <c r="C80" s="327">
        <v>4111</v>
      </c>
      <c r="D80" s="829">
        <f>+'Souhrn příjmů a výdajů 2025'!J87/1000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2025'!J88/1000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2121</v>
      </c>
      <c r="C82" s="326">
        <v>4121</v>
      </c>
      <c r="D82" s="831">
        <f>+'Souhrn příjmů a výdajů 2025'!J89/1000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2081</v>
      </c>
      <c r="C83" s="326" t="s">
        <v>34</v>
      </c>
      <c r="D83" s="831">
        <f>+'Souhrn příjmů a výdajů 2025'!J90/1000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2082</v>
      </c>
      <c r="C84" s="327">
        <v>4121</v>
      </c>
      <c r="D84" s="831">
        <f>+'Souhrn příjmů a výdajů 2025'!J91/1000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2083</v>
      </c>
      <c r="C85" s="326">
        <v>4121</v>
      </c>
      <c r="D85" s="831">
        <f>+'Souhrn příjmů a výdajů 2025'!J92/1000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2084</v>
      </c>
      <c r="C86" s="326">
        <v>4122</v>
      </c>
      <c r="D86" s="831">
        <f>+'Souhrn příjmů a výdajů 2025'!J93/1000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2025'!J94/1000</f>
        <v>10095.200000000001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2088</v>
      </c>
      <c r="C88" s="326">
        <v>4222</v>
      </c>
      <c r="D88" s="831">
        <f>+'Souhrn příjmů a výdajů 2025'!J95/1000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2130</v>
      </c>
      <c r="C89" s="326">
        <v>4216</v>
      </c>
      <c r="D89" s="831">
        <f>+'Souhrn příjmů a výdajů 2025'!J96/1000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2085</v>
      </c>
      <c r="C90" s="326" t="s">
        <v>36</v>
      </c>
      <c r="D90" s="831">
        <f>+'Souhrn příjmů a výdajů 2025'!J97/1000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2086</v>
      </c>
      <c r="C91" s="326">
        <v>4216</v>
      </c>
      <c r="D91" s="831">
        <f>+'Souhrn příjmů a výdajů 2025'!J98/1000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1932</v>
      </c>
      <c r="C92" s="327">
        <v>4117</v>
      </c>
      <c r="D92" s="831">
        <f>+'Souhrn příjmů a výdajů 2025'!J99/1000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2025'!J100/1000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2025'!J101/1000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962</v>
      </c>
      <c r="C95" s="327">
        <v>4216</v>
      </c>
      <c r="D95" s="832">
        <f>+'Souhrn příjmů a výdajů 2025'!J102/1000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2087</v>
      </c>
      <c r="C96" s="326">
        <v>4216</v>
      </c>
      <c r="D96" s="832">
        <f>+'Souhrn příjmů a výdajů 2025'!J103/1000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1243</v>
      </c>
      <c r="C97" s="327">
        <v>4222</v>
      </c>
      <c r="D97" s="832">
        <f>+'Souhrn příjmů a výdajů 2025'!J104/1000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2325</v>
      </c>
      <c r="C98" s="327">
        <v>4216</v>
      </c>
      <c r="D98" s="832">
        <f>+'Souhrn příjmů a výdajů 2025'!J105/1000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1941</v>
      </c>
      <c r="C99" s="327">
        <v>4216</v>
      </c>
      <c r="D99" s="832">
        <f>+'Souhrn příjmů a výdajů 2025'!J106/1000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1155</v>
      </c>
      <c r="C100" s="327" t="s">
        <v>36</v>
      </c>
      <c r="D100" s="832">
        <f>+'Souhrn příjmů a výdajů 2025'!J109/1000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963</v>
      </c>
      <c r="C101" s="327">
        <v>4216</v>
      </c>
      <c r="D101" s="832">
        <f>+'Souhrn příjmů a výdajů 2025'!J110/1000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1242</v>
      </c>
      <c r="C102" s="327">
        <v>4216</v>
      </c>
      <c r="D102" s="832">
        <f>+'Souhrn příjmů a výdajů 2025'!J111/1000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401" t="s">
        <v>1156</v>
      </c>
      <c r="C103" s="327" t="s">
        <v>36</v>
      </c>
      <c r="D103" s="832">
        <f>+'Souhrn příjmů a výdajů 2025'!J112/1000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1157</v>
      </c>
      <c r="C104" s="327" t="s">
        <v>36</v>
      </c>
      <c r="D104" s="832">
        <f>+'Souhrn příjmů a výdajů 2025'!J113/1000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2122</v>
      </c>
      <c r="C105" s="327">
        <v>4122</v>
      </c>
      <c r="D105" s="832">
        <f>+'Souhrn příjmů a výdajů 2025'!J114/1000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24" t="s">
        <v>232</v>
      </c>
      <c r="B108" s="1425" t="s">
        <v>233</v>
      </c>
      <c r="C108" s="1426"/>
      <c r="D108" s="1538">
        <f>SUM(D109:D111)</f>
        <v>15000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2025'!J117/1000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777</v>
      </c>
      <c r="C110" s="608" t="s">
        <v>38</v>
      </c>
      <c r="D110" s="234">
        <f>'Příjmy kapitol celkem'!E102/1000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775</v>
      </c>
      <c r="C111" s="608" t="s">
        <v>60</v>
      </c>
      <c r="D111" s="234">
        <f>+'Souhrn příjmů a výdajů 2025'!J119/1000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24" t="s">
        <v>235</v>
      </c>
      <c r="B113" s="1425"/>
      <c r="C113" s="1426"/>
      <c r="D113" s="1538">
        <f t="shared" ref="D113:I113" si="48">+D108+D79+D74+D27+D6</f>
        <v>281746.38400000002</v>
      </c>
      <c r="E113" s="1427">
        <f t="shared" si="48"/>
        <v>220557.49623000002</v>
      </c>
      <c r="F113" s="1427">
        <f t="shared" si="48"/>
        <v>282570.15459230001</v>
      </c>
      <c r="G113" s="1427">
        <f t="shared" si="48"/>
        <v>218971.25943006901</v>
      </c>
      <c r="H113" s="1427">
        <f t="shared" si="48"/>
        <v>220463.13741297109</v>
      </c>
      <c r="I113" s="1427">
        <f t="shared" si="48"/>
        <v>225813.71404497174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9">
        <f>+D113-'Příjmy kapitol celkem'!K106/1000</f>
        <v>-153748.69399999996</v>
      </c>
      <c r="E114" s="284"/>
      <c r="F114" s="284"/>
      <c r="G114" s="284"/>
      <c r="H114" s="284"/>
      <c r="I114" s="1540"/>
      <c r="J114" s="289"/>
    </row>
    <row r="115" spans="1:11" ht="16.5" hidden="1" thickTop="1" thickBot="1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9" hidden="1" customHeight="1" thickTop="1" thickBot="1">
      <c r="A116" s="1428" t="s">
        <v>237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31" t="s">
        <v>238</v>
      </c>
      <c r="B118" s="1432" t="s">
        <v>239</v>
      </c>
      <c r="C118" s="1433"/>
      <c r="D118" s="1545">
        <f>+D119+D129</f>
        <v>240125.7869982</v>
      </c>
      <c r="E118" s="1434">
        <f t="shared" ref="E118:I118" si="50">+E119+E129</f>
        <v>245590.37304949501</v>
      </c>
      <c r="F118" s="1434">
        <f t="shared" si="50"/>
        <v>251507.48935133981</v>
      </c>
      <c r="G118" s="1434">
        <f t="shared" si="50"/>
        <v>257081.29547030001</v>
      </c>
      <c r="H118" s="1434">
        <f t="shared" si="50"/>
        <v>262593.72611354012</v>
      </c>
      <c r="I118" s="1434">
        <f t="shared" si="50"/>
        <v>269178.55421318708</v>
      </c>
      <c r="J118" s="289"/>
      <c r="K118" s="291"/>
    </row>
    <row r="119" spans="1:11" s="281" customFormat="1" ht="16.5" thickBot="1">
      <c r="A119" s="884"/>
      <c r="B119" s="1435" t="s">
        <v>734</v>
      </c>
      <c r="C119" s="1436"/>
      <c r="D119" s="1546">
        <f>SUM(D120:D127)</f>
        <v>50271.491300000002</v>
      </c>
      <c r="E119" s="1437">
        <f t="shared" ref="E119:I119" si="51">SUM(E120:E127)</f>
        <v>50683.221150000005</v>
      </c>
      <c r="F119" s="1437">
        <f t="shared" si="51"/>
        <v>51104.663571750003</v>
      </c>
      <c r="G119" s="1437">
        <f t="shared" si="51"/>
        <v>51536.142062355757</v>
      </c>
      <c r="H119" s="1437">
        <f t="shared" si="51"/>
        <v>51977.991383771536</v>
      </c>
      <c r="I119" s="1437">
        <f t="shared" si="51"/>
        <v>52430.557956868448</v>
      </c>
      <c r="J119" s="289"/>
    </row>
    <row r="120" spans="1:11" s="292" customFormat="1" ht="16.149999999999999" outlineLevel="1" thickTop="1">
      <c r="A120" s="885"/>
      <c r="B120" s="1093" t="s">
        <v>64</v>
      </c>
      <c r="C120" s="1912">
        <v>5011</v>
      </c>
      <c r="D120" s="1547">
        <f>'Výdaje kapitol celkem'!I8/1000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>
      <c r="A121" s="885"/>
      <c r="B121" s="1094" t="s">
        <v>65</v>
      </c>
      <c r="C121" s="1913">
        <v>5021</v>
      </c>
      <c r="D121" s="1548">
        <f>'Výdaje kapitol celkem'!I9/1000</f>
        <v>2076.5</v>
      </c>
      <c r="E121" s="887">
        <f>+D121*1.035</f>
        <v>2149.1774999999998</v>
      </c>
      <c r="F121" s="887">
        <f t="shared" ref="F121:I121" si="52">+E121*1.035</f>
        <v>2224.3987124999994</v>
      </c>
      <c r="G121" s="887">
        <f t="shared" si="52"/>
        <v>2302.2526674374994</v>
      </c>
      <c r="H121" s="887">
        <f t="shared" si="52"/>
        <v>2382.8315107978119</v>
      </c>
      <c r="I121" s="887">
        <f t="shared" si="52"/>
        <v>2466.2306136757352</v>
      </c>
      <c r="J121" s="1408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celkem'!I10/1000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>
      <c r="A123" s="880"/>
      <c r="B123" s="1095" t="s">
        <v>733</v>
      </c>
      <c r="C123" s="1909">
        <v>5024</v>
      </c>
      <c r="D123" s="1536">
        <f>'Výdaje kapitol celkem'!I11/1000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celkem'!I12/1000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celkem'!I13/1000</f>
        <v>9344.125</v>
      </c>
      <c r="E125" s="212">
        <f>+D125/(D120+D121+D122)*(E120+E121+E122)</f>
        <v>9420.7443750000002</v>
      </c>
      <c r="F125" s="212">
        <f t="shared" ref="F125:I125" si="55">+E125/(E120+E121+E122)*(F120+F121+F122)</f>
        <v>9499.1689406250007</v>
      </c>
      <c r="G125" s="212">
        <f t="shared" si="55"/>
        <v>9579.458810840626</v>
      </c>
      <c r="H125" s="212">
        <f t="shared" si="55"/>
        <v>9661.6761928643264</v>
      </c>
      <c r="I125" s="212">
        <f t="shared" si="55"/>
        <v>9745.8854603916116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celkem'!I14/1000</f>
        <v>3363.8850000000002</v>
      </c>
      <c r="E126" s="212">
        <f>+D126/(D120+D121+D122)*(E120+E121+E122)</f>
        <v>3391.4679750000005</v>
      </c>
      <c r="F126" s="212">
        <f t="shared" ref="F126:I126" si="56">+E126/(E120+E121+E122)*(F120+F121+F122)</f>
        <v>3419.7008186250005</v>
      </c>
      <c r="G126" s="212">
        <f t="shared" si="56"/>
        <v>3448.6051719026259</v>
      </c>
      <c r="H126" s="212">
        <f t="shared" si="56"/>
        <v>3478.2034294311579</v>
      </c>
      <c r="I126" s="212">
        <f t="shared" si="56"/>
        <v>3508.5187657409806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celkem'!I15/1000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8" t="s">
        <v>240</v>
      </c>
      <c r="C129" s="1914"/>
      <c r="D129" s="1538">
        <f>SUM(D130:D166)</f>
        <v>189854.2956982</v>
      </c>
      <c r="E129" s="1427">
        <f t="shared" ref="E129:I129" si="58">SUM(E130:E166)</f>
        <v>194907.15189949502</v>
      </c>
      <c r="F129" s="1427">
        <f t="shared" si="58"/>
        <v>200402.82577958982</v>
      </c>
      <c r="G129" s="1427">
        <f t="shared" si="58"/>
        <v>205545.15340794425</v>
      </c>
      <c r="H129" s="1427">
        <f t="shared" si="58"/>
        <v>210615.73472976859</v>
      </c>
      <c r="I129" s="1427">
        <f t="shared" si="58"/>
        <v>216747.99625631864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celkem'!P17/1000</f>
        <v>0</v>
      </c>
      <c r="E130" s="883">
        <f>'Výdaje kapitol celkem'!Q17</f>
        <v>0</v>
      </c>
      <c r="F130" s="883">
        <f>'Výdaje kapitol celkem'!R17</f>
        <v>0</v>
      </c>
      <c r="G130" s="883">
        <f>'Výdaje kapitol celkem'!S17</f>
        <v>0</v>
      </c>
      <c r="H130" s="883">
        <f>'Výdaje kapitol celkem'!T17</f>
        <v>0</v>
      </c>
      <c r="I130" s="883">
        <f>'Výdaje kapitol celkem'!U17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celkem'!P18/1000</f>
        <v>0</v>
      </c>
      <c r="E131" s="212">
        <f>'Výdaje kapitol celkem'!Q18</f>
        <v>0</v>
      </c>
      <c r="F131" s="212">
        <f>'Výdaje kapitol celkem'!R18</f>
        <v>0</v>
      </c>
      <c r="G131" s="212">
        <f>'Výdaje kapitol celkem'!S18</f>
        <v>0</v>
      </c>
      <c r="H131" s="212">
        <f>'Výdaje kapitol celkem'!T18</f>
        <v>0</v>
      </c>
      <c r="I131" s="212">
        <f>'Výdaje kapitol celkem'!U18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celkem'!I19/1000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celkem'!I20/1000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>
      <c r="A134" s="885"/>
      <c r="B134" s="1094" t="s">
        <v>75</v>
      </c>
      <c r="C134" s="1913">
        <v>5137</v>
      </c>
      <c r="D134" s="1548">
        <f>'Výdaje kapitol celkem'!I21/1000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celkem'!I22/1000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celkem'!I23/1000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celkem'!I24/1000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celkem'!I25/1000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celkem'!I26/1000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celkem'!I27/1000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celkem'!I28/1000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celkem'!I29/1000</f>
        <v>1307.99</v>
      </c>
      <c r="E142" s="212">
        <f t="shared" si="60"/>
        <v>1347.2297000000001</v>
      </c>
      <c r="F142" s="212">
        <f t="shared" si="60"/>
        <v>1387.6465910000002</v>
      </c>
      <c r="G142" s="212">
        <f t="shared" si="60"/>
        <v>1429.2759887300001</v>
      </c>
      <c r="H142" s="212">
        <f t="shared" si="60"/>
        <v>1472.1542683919001</v>
      </c>
      <c r="I142" s="212">
        <f t="shared" si="60"/>
        <v>1516.3188964436572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celkem'!I30/1000</f>
        <v>1623.355</v>
      </c>
      <c r="E143" s="212">
        <f t="shared" si="60"/>
        <v>1672.05565</v>
      </c>
      <c r="F143" s="212">
        <f t="shared" si="60"/>
        <v>1722.2173195</v>
      </c>
      <c r="G143" s="212">
        <f t="shared" si="60"/>
        <v>1773.8838390850001</v>
      </c>
      <c r="H143" s="212">
        <f t="shared" si="60"/>
        <v>1827.1003542575502</v>
      </c>
      <c r="I143" s="212">
        <f t="shared" si="60"/>
        <v>1881.9133648852767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celkem'!I31/1000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celkem'!I32/1000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celkem'!I33/1000</f>
        <v>967.42</v>
      </c>
      <c r="E146" s="212">
        <f t="shared" si="60"/>
        <v>996.44259999999997</v>
      </c>
      <c r="F146" s="212">
        <f t="shared" si="60"/>
        <v>1026.3358780000001</v>
      </c>
      <c r="G146" s="212">
        <f t="shared" si="60"/>
        <v>1057.1259543400001</v>
      </c>
      <c r="H146" s="212">
        <f t="shared" si="60"/>
        <v>1088.8397329702002</v>
      </c>
      <c r="I146" s="212">
        <f t="shared" si="60"/>
        <v>1121.5049249593062</v>
      </c>
      <c r="J146" s="289"/>
    </row>
    <row r="147" spans="1:11" outlineLevel="1">
      <c r="A147" s="885"/>
      <c r="B147" s="1094" t="s">
        <v>88</v>
      </c>
      <c r="C147" s="1913">
        <v>5169</v>
      </c>
      <c r="D147" s="1548">
        <f>'Výdaje kapitol celkem'!I34/1000</f>
        <v>26481.7</v>
      </c>
      <c r="E147" s="212">
        <f t="shared" si="60"/>
        <v>27276.151000000002</v>
      </c>
      <c r="F147" s="212">
        <f t="shared" si="60"/>
        <v>28094.435530000002</v>
      </c>
      <c r="G147" s="212">
        <f t="shared" si="60"/>
        <v>28937.268595900005</v>
      </c>
      <c r="H147" s="212">
        <f t="shared" si="60"/>
        <v>29805.386653777005</v>
      </c>
      <c r="I147" s="212">
        <f t="shared" si="60"/>
        <v>30699.548253390316</v>
      </c>
      <c r="J147" s="289"/>
      <c r="K147" s="293"/>
    </row>
    <row r="148" spans="1:11" s="292" customFormat="1" outlineLevel="1">
      <c r="A148" s="885"/>
      <c r="B148" s="1094" t="s">
        <v>89</v>
      </c>
      <c r="C148" s="1913">
        <v>5171</v>
      </c>
      <c r="D148" s="1548">
        <f>'Výdaje kapitol celkem'!I35/1000</f>
        <v>51344.2</v>
      </c>
      <c r="E148" s="212">
        <f t="shared" si="60"/>
        <v>52884.525999999998</v>
      </c>
      <c r="F148" s="212">
        <f t="shared" si="60"/>
        <v>54471.061779999996</v>
      </c>
      <c r="G148" s="212">
        <f t="shared" si="60"/>
        <v>56105.193633399998</v>
      </c>
      <c r="H148" s="212">
        <f t="shared" si="60"/>
        <v>57788.349442402003</v>
      </c>
      <c r="I148" s="212">
        <f t="shared" si="60"/>
        <v>59521.999925674063</v>
      </c>
      <c r="J148" s="1415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celkem'!I36/1000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celkem'!I37/1000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celkem'!I38/1000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celkem'!I39/1000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celkem'!I40/1000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celkem'!I41/1000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celkem'!I42/1000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celkem'!I43/1000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>
      <c r="A157" s="885"/>
      <c r="B157" s="1094" t="s">
        <v>97</v>
      </c>
      <c r="C157" s="1913">
        <v>5331</v>
      </c>
      <c r="D157" s="1548">
        <f>'Výdaje kapitol celkem'!I44/1000</f>
        <v>54036.224000000002</v>
      </c>
      <c r="E157" s="212">
        <f t="shared" si="60"/>
        <v>55657.310720000001</v>
      </c>
      <c r="F157" s="212">
        <f t="shared" si="60"/>
        <v>57327.030041600003</v>
      </c>
      <c r="G157" s="212">
        <f t="shared" si="60"/>
        <v>59046.840942848001</v>
      </c>
      <c r="H157" s="212">
        <f t="shared" si="60"/>
        <v>60818.24617113344</v>
      </c>
      <c r="I157" s="212">
        <f t="shared" si="60"/>
        <v>62642.793556267447</v>
      </c>
      <c r="J157" s="1407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celkem'!I45/1000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celkem'!I46/1000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>
      <c r="A160" s="880"/>
      <c r="B160" s="1091" t="s">
        <v>776</v>
      </c>
      <c r="C160" s="608">
        <v>5363</v>
      </c>
      <c r="D160" s="831">
        <f>'Výdaje kapitol celkem'!I47/1000</f>
        <v>10829.5</v>
      </c>
      <c r="E160" s="212">
        <f t="shared" si="60"/>
        <v>11154.385</v>
      </c>
      <c r="F160" s="212">
        <f t="shared" si="60"/>
        <v>11489.01655</v>
      </c>
      <c r="G160" s="212">
        <f t="shared" si="60"/>
        <v>11833.687046500001</v>
      </c>
      <c r="H160" s="212">
        <f t="shared" si="60"/>
        <v>12188.697657895002</v>
      </c>
      <c r="I160" s="212">
        <f t="shared" si="60"/>
        <v>12554.358587631852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celkem'!I48/1000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celkem'!I49/1000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celkem'!I50/1000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762</v>
      </c>
      <c r="C164" s="608">
        <v>5903</v>
      </c>
      <c r="D164" s="831">
        <f>'Výdaje kapitol celkem'!I51/1000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>
      <c r="A165" s="879"/>
      <c r="B165" s="1095" t="s">
        <v>129</v>
      </c>
      <c r="C165" s="1909">
        <v>5141</v>
      </c>
      <c r="D165" s="1536">
        <f>'Výdaje kapitol celkem'!I53/1000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11">
        <v>5144</v>
      </c>
      <c r="D166" s="832">
        <f>'Výdaje kapitol celkem'!I54/1000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24" t="s">
        <v>241</v>
      </c>
      <c r="B167" s="1439" t="s">
        <v>242</v>
      </c>
      <c r="C167" s="1914"/>
      <c r="D167" s="1538">
        <f>SUM(D168:D178)</f>
        <v>169262.97400000002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celkem'!I57/1000</f>
        <v>3269.88</v>
      </c>
      <c r="E168" s="883">
        <f>'Výdaje kapitol celkem'!J57</f>
        <v>0</v>
      </c>
      <c r="F168" s="883">
        <f>'Výdaje kapitol celkem'!K57</f>
        <v>0</v>
      </c>
      <c r="G168" s="883">
        <f>'Výdaje kapitol celkem'!L57</f>
        <v>0</v>
      </c>
      <c r="H168" s="883">
        <f>'Výdaje kapitol celkem'!M57</f>
        <v>0</v>
      </c>
      <c r="I168" s="883">
        <f>'Výdaje kapitol celkem'!N57</f>
        <v>0</v>
      </c>
      <c r="J168" s="289"/>
    </row>
    <row r="169" spans="1:10" s="292" customFormat="1" outlineLevel="1">
      <c r="A169" s="885"/>
      <c r="B169" s="1094" t="s">
        <v>105</v>
      </c>
      <c r="C169" s="1913">
        <v>6121</v>
      </c>
      <c r="D169" s="1548">
        <f>'Výdaje kapitol celkem'!I58/1000</f>
        <v>111587.202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>
      <c r="A170" s="885"/>
      <c r="B170" s="1094" t="s">
        <v>106</v>
      </c>
      <c r="C170" s="1913">
        <v>6121</v>
      </c>
      <c r="D170" s="831">
        <f>'Výdaje kapitol celkem'!I59/1000</f>
        <v>9291.66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>
      <c r="A171" s="885"/>
      <c r="B171" s="1094" t="s">
        <v>107</v>
      </c>
      <c r="C171" s="1913">
        <v>6122</v>
      </c>
      <c r="D171" s="1548">
        <f>'Výdaje kapitol celkem'!I60/1000</f>
        <v>720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celkem'!I61/1000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celkem'!I62/1000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celkem'!I63/1000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celkem'!I64/1000</f>
        <v>6300</v>
      </c>
      <c r="E175" s="212"/>
      <c r="F175" s="212"/>
      <c r="G175" s="212"/>
      <c r="H175" s="212"/>
      <c r="I175" s="212"/>
      <c r="J175" s="1415"/>
    </row>
    <row r="176" spans="1:10" ht="18.75" customHeight="1" outlineLevel="1">
      <c r="A176" s="880"/>
      <c r="B176" s="1091" t="s">
        <v>1149</v>
      </c>
      <c r="C176" s="608">
        <v>6349</v>
      </c>
      <c r="D176" s="831">
        <f>'Výdaje kapitol celkem'!I65/1000</f>
        <v>23600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celkem'!I66/1000</f>
        <v>8558.08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celkem'!I68/1000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24" t="s">
        <v>232</v>
      </c>
      <c r="B180" s="1439" t="s">
        <v>233</v>
      </c>
      <c r="C180" s="1914"/>
      <c r="D180" s="1538">
        <f>SUM(D181:D183)</f>
        <v>26106.317001800002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celkem'!I67/1000</f>
        <v>17625.350001800001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9" t="s">
        <v>115</v>
      </c>
      <c r="D183" s="1536">
        <f>'Výdaje kapitol celkem'!I71/1000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31" t="s">
        <v>243</v>
      </c>
      <c r="B185" s="1432"/>
      <c r="C185" s="1915"/>
      <c r="D185" s="1545">
        <f>+D180+D167+D118</f>
        <v>435495.07799999998</v>
      </c>
      <c r="E185" s="1434">
        <f t="shared" ref="E185:I185" si="63">+E180+E167+E118</f>
        <v>289921.03991435096</v>
      </c>
      <c r="F185" s="1434">
        <f t="shared" si="63"/>
        <v>343325.39751410426</v>
      </c>
      <c r="G185" s="1434">
        <f t="shared" si="63"/>
        <v>281747.25267375563</v>
      </c>
      <c r="H185" s="1434">
        <f t="shared" si="63"/>
        <v>275053.97578308644</v>
      </c>
      <c r="I185" s="1434">
        <f t="shared" si="63"/>
        <v>282856.95011577877</v>
      </c>
      <c r="J185" s="289"/>
    </row>
    <row r="186" spans="1:10" s="286" customFormat="1" hidden="1">
      <c r="A186" s="180"/>
      <c r="B186" s="180" t="s">
        <v>244</v>
      </c>
      <c r="C186" s="1916"/>
      <c r="D186" s="284">
        <f>+D185-'Výdaje kapitol celkem'!I74/1000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40" t="s">
        <v>1592</v>
      </c>
      <c r="B187" s="1441"/>
      <c r="C187" s="1917"/>
      <c r="D187" s="1442">
        <f>+D113-D185</f>
        <v>-153748.69399999996</v>
      </c>
      <c r="E187" s="1442">
        <f>+E113-E185</f>
        <v>-69363.543684350938</v>
      </c>
      <c r="F187" s="1442">
        <f t="shared" ref="F187:I187" si="64">+F113-F185</f>
        <v>-60755.242921804253</v>
      </c>
      <c r="G187" s="1442">
        <f t="shared" si="64"/>
        <v>-62775.993243686622</v>
      </c>
      <c r="H187" s="1442">
        <f t="shared" si="64"/>
        <v>-54590.838370115351</v>
      </c>
      <c r="I187" s="1442">
        <f t="shared" si="64"/>
        <v>-57043.236070807034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786</v>
      </c>
      <c r="C190" s="114"/>
      <c r="D190" s="113">
        <f t="shared" ref="D190:I190" si="65">+D6+D27+D74+D80+D82+D84</f>
        <v>222164.67300000001</v>
      </c>
      <c r="E190" s="113">
        <f t="shared" si="65"/>
        <v>205457.49623000002</v>
      </c>
      <c r="F190" s="113">
        <f t="shared" si="65"/>
        <v>206970.15459230001</v>
      </c>
      <c r="G190" s="113">
        <f t="shared" si="65"/>
        <v>211629.25943006901</v>
      </c>
      <c r="H190" s="113">
        <f t="shared" si="65"/>
        <v>216428.13741297109</v>
      </c>
      <c r="I190" s="113">
        <f t="shared" si="65"/>
        <v>221778.71404497174</v>
      </c>
      <c r="J190" s="289"/>
    </row>
    <row r="191" spans="1:10" ht="15.75" customHeight="1">
      <c r="A191" s="109"/>
      <c r="B191" s="109" t="s">
        <v>787</v>
      </c>
      <c r="C191" s="114"/>
      <c r="D191" s="113">
        <f>+D119+D129</f>
        <v>240125.7869982</v>
      </c>
      <c r="E191" s="113">
        <f t="shared" ref="E191:I191" si="66">+E119+E129</f>
        <v>245590.37304949501</v>
      </c>
      <c r="F191" s="113">
        <f t="shared" si="66"/>
        <v>251507.48935133981</v>
      </c>
      <c r="G191" s="113">
        <f t="shared" si="66"/>
        <v>257081.29547030001</v>
      </c>
      <c r="H191" s="113">
        <f t="shared" si="66"/>
        <v>262593.72611354012</v>
      </c>
      <c r="I191" s="113">
        <f t="shared" si="66"/>
        <v>269178.55421318708</v>
      </c>
      <c r="J191" s="289"/>
    </row>
    <row r="192" spans="1:10" s="299" customFormat="1" ht="15.75" customHeight="1" thickBot="1">
      <c r="A192" s="295"/>
      <c r="B192" s="889" t="s">
        <v>788</v>
      </c>
      <c r="C192" s="890"/>
      <c r="D192" s="891">
        <f t="shared" ref="D192:I192" si="67">+D190-D191</f>
        <v>-17961.113998199988</v>
      </c>
      <c r="E192" s="891">
        <f t="shared" si="67"/>
        <v>-40132.876819494995</v>
      </c>
      <c r="F192" s="891">
        <f t="shared" si="67"/>
        <v>-44537.334759039804</v>
      </c>
      <c r="G192" s="891">
        <f t="shared" si="67"/>
        <v>-45452.036040231003</v>
      </c>
      <c r="H192" s="891">
        <f t="shared" si="67"/>
        <v>-46165.588700569031</v>
      </c>
      <c r="I192" s="891">
        <f t="shared" si="67"/>
        <v>-47399.840168215334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790</v>
      </c>
      <c r="C195" s="890"/>
      <c r="D195" s="891">
        <f t="shared" ref="D195:I195" si="69">+D192-D194</f>
        <v>-26442.080998199988</v>
      </c>
      <c r="E195" s="891">
        <f t="shared" si="69"/>
        <v>-45905.129819494992</v>
      </c>
      <c r="F195" s="891">
        <f t="shared" si="69"/>
        <v>-49883.046759039804</v>
      </c>
      <c r="G195" s="891">
        <f t="shared" si="69"/>
        <v>-50797.748040231003</v>
      </c>
      <c r="H195" s="891">
        <f t="shared" si="69"/>
        <v>-51511.300700569031</v>
      </c>
      <c r="I195" s="891">
        <f t="shared" si="69"/>
        <v>-52745.552168215334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791</v>
      </c>
      <c r="C197" s="114"/>
      <c r="D197" s="113">
        <f t="shared" ref="D197:I197" si="70">+D79-D80-D82-D84</f>
        <v>44581.710999999996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169262.97400000002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792</v>
      </c>
      <c r="C199" s="890"/>
      <c r="D199" s="891">
        <f>+D195+D197-D198</f>
        <v>-151123.3439982</v>
      </c>
      <c r="E199" s="891">
        <f t="shared" ref="E199:I199" si="72">+E195+E197-E198</f>
        <v>-84363.543684350967</v>
      </c>
      <c r="F199" s="891">
        <f t="shared" si="72"/>
        <v>-136255.24292180428</v>
      </c>
      <c r="G199" s="891">
        <f t="shared" si="72"/>
        <v>-70017.993243686593</v>
      </c>
      <c r="H199" s="891">
        <f t="shared" si="72"/>
        <v>-58525.838370115329</v>
      </c>
      <c r="I199" s="891">
        <f t="shared" si="72"/>
        <v>-60978.236070807034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657</v>
      </c>
      <c r="B205" s="295"/>
      <c r="C205" s="875"/>
      <c r="D205" s="876">
        <f>+D212/D207</f>
        <v>4.0917127128997775E-2</v>
      </c>
      <c r="E205" s="876">
        <f t="shared" ref="E205:I205" si="75">+E212/E207</f>
        <v>3.662942023720045E-2</v>
      </c>
      <c r="F205" s="876">
        <f t="shared" si="75"/>
        <v>3.2857316410820438E-2</v>
      </c>
      <c r="G205" s="876">
        <f t="shared" si="75"/>
        <v>2.8838310592141758E-2</v>
      </c>
      <c r="H205" s="876">
        <f t="shared" si="75"/>
        <v>2.469571523303473E-2</v>
      </c>
      <c r="I205" s="876">
        <f t="shared" si="75"/>
        <v>2.4100006724183796E-2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652</v>
      </c>
      <c r="C207" s="893"/>
      <c r="D207" s="894">
        <f>SUM(D208:D210)</f>
        <v>264161.38400000002</v>
      </c>
      <c r="E207" s="894">
        <f t="shared" ref="E207:I207" si="76">SUM(E208:E210)</f>
        <v>205492.49623000002</v>
      </c>
      <c r="F207" s="894">
        <f t="shared" si="76"/>
        <v>207005.15459230001</v>
      </c>
      <c r="G207" s="894">
        <f t="shared" si="76"/>
        <v>211664.25943006901</v>
      </c>
      <c r="H207" s="894">
        <f t="shared" si="76"/>
        <v>216463.13741297109</v>
      </c>
      <c r="I207" s="894">
        <f t="shared" si="76"/>
        <v>221813.71404497174</v>
      </c>
      <c r="J207" s="298"/>
      <c r="K207" s="302"/>
    </row>
    <row r="208" spans="1:11" ht="16.149999999999999" thickTop="1">
      <c r="A208" s="109"/>
      <c r="B208" s="287" t="s">
        <v>654</v>
      </c>
      <c r="C208" s="114"/>
      <c r="D208" s="190">
        <f t="shared" ref="D208:I208" si="77">+D6-D21</f>
        <v>189068.33000000002</v>
      </c>
      <c r="E208" s="190">
        <f t="shared" si="77"/>
        <v>176266.96123000002</v>
      </c>
      <c r="F208" s="190">
        <f t="shared" si="77"/>
        <v>177804.61959230001</v>
      </c>
      <c r="G208" s="190">
        <f t="shared" si="77"/>
        <v>182463.72443006901</v>
      </c>
      <c r="H208" s="190">
        <f t="shared" si="77"/>
        <v>187262.60241297109</v>
      </c>
      <c r="I208" s="190">
        <f t="shared" si="77"/>
        <v>192613.17904497174</v>
      </c>
      <c r="J208" s="289"/>
    </row>
    <row r="209" spans="1:11">
      <c r="A209" s="109"/>
      <c r="B209" s="287" t="s">
        <v>655</v>
      </c>
      <c r="C209" s="114"/>
      <c r="D209" s="190">
        <f t="shared" ref="D209:I209" si="78">+D27</f>
        <v>30511.343000000001</v>
      </c>
      <c r="E209" s="190">
        <f t="shared" si="78"/>
        <v>29125.535</v>
      </c>
      <c r="F209" s="190">
        <f t="shared" si="78"/>
        <v>29100.535</v>
      </c>
      <c r="G209" s="190">
        <f t="shared" si="78"/>
        <v>29100.535</v>
      </c>
      <c r="H209" s="190">
        <f t="shared" si="78"/>
        <v>29100.535</v>
      </c>
      <c r="I209" s="190">
        <f t="shared" si="78"/>
        <v>29100.535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44581.710999999996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246</v>
      </c>
      <c r="C217" s="114"/>
      <c r="D217" s="304">
        <f t="shared" ref="D217:I217" si="81">+D6+D27+D80+D83-D118-D21</f>
        <v>-20546.113998199988</v>
      </c>
      <c r="E217" s="304">
        <f t="shared" si="81"/>
        <v>-40197.876819494995</v>
      </c>
      <c r="F217" s="304">
        <f t="shared" si="81"/>
        <v>-44602.334759039804</v>
      </c>
      <c r="G217" s="304">
        <f t="shared" si="81"/>
        <v>-45517.036040231003</v>
      </c>
      <c r="H217" s="304">
        <f t="shared" si="81"/>
        <v>-46230.588700569031</v>
      </c>
      <c r="I217" s="304">
        <f t="shared" si="81"/>
        <v>-47464.840168215334</v>
      </c>
      <c r="J217" s="289"/>
    </row>
    <row r="218" spans="1:11" s="303" customFormat="1" ht="16.5" thickBot="1">
      <c r="A218" s="189"/>
      <c r="B218" s="892" t="s">
        <v>247</v>
      </c>
      <c r="C218" s="893"/>
      <c r="D218" s="895">
        <f t="shared" ref="D218:I218" si="82">D217/(D6+D27+D80+D82+D74)</f>
        <v>-9.2481463055109514E-2</v>
      </c>
      <c r="E218" s="895">
        <f t="shared" si="82"/>
        <v>-0.19565057278073397</v>
      </c>
      <c r="F218" s="895">
        <f t="shared" si="82"/>
        <v>-0.21550128735662238</v>
      </c>
      <c r="G218" s="895">
        <f t="shared" si="82"/>
        <v>-0.21507912546124888</v>
      </c>
      <c r="H218" s="895">
        <f t="shared" si="82"/>
        <v>-0.21360710882224834</v>
      </c>
      <c r="I218" s="895">
        <f t="shared" si="82"/>
        <v>-0.21401891688573202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676</v>
      </c>
      <c r="C220" s="294"/>
      <c r="D220" s="305">
        <f>+D221/D222</f>
        <v>1.6783673768616683E-5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761</v>
      </c>
      <c r="C221" s="114"/>
      <c r="D221" s="306">
        <f>+D212/(D202+D197)</f>
        <v>0.18141011310836644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1591</v>
      </c>
      <c r="E223" s="307" t="s">
        <v>1821</v>
      </c>
      <c r="F223" s="307" t="s">
        <v>1822</v>
      </c>
      <c r="G223" s="307" t="s">
        <v>1823</v>
      </c>
      <c r="H223" s="307" t="s">
        <v>1824</v>
      </c>
      <c r="I223" s="307" t="s">
        <v>1825</v>
      </c>
      <c r="J223" s="289"/>
    </row>
    <row r="224" spans="1:11" s="281" customFormat="1" ht="16.5" thickBot="1">
      <c r="A224" s="189"/>
      <c r="B224" s="1918" t="s">
        <v>726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728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729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766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766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149999999999999" hidden="1">
      <c r="A229" s="189"/>
      <c r="B229" s="309" t="s">
        <v>766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149999999999999">
      <c r="A230" s="295"/>
      <c r="B230" s="309" t="s">
        <v>1162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149999999999999">
      <c r="A231" s="296"/>
      <c r="B231" s="1443" t="s">
        <v>1590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149999999999999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workbookViewId="0"/>
  </sheetViews>
  <sheetFormatPr defaultColWidth="8.86328125" defaultRowHeight="12.75" zeroHeight="1"/>
  <cols>
    <col min="1" max="1" width="118.265625" style="1465" customWidth="1"/>
    <col min="2" max="2" width="26.86328125" style="1465" customWidth="1"/>
    <col min="3" max="3" width="20" style="1465" customWidth="1"/>
    <col min="4" max="4" width="29.73046875" style="1465" bestFit="1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118.265625" style="1465" customWidth="1"/>
    <col min="258" max="258" width="26.86328125" style="1465" customWidth="1"/>
    <col min="259" max="259" width="20" style="1465" customWidth="1"/>
    <col min="260" max="260" width="29.73046875" style="1465" bestFit="1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118.265625" style="1465" customWidth="1"/>
    <col min="514" max="514" width="26.86328125" style="1465" customWidth="1"/>
    <col min="515" max="515" width="20" style="1465" customWidth="1"/>
    <col min="516" max="516" width="29.73046875" style="1465" bestFit="1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118.265625" style="1465" customWidth="1"/>
    <col min="770" max="770" width="26.86328125" style="1465" customWidth="1"/>
    <col min="771" max="771" width="20" style="1465" customWidth="1"/>
    <col min="772" max="772" width="29.73046875" style="1465" bestFit="1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118.265625" style="1465" customWidth="1"/>
    <col min="1026" max="1026" width="26.86328125" style="1465" customWidth="1"/>
    <col min="1027" max="1027" width="20" style="1465" customWidth="1"/>
    <col min="1028" max="1028" width="29.73046875" style="1465" bestFit="1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118.265625" style="1465" customWidth="1"/>
    <col min="1282" max="1282" width="26.86328125" style="1465" customWidth="1"/>
    <col min="1283" max="1283" width="20" style="1465" customWidth="1"/>
    <col min="1284" max="1284" width="29.73046875" style="1465" bestFit="1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118.265625" style="1465" customWidth="1"/>
    <col min="1538" max="1538" width="26.86328125" style="1465" customWidth="1"/>
    <col min="1539" max="1539" width="20" style="1465" customWidth="1"/>
    <col min="1540" max="1540" width="29.73046875" style="1465" bestFit="1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118.265625" style="1465" customWidth="1"/>
    <col min="1794" max="1794" width="26.86328125" style="1465" customWidth="1"/>
    <col min="1795" max="1795" width="20" style="1465" customWidth="1"/>
    <col min="1796" max="1796" width="29.73046875" style="1465" bestFit="1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118.265625" style="1465" customWidth="1"/>
    <col min="2050" max="2050" width="26.86328125" style="1465" customWidth="1"/>
    <col min="2051" max="2051" width="20" style="1465" customWidth="1"/>
    <col min="2052" max="2052" width="29.73046875" style="1465" bestFit="1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118.265625" style="1465" customWidth="1"/>
    <col min="2306" max="2306" width="26.86328125" style="1465" customWidth="1"/>
    <col min="2307" max="2307" width="20" style="1465" customWidth="1"/>
    <col min="2308" max="2308" width="29.73046875" style="1465" bestFit="1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118.265625" style="1465" customWidth="1"/>
    <col min="2562" max="2562" width="26.86328125" style="1465" customWidth="1"/>
    <col min="2563" max="2563" width="20" style="1465" customWidth="1"/>
    <col min="2564" max="2564" width="29.73046875" style="1465" bestFit="1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118.265625" style="1465" customWidth="1"/>
    <col min="2818" max="2818" width="26.86328125" style="1465" customWidth="1"/>
    <col min="2819" max="2819" width="20" style="1465" customWidth="1"/>
    <col min="2820" max="2820" width="29.73046875" style="1465" bestFit="1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118.265625" style="1465" customWidth="1"/>
    <col min="3074" max="3074" width="26.86328125" style="1465" customWidth="1"/>
    <col min="3075" max="3075" width="20" style="1465" customWidth="1"/>
    <col min="3076" max="3076" width="29.73046875" style="1465" bestFit="1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118.265625" style="1465" customWidth="1"/>
    <col min="3330" max="3330" width="26.86328125" style="1465" customWidth="1"/>
    <col min="3331" max="3331" width="20" style="1465" customWidth="1"/>
    <col min="3332" max="3332" width="29.73046875" style="1465" bestFit="1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118.265625" style="1465" customWidth="1"/>
    <col min="3586" max="3586" width="26.86328125" style="1465" customWidth="1"/>
    <col min="3587" max="3587" width="20" style="1465" customWidth="1"/>
    <col min="3588" max="3588" width="29.73046875" style="1465" bestFit="1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118.265625" style="1465" customWidth="1"/>
    <col min="3842" max="3842" width="26.86328125" style="1465" customWidth="1"/>
    <col min="3843" max="3843" width="20" style="1465" customWidth="1"/>
    <col min="3844" max="3844" width="29.73046875" style="1465" bestFit="1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118.265625" style="1465" customWidth="1"/>
    <col min="4098" max="4098" width="26.86328125" style="1465" customWidth="1"/>
    <col min="4099" max="4099" width="20" style="1465" customWidth="1"/>
    <col min="4100" max="4100" width="29.73046875" style="1465" bestFit="1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118.265625" style="1465" customWidth="1"/>
    <col min="4354" max="4354" width="26.86328125" style="1465" customWidth="1"/>
    <col min="4355" max="4355" width="20" style="1465" customWidth="1"/>
    <col min="4356" max="4356" width="29.73046875" style="1465" bestFit="1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118.265625" style="1465" customWidth="1"/>
    <col min="4610" max="4610" width="26.86328125" style="1465" customWidth="1"/>
    <col min="4611" max="4611" width="20" style="1465" customWidth="1"/>
    <col min="4612" max="4612" width="29.73046875" style="1465" bestFit="1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118.265625" style="1465" customWidth="1"/>
    <col min="4866" max="4866" width="26.86328125" style="1465" customWidth="1"/>
    <col min="4867" max="4867" width="20" style="1465" customWidth="1"/>
    <col min="4868" max="4868" width="29.73046875" style="1465" bestFit="1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118.265625" style="1465" customWidth="1"/>
    <col min="5122" max="5122" width="26.86328125" style="1465" customWidth="1"/>
    <col min="5123" max="5123" width="20" style="1465" customWidth="1"/>
    <col min="5124" max="5124" width="29.73046875" style="1465" bestFit="1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118.265625" style="1465" customWidth="1"/>
    <col min="5378" max="5378" width="26.86328125" style="1465" customWidth="1"/>
    <col min="5379" max="5379" width="20" style="1465" customWidth="1"/>
    <col min="5380" max="5380" width="29.73046875" style="1465" bestFit="1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118.265625" style="1465" customWidth="1"/>
    <col min="5634" max="5634" width="26.86328125" style="1465" customWidth="1"/>
    <col min="5635" max="5635" width="20" style="1465" customWidth="1"/>
    <col min="5636" max="5636" width="29.73046875" style="1465" bestFit="1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118.265625" style="1465" customWidth="1"/>
    <col min="5890" max="5890" width="26.86328125" style="1465" customWidth="1"/>
    <col min="5891" max="5891" width="20" style="1465" customWidth="1"/>
    <col min="5892" max="5892" width="29.73046875" style="1465" bestFit="1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118.265625" style="1465" customWidth="1"/>
    <col min="6146" max="6146" width="26.86328125" style="1465" customWidth="1"/>
    <col min="6147" max="6147" width="20" style="1465" customWidth="1"/>
    <col min="6148" max="6148" width="29.73046875" style="1465" bestFit="1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118.265625" style="1465" customWidth="1"/>
    <col min="6402" max="6402" width="26.86328125" style="1465" customWidth="1"/>
    <col min="6403" max="6403" width="20" style="1465" customWidth="1"/>
    <col min="6404" max="6404" width="29.73046875" style="1465" bestFit="1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118.265625" style="1465" customWidth="1"/>
    <col min="6658" max="6658" width="26.86328125" style="1465" customWidth="1"/>
    <col min="6659" max="6659" width="20" style="1465" customWidth="1"/>
    <col min="6660" max="6660" width="29.73046875" style="1465" bestFit="1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118.265625" style="1465" customWidth="1"/>
    <col min="6914" max="6914" width="26.86328125" style="1465" customWidth="1"/>
    <col min="6915" max="6915" width="20" style="1465" customWidth="1"/>
    <col min="6916" max="6916" width="29.73046875" style="1465" bestFit="1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118.265625" style="1465" customWidth="1"/>
    <col min="7170" max="7170" width="26.86328125" style="1465" customWidth="1"/>
    <col min="7171" max="7171" width="20" style="1465" customWidth="1"/>
    <col min="7172" max="7172" width="29.73046875" style="1465" bestFit="1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118.265625" style="1465" customWidth="1"/>
    <col min="7426" max="7426" width="26.86328125" style="1465" customWidth="1"/>
    <col min="7427" max="7427" width="20" style="1465" customWidth="1"/>
    <col min="7428" max="7428" width="29.73046875" style="1465" bestFit="1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118.265625" style="1465" customWidth="1"/>
    <col min="7682" max="7682" width="26.86328125" style="1465" customWidth="1"/>
    <col min="7683" max="7683" width="20" style="1465" customWidth="1"/>
    <col min="7684" max="7684" width="29.73046875" style="1465" bestFit="1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118.265625" style="1465" customWidth="1"/>
    <col min="7938" max="7938" width="26.86328125" style="1465" customWidth="1"/>
    <col min="7939" max="7939" width="20" style="1465" customWidth="1"/>
    <col min="7940" max="7940" width="29.73046875" style="1465" bestFit="1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118.265625" style="1465" customWidth="1"/>
    <col min="8194" max="8194" width="26.86328125" style="1465" customWidth="1"/>
    <col min="8195" max="8195" width="20" style="1465" customWidth="1"/>
    <col min="8196" max="8196" width="29.73046875" style="1465" bestFit="1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118.265625" style="1465" customWidth="1"/>
    <col min="8450" max="8450" width="26.86328125" style="1465" customWidth="1"/>
    <col min="8451" max="8451" width="20" style="1465" customWidth="1"/>
    <col min="8452" max="8452" width="29.73046875" style="1465" bestFit="1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118.265625" style="1465" customWidth="1"/>
    <col min="8706" max="8706" width="26.86328125" style="1465" customWidth="1"/>
    <col min="8707" max="8707" width="20" style="1465" customWidth="1"/>
    <col min="8708" max="8708" width="29.73046875" style="1465" bestFit="1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118.265625" style="1465" customWidth="1"/>
    <col min="8962" max="8962" width="26.86328125" style="1465" customWidth="1"/>
    <col min="8963" max="8963" width="20" style="1465" customWidth="1"/>
    <col min="8964" max="8964" width="29.73046875" style="1465" bestFit="1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118.265625" style="1465" customWidth="1"/>
    <col min="9218" max="9218" width="26.86328125" style="1465" customWidth="1"/>
    <col min="9219" max="9219" width="20" style="1465" customWidth="1"/>
    <col min="9220" max="9220" width="29.73046875" style="1465" bestFit="1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118.265625" style="1465" customWidth="1"/>
    <col min="9474" max="9474" width="26.86328125" style="1465" customWidth="1"/>
    <col min="9475" max="9475" width="20" style="1465" customWidth="1"/>
    <col min="9476" max="9476" width="29.73046875" style="1465" bestFit="1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118.265625" style="1465" customWidth="1"/>
    <col min="9730" max="9730" width="26.86328125" style="1465" customWidth="1"/>
    <col min="9731" max="9731" width="20" style="1465" customWidth="1"/>
    <col min="9732" max="9732" width="29.73046875" style="1465" bestFit="1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118.265625" style="1465" customWidth="1"/>
    <col min="9986" max="9986" width="26.86328125" style="1465" customWidth="1"/>
    <col min="9987" max="9987" width="20" style="1465" customWidth="1"/>
    <col min="9988" max="9988" width="29.73046875" style="1465" bestFit="1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118.265625" style="1465" customWidth="1"/>
    <col min="10242" max="10242" width="26.86328125" style="1465" customWidth="1"/>
    <col min="10243" max="10243" width="20" style="1465" customWidth="1"/>
    <col min="10244" max="10244" width="29.73046875" style="1465" bestFit="1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118.265625" style="1465" customWidth="1"/>
    <col min="10498" max="10498" width="26.86328125" style="1465" customWidth="1"/>
    <col min="10499" max="10499" width="20" style="1465" customWidth="1"/>
    <col min="10500" max="10500" width="29.73046875" style="1465" bestFit="1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118.265625" style="1465" customWidth="1"/>
    <col min="10754" max="10754" width="26.86328125" style="1465" customWidth="1"/>
    <col min="10755" max="10755" width="20" style="1465" customWidth="1"/>
    <col min="10756" max="10756" width="29.73046875" style="1465" bestFit="1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118.265625" style="1465" customWidth="1"/>
    <col min="11010" max="11010" width="26.86328125" style="1465" customWidth="1"/>
    <col min="11011" max="11011" width="20" style="1465" customWidth="1"/>
    <col min="11012" max="11012" width="29.73046875" style="1465" bestFit="1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118.265625" style="1465" customWidth="1"/>
    <col min="11266" max="11266" width="26.86328125" style="1465" customWidth="1"/>
    <col min="11267" max="11267" width="20" style="1465" customWidth="1"/>
    <col min="11268" max="11268" width="29.73046875" style="1465" bestFit="1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118.265625" style="1465" customWidth="1"/>
    <col min="11522" max="11522" width="26.86328125" style="1465" customWidth="1"/>
    <col min="11523" max="11523" width="20" style="1465" customWidth="1"/>
    <col min="11524" max="11524" width="29.73046875" style="1465" bestFit="1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118.265625" style="1465" customWidth="1"/>
    <col min="11778" max="11778" width="26.86328125" style="1465" customWidth="1"/>
    <col min="11779" max="11779" width="20" style="1465" customWidth="1"/>
    <col min="11780" max="11780" width="29.73046875" style="1465" bestFit="1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118.265625" style="1465" customWidth="1"/>
    <col min="12034" max="12034" width="26.86328125" style="1465" customWidth="1"/>
    <col min="12035" max="12035" width="20" style="1465" customWidth="1"/>
    <col min="12036" max="12036" width="29.73046875" style="1465" bestFit="1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118.265625" style="1465" customWidth="1"/>
    <col min="12290" max="12290" width="26.86328125" style="1465" customWidth="1"/>
    <col min="12291" max="12291" width="20" style="1465" customWidth="1"/>
    <col min="12292" max="12292" width="29.73046875" style="1465" bestFit="1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118.265625" style="1465" customWidth="1"/>
    <col min="12546" max="12546" width="26.86328125" style="1465" customWidth="1"/>
    <col min="12547" max="12547" width="20" style="1465" customWidth="1"/>
    <col min="12548" max="12548" width="29.73046875" style="1465" bestFit="1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118.265625" style="1465" customWidth="1"/>
    <col min="12802" max="12802" width="26.86328125" style="1465" customWidth="1"/>
    <col min="12803" max="12803" width="20" style="1465" customWidth="1"/>
    <col min="12804" max="12804" width="29.73046875" style="1465" bestFit="1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118.265625" style="1465" customWidth="1"/>
    <col min="13058" max="13058" width="26.86328125" style="1465" customWidth="1"/>
    <col min="13059" max="13059" width="20" style="1465" customWidth="1"/>
    <col min="13060" max="13060" width="29.73046875" style="1465" bestFit="1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118.265625" style="1465" customWidth="1"/>
    <col min="13314" max="13314" width="26.86328125" style="1465" customWidth="1"/>
    <col min="13315" max="13315" width="20" style="1465" customWidth="1"/>
    <col min="13316" max="13316" width="29.73046875" style="1465" bestFit="1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118.265625" style="1465" customWidth="1"/>
    <col min="13570" max="13570" width="26.86328125" style="1465" customWidth="1"/>
    <col min="13571" max="13571" width="20" style="1465" customWidth="1"/>
    <col min="13572" max="13572" width="29.73046875" style="1465" bestFit="1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118.265625" style="1465" customWidth="1"/>
    <col min="13826" max="13826" width="26.86328125" style="1465" customWidth="1"/>
    <col min="13827" max="13827" width="20" style="1465" customWidth="1"/>
    <col min="13828" max="13828" width="29.73046875" style="1465" bestFit="1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118.265625" style="1465" customWidth="1"/>
    <col min="14082" max="14082" width="26.86328125" style="1465" customWidth="1"/>
    <col min="14083" max="14083" width="20" style="1465" customWidth="1"/>
    <col min="14084" max="14084" width="29.73046875" style="1465" bestFit="1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118.265625" style="1465" customWidth="1"/>
    <col min="14338" max="14338" width="26.86328125" style="1465" customWidth="1"/>
    <col min="14339" max="14339" width="20" style="1465" customWidth="1"/>
    <col min="14340" max="14340" width="29.73046875" style="1465" bestFit="1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118.265625" style="1465" customWidth="1"/>
    <col min="14594" max="14594" width="26.86328125" style="1465" customWidth="1"/>
    <col min="14595" max="14595" width="20" style="1465" customWidth="1"/>
    <col min="14596" max="14596" width="29.73046875" style="1465" bestFit="1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118.265625" style="1465" customWidth="1"/>
    <col min="14850" max="14850" width="26.86328125" style="1465" customWidth="1"/>
    <col min="14851" max="14851" width="20" style="1465" customWidth="1"/>
    <col min="14852" max="14852" width="29.73046875" style="1465" bestFit="1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118.265625" style="1465" customWidth="1"/>
    <col min="15106" max="15106" width="26.86328125" style="1465" customWidth="1"/>
    <col min="15107" max="15107" width="20" style="1465" customWidth="1"/>
    <col min="15108" max="15108" width="29.73046875" style="1465" bestFit="1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118.265625" style="1465" customWidth="1"/>
    <col min="15362" max="15362" width="26.86328125" style="1465" customWidth="1"/>
    <col min="15363" max="15363" width="20" style="1465" customWidth="1"/>
    <col min="15364" max="15364" width="29.73046875" style="1465" bestFit="1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118.265625" style="1465" customWidth="1"/>
    <col min="15618" max="15618" width="26.86328125" style="1465" customWidth="1"/>
    <col min="15619" max="15619" width="20" style="1465" customWidth="1"/>
    <col min="15620" max="15620" width="29.73046875" style="1465" bestFit="1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118.265625" style="1465" customWidth="1"/>
    <col min="15874" max="15874" width="26.86328125" style="1465" customWidth="1"/>
    <col min="15875" max="15875" width="20" style="1465" customWidth="1"/>
    <col min="15876" max="15876" width="29.73046875" style="1465" bestFit="1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118.265625" style="1465" customWidth="1"/>
    <col min="16130" max="16130" width="26.86328125" style="1465" customWidth="1"/>
    <col min="16131" max="16131" width="20" style="1465" customWidth="1"/>
    <col min="16132" max="16132" width="29.73046875" style="1465" bestFit="1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2643</v>
      </c>
    </row>
    <row r="2" spans="1:22">
      <c r="A2" s="1466" t="s">
        <v>2328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855"/>
      <c r="B5" s="1471" t="s">
        <v>368</v>
      </c>
      <c r="C5" s="1471" t="s">
        <v>369</v>
      </c>
      <c r="D5" s="1471" t="s">
        <v>1827</v>
      </c>
      <c r="E5" s="1471" t="s">
        <v>371</v>
      </c>
      <c r="F5" s="1471" t="s">
        <v>1828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856" t="s">
        <v>139</v>
      </c>
      <c r="R5" s="1473" t="s">
        <v>1829</v>
      </c>
      <c r="S5" s="1474"/>
      <c r="U5" s="1475"/>
    </row>
    <row r="6" spans="1:22" ht="14.25">
      <c r="A6" s="1556" t="s">
        <v>1959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389</v>
      </c>
      <c r="H6" s="1554" t="s">
        <v>386</v>
      </c>
      <c r="I6" s="1554" t="s">
        <v>386</v>
      </c>
      <c r="J6" s="1558" t="s">
        <v>400</v>
      </c>
      <c r="K6" s="1558" t="s">
        <v>400</v>
      </c>
      <c r="L6" s="1554" t="s">
        <v>386</v>
      </c>
      <c r="M6" s="1553" t="s">
        <v>412</v>
      </c>
      <c r="N6" s="1554" t="s">
        <v>391</v>
      </c>
      <c r="O6" s="1554" t="s">
        <v>391</v>
      </c>
      <c r="P6" s="1554" t="s">
        <v>391</v>
      </c>
      <c r="Q6" s="1857" t="s">
        <v>391</v>
      </c>
      <c r="R6" s="1555">
        <v>2025</v>
      </c>
      <c r="S6" s="1474"/>
      <c r="U6" s="1475"/>
    </row>
    <row r="7" spans="1:22" ht="14.25">
      <c r="A7" s="1561" t="s">
        <v>394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395</v>
      </c>
      <c r="H7" s="1563" t="s">
        <v>386</v>
      </c>
      <c r="I7" s="1563" t="s">
        <v>386</v>
      </c>
      <c r="J7" s="1563" t="s">
        <v>386</v>
      </c>
      <c r="K7" s="1563" t="s">
        <v>386</v>
      </c>
      <c r="L7" s="1563" t="s">
        <v>386</v>
      </c>
      <c r="M7" s="1557" t="s">
        <v>390</v>
      </c>
      <c r="N7" s="1554" t="s">
        <v>386</v>
      </c>
      <c r="O7" s="1554" t="s">
        <v>386</v>
      </c>
      <c r="P7" s="1554" t="s">
        <v>386</v>
      </c>
      <c r="Q7" s="1857" t="s">
        <v>400</v>
      </c>
      <c r="R7" s="1555">
        <v>2025</v>
      </c>
      <c r="S7" s="1474"/>
      <c r="U7" s="1475"/>
    </row>
    <row r="8" spans="1:22" ht="14.25">
      <c r="A8" s="1561" t="s">
        <v>398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399</v>
      </c>
      <c r="H8" s="1563" t="s">
        <v>386</v>
      </c>
      <c r="I8" s="1563" t="s">
        <v>386</v>
      </c>
      <c r="J8" s="1563" t="s">
        <v>386</v>
      </c>
      <c r="K8" s="1564" t="s">
        <v>400</v>
      </c>
      <c r="L8" s="1563" t="s">
        <v>386</v>
      </c>
      <c r="M8" s="1557" t="s">
        <v>390</v>
      </c>
      <c r="N8" s="1563" t="s">
        <v>386</v>
      </c>
      <c r="O8" s="1563" t="s">
        <v>386</v>
      </c>
      <c r="P8" s="1563" t="s">
        <v>391</v>
      </c>
      <c r="Q8" s="1858" t="s">
        <v>391</v>
      </c>
      <c r="R8" s="1555">
        <v>2025</v>
      </c>
    </row>
    <row r="9" spans="1:22" ht="14.25">
      <c r="A9" s="1561" t="s">
        <v>525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389</v>
      </c>
      <c r="H9" s="1563" t="s">
        <v>386</v>
      </c>
      <c r="I9" s="1563" t="s">
        <v>386</v>
      </c>
      <c r="J9" s="1563" t="s">
        <v>386</v>
      </c>
      <c r="K9" s="1564" t="s">
        <v>400</v>
      </c>
      <c r="L9" s="1564" t="s">
        <v>400</v>
      </c>
      <c r="M9" s="1557" t="s">
        <v>412</v>
      </c>
      <c r="N9" s="1563" t="s">
        <v>391</v>
      </c>
      <c r="O9" s="1563" t="s">
        <v>391</v>
      </c>
      <c r="P9" s="1563" t="s">
        <v>391</v>
      </c>
      <c r="Q9" s="1858" t="s">
        <v>391</v>
      </c>
      <c r="R9" s="1566">
        <v>2025</v>
      </c>
    </row>
    <row r="10" spans="1:22" ht="14.25">
      <c r="A10" s="1859" t="s">
        <v>2329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389</v>
      </c>
      <c r="H10" s="1563"/>
      <c r="I10" s="1563"/>
      <c r="J10" s="1563"/>
      <c r="K10" s="1563"/>
      <c r="L10" s="1564"/>
      <c r="M10" s="1557" t="s">
        <v>412</v>
      </c>
      <c r="N10" s="1557" t="s">
        <v>391</v>
      </c>
      <c r="O10" s="1557" t="s">
        <v>391</v>
      </c>
      <c r="P10" s="1557" t="s">
        <v>391</v>
      </c>
      <c r="Q10" s="1860" t="s">
        <v>391</v>
      </c>
      <c r="R10" s="1861">
        <v>2025</v>
      </c>
    </row>
    <row r="11" spans="1:22" ht="14.25">
      <c r="A11" s="1859" t="s">
        <v>1962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1963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4.65" thickBot="1">
      <c r="A12" s="1573" t="s">
        <v>414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389</v>
      </c>
      <c r="H12" s="1578" t="s">
        <v>386</v>
      </c>
      <c r="I12" s="1578" t="s">
        <v>386</v>
      </c>
      <c r="J12" s="1579" t="s">
        <v>415</v>
      </c>
      <c r="K12" s="1578" t="s">
        <v>386</v>
      </c>
      <c r="L12" s="1578" t="s">
        <v>386</v>
      </c>
      <c r="M12" s="1577" t="s">
        <v>412</v>
      </c>
      <c r="N12" s="1578" t="s">
        <v>391</v>
      </c>
      <c r="O12" s="1578" t="s">
        <v>391</v>
      </c>
      <c r="P12" s="1578" t="s">
        <v>391</v>
      </c>
      <c r="Q12" s="1863" t="s">
        <v>391</v>
      </c>
      <c r="R12" s="1581">
        <v>2025</v>
      </c>
    </row>
    <row r="13" spans="1:22" ht="14.2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4.25">
      <c r="A14" s="1583" t="s">
        <v>416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4.2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5.4" thickBot="1">
      <c r="A16" s="1478" t="s">
        <v>1830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4.65" thickBot="1">
      <c r="A17" s="1586"/>
      <c r="B17" s="1587" t="s">
        <v>368</v>
      </c>
      <c r="C17" s="1582"/>
      <c r="D17" s="1586" t="s">
        <v>1831</v>
      </c>
      <c r="E17" s="1588" t="s">
        <v>417</v>
      </c>
      <c r="F17" s="1588" t="s">
        <v>1828</v>
      </c>
      <c r="G17" s="1588" t="s">
        <v>375</v>
      </c>
      <c r="H17" s="1588" t="s">
        <v>379</v>
      </c>
      <c r="I17" s="1588" t="s">
        <v>380</v>
      </c>
      <c r="J17" s="1588" t="s">
        <v>381</v>
      </c>
      <c r="K17" s="1588" t="s">
        <v>382</v>
      </c>
      <c r="L17" s="1864" t="s">
        <v>139</v>
      </c>
      <c r="M17" s="1587" t="s">
        <v>1829</v>
      </c>
      <c r="N17" s="1582"/>
      <c r="O17" s="1582"/>
      <c r="P17" s="1582"/>
      <c r="Q17" s="1582"/>
      <c r="R17" s="1582"/>
    </row>
    <row r="18" spans="1:18" ht="14.25">
      <c r="A18" s="1589" t="s">
        <v>419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389</v>
      </c>
      <c r="H18" s="1594" t="s">
        <v>420</v>
      </c>
      <c r="I18" s="1594" t="s">
        <v>387</v>
      </c>
      <c r="J18" s="1594" t="s">
        <v>387</v>
      </c>
      <c r="K18" s="1594" t="s">
        <v>387</v>
      </c>
      <c r="L18" s="1865" t="s">
        <v>387</v>
      </c>
      <c r="M18" s="1595">
        <v>2025</v>
      </c>
      <c r="N18" s="1596" t="s">
        <v>1832</v>
      </c>
      <c r="O18" s="1582"/>
      <c r="P18" s="1582"/>
      <c r="Q18" s="1582"/>
      <c r="R18" s="1582"/>
    </row>
    <row r="19" spans="1:18" ht="14.25">
      <c r="A19" s="1597" t="s">
        <v>2330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389</v>
      </c>
      <c r="H19" s="1594" t="s">
        <v>511</v>
      </c>
      <c r="I19" s="1594" t="s">
        <v>391</v>
      </c>
      <c r="J19" s="1594" t="s">
        <v>391</v>
      </c>
      <c r="K19" s="1594" t="s">
        <v>391</v>
      </c>
      <c r="L19" s="1865" t="s">
        <v>391</v>
      </c>
      <c r="M19" s="1595">
        <v>2025</v>
      </c>
      <c r="N19" s="1596"/>
      <c r="O19" s="1582"/>
      <c r="P19" s="1582"/>
      <c r="Q19" s="1582"/>
      <c r="R19" s="1582"/>
    </row>
    <row r="20" spans="1:18" ht="14.25">
      <c r="A20" s="1597" t="s">
        <v>528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389</v>
      </c>
      <c r="H20" s="1594" t="s">
        <v>511</v>
      </c>
      <c r="I20" s="1594" t="s">
        <v>391</v>
      </c>
      <c r="J20" s="1594" t="s">
        <v>391</v>
      </c>
      <c r="K20" s="1594" t="s">
        <v>391</v>
      </c>
      <c r="L20" s="1865" t="s">
        <v>391</v>
      </c>
      <c r="M20" s="1595">
        <v>2025</v>
      </c>
      <c r="N20" s="1582"/>
      <c r="O20" s="1582"/>
      <c r="P20" s="1582"/>
      <c r="Q20" s="1582"/>
      <c r="R20" s="1582"/>
    </row>
    <row r="21" spans="1:18" ht="14.25">
      <c r="A21" s="1597" t="s">
        <v>2644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389</v>
      </c>
      <c r="H21" s="1594" t="s">
        <v>1965</v>
      </c>
      <c r="I21" s="1594" t="s">
        <v>387</v>
      </c>
      <c r="J21" s="1594" t="s">
        <v>387</v>
      </c>
      <c r="K21" s="1594" t="s">
        <v>387</v>
      </c>
      <c r="L21" s="1865" t="s">
        <v>391</v>
      </c>
      <c r="M21" s="1595">
        <v>2025</v>
      </c>
      <c r="N21" s="1582"/>
      <c r="O21" s="1582"/>
      <c r="P21" s="1582"/>
      <c r="Q21" s="1582"/>
      <c r="R21" s="1582"/>
    </row>
    <row r="22" spans="1:18" ht="14.25">
      <c r="A22" s="1866" t="s">
        <v>1966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389</v>
      </c>
      <c r="H22" s="1594" t="s">
        <v>1965</v>
      </c>
      <c r="I22" s="1594" t="s">
        <v>391</v>
      </c>
      <c r="J22" s="1594" t="s">
        <v>391</v>
      </c>
      <c r="K22" s="1594" t="s">
        <v>391</v>
      </c>
      <c r="L22" s="1865" t="s">
        <v>391</v>
      </c>
      <c r="M22" s="1868">
        <v>2025</v>
      </c>
      <c r="N22" s="1582"/>
      <c r="O22" s="1582"/>
      <c r="P22" s="1582"/>
      <c r="Q22" s="1582"/>
      <c r="R22" s="1582"/>
    </row>
    <row r="23" spans="1:18" ht="14.25">
      <c r="A23" s="1866" t="s">
        <v>1967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389</v>
      </c>
      <c r="H23" s="1594" t="s">
        <v>1965</v>
      </c>
      <c r="I23" s="1594" t="s">
        <v>391</v>
      </c>
      <c r="J23" s="1594" t="s">
        <v>391</v>
      </c>
      <c r="K23" s="1594" t="s">
        <v>391</v>
      </c>
      <c r="L23" s="1865" t="s">
        <v>391</v>
      </c>
      <c r="M23" s="1868">
        <v>2025</v>
      </c>
      <c r="N23" s="1582"/>
      <c r="O23" s="1582"/>
      <c r="P23" s="1582"/>
      <c r="Q23" s="1582"/>
      <c r="R23" s="1582"/>
    </row>
    <row r="24" spans="1:18" ht="14.25">
      <c r="A24" s="1869" t="s">
        <v>2331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389</v>
      </c>
      <c r="H24" s="1594" t="s">
        <v>511</v>
      </c>
      <c r="I24" s="1594" t="s">
        <v>391</v>
      </c>
      <c r="J24" s="1594" t="s">
        <v>391</v>
      </c>
      <c r="K24" s="1594" t="s">
        <v>391</v>
      </c>
      <c r="L24" s="1865" t="s">
        <v>391</v>
      </c>
      <c r="M24" s="1868">
        <v>2025</v>
      </c>
      <c r="N24" s="1582"/>
      <c r="O24" s="1582"/>
      <c r="P24" s="1582"/>
      <c r="Q24" s="1582"/>
      <c r="R24" s="1582"/>
    </row>
    <row r="25" spans="1:18" ht="14.65" thickBot="1">
      <c r="A25" s="1872" t="s">
        <v>1968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389</v>
      </c>
      <c r="H25" s="1874" t="s">
        <v>1965</v>
      </c>
      <c r="I25" s="1874" t="s">
        <v>391</v>
      </c>
      <c r="J25" s="1874" t="s">
        <v>391</v>
      </c>
      <c r="K25" s="1874" t="s">
        <v>391</v>
      </c>
      <c r="L25" s="1875" t="s">
        <v>391</v>
      </c>
      <c r="M25" s="1704">
        <v>2025</v>
      </c>
      <c r="N25" s="1582"/>
      <c r="O25" s="1582"/>
      <c r="P25" s="1582"/>
      <c r="Q25" s="1582"/>
      <c r="R25" s="1582"/>
    </row>
    <row r="26" spans="1:18" ht="14.2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4.25">
      <c r="A27" s="1583" t="s">
        <v>416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.4" thickBot="1">
      <c r="A29" s="1478" t="s">
        <v>426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65" thickBot="1">
      <c r="A30" s="1602"/>
      <c r="B30" s="1582"/>
      <c r="C30" s="1582"/>
      <c r="D30" s="1586" t="s">
        <v>370</v>
      </c>
      <c r="E30" s="1603" t="s">
        <v>427</v>
      </c>
      <c r="F30" s="1588" t="s">
        <v>418</v>
      </c>
      <c r="G30" s="1588" t="s">
        <v>375</v>
      </c>
      <c r="H30" s="1588" t="s">
        <v>379</v>
      </c>
      <c r="I30" s="1588" t="s">
        <v>380</v>
      </c>
      <c r="J30" s="1588" t="s">
        <v>381</v>
      </c>
      <c r="K30" s="1588" t="s">
        <v>382</v>
      </c>
      <c r="L30" s="1864" t="s">
        <v>139</v>
      </c>
      <c r="M30" s="1587" t="s">
        <v>1829</v>
      </c>
      <c r="N30" s="1582"/>
      <c r="O30" s="1582"/>
      <c r="P30" s="1582"/>
      <c r="Q30" s="1582"/>
      <c r="R30" s="1582"/>
    </row>
    <row r="31" spans="1:18" ht="14.2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4.2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4.65" thickBot="1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4.2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4.25">
      <c r="A35" s="1583" t="s">
        <v>416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.4" thickBot="1">
      <c r="A38" s="1478" t="s">
        <v>436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65" thickBot="1">
      <c r="A39" s="2928"/>
      <c r="B39" s="1582"/>
      <c r="C39" s="1582"/>
      <c r="D39" s="1667" t="s">
        <v>370</v>
      </c>
      <c r="E39" s="1668" t="s">
        <v>1833</v>
      </c>
      <c r="F39" s="1669" t="s">
        <v>418</v>
      </c>
      <c r="G39" s="2929" t="s">
        <v>375</v>
      </c>
      <c r="H39" s="1669" t="s">
        <v>379</v>
      </c>
      <c r="I39" s="1669" t="s">
        <v>380</v>
      </c>
      <c r="J39" s="1669" t="s">
        <v>381</v>
      </c>
      <c r="K39" s="1669" t="s">
        <v>382</v>
      </c>
      <c r="L39" s="2929" t="s">
        <v>139</v>
      </c>
      <c r="M39" s="1670" t="s">
        <v>1829</v>
      </c>
      <c r="N39" s="1582"/>
      <c r="O39" s="1582"/>
      <c r="P39" s="1582"/>
      <c r="Q39" s="1582"/>
      <c r="R39" s="1582"/>
    </row>
    <row r="40" spans="1:18" ht="14.25">
      <c r="A40" s="2930" t="s">
        <v>438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389</v>
      </c>
      <c r="H40" s="1880" t="s">
        <v>1838</v>
      </c>
      <c r="I40" s="1880" t="s">
        <v>391</v>
      </c>
      <c r="J40" s="1880" t="s">
        <v>391</v>
      </c>
      <c r="K40" s="1880" t="s">
        <v>391</v>
      </c>
      <c r="L40" s="1880" t="s">
        <v>391</v>
      </c>
      <c r="M40" s="2931" t="s">
        <v>1839</v>
      </c>
      <c r="N40" s="1582"/>
      <c r="O40" s="1582"/>
      <c r="P40" s="1582"/>
      <c r="Q40" s="1582"/>
      <c r="R40" s="1582"/>
    </row>
    <row r="41" spans="1:18" ht="14.25">
      <c r="A41" s="2932" t="s">
        <v>1842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389</v>
      </c>
      <c r="H41" s="1666" t="s">
        <v>1838</v>
      </c>
      <c r="I41" s="1666" t="s">
        <v>387</v>
      </c>
      <c r="J41" s="1666" t="s">
        <v>387</v>
      </c>
      <c r="K41" s="1666" t="s">
        <v>387</v>
      </c>
      <c r="L41" s="1666" t="s">
        <v>387</v>
      </c>
      <c r="M41" s="2933" t="s">
        <v>1839</v>
      </c>
      <c r="N41" s="1582"/>
      <c r="O41" s="1582"/>
      <c r="P41" s="1582"/>
      <c r="Q41" s="1582"/>
      <c r="R41" s="1582"/>
    </row>
    <row r="42" spans="1:18" ht="14.25">
      <c r="A42" s="2932" t="s">
        <v>1971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389</v>
      </c>
      <c r="H42" s="1666" t="s">
        <v>2645</v>
      </c>
      <c r="I42" s="1666" t="s">
        <v>391</v>
      </c>
      <c r="J42" s="1666" t="s">
        <v>391</v>
      </c>
      <c r="K42" s="1666" t="s">
        <v>391</v>
      </c>
      <c r="L42" s="1666" t="s">
        <v>391</v>
      </c>
      <c r="M42" s="2933" t="s">
        <v>1839</v>
      </c>
      <c r="N42" s="1582"/>
      <c r="O42" s="1582"/>
      <c r="P42" s="1582"/>
      <c r="Q42" s="1582"/>
      <c r="R42" s="1582"/>
    </row>
    <row r="43" spans="1:18" ht="14.25">
      <c r="A43" s="2932" t="s">
        <v>1678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389</v>
      </c>
      <c r="H43" s="1666"/>
      <c r="I43" s="1666" t="s">
        <v>391</v>
      </c>
      <c r="J43" s="1666" t="s">
        <v>391</v>
      </c>
      <c r="K43" s="1666" t="s">
        <v>391</v>
      </c>
      <c r="L43" s="1666" t="s">
        <v>391</v>
      </c>
      <c r="M43" s="2933" t="s">
        <v>2646</v>
      </c>
      <c r="N43" s="1582"/>
      <c r="O43" s="1582"/>
      <c r="P43" s="1582"/>
      <c r="Q43" s="1582"/>
      <c r="R43" s="1582"/>
    </row>
    <row r="44" spans="1:18" ht="14.25">
      <c r="A44" s="2932" t="s">
        <v>2333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389</v>
      </c>
      <c r="H44" s="1666" t="s">
        <v>1838</v>
      </c>
      <c r="I44" s="1666" t="s">
        <v>391</v>
      </c>
      <c r="J44" s="1666" t="s">
        <v>391</v>
      </c>
      <c r="K44" s="1666" t="s">
        <v>391</v>
      </c>
      <c r="L44" s="1666" t="s">
        <v>391</v>
      </c>
      <c r="M44" s="2933">
        <v>2025</v>
      </c>
      <c r="N44" s="1582"/>
      <c r="O44" s="1582"/>
      <c r="P44" s="1582"/>
      <c r="Q44" s="1582"/>
      <c r="R44" s="1582"/>
    </row>
    <row r="45" spans="1:18" ht="14.25">
      <c r="A45" s="2932" t="s">
        <v>440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389</v>
      </c>
      <c r="H45" s="1666" t="s">
        <v>2647</v>
      </c>
      <c r="I45" s="1666" t="s">
        <v>387</v>
      </c>
      <c r="J45" s="1666" t="s">
        <v>387</v>
      </c>
      <c r="K45" s="1666" t="s">
        <v>387</v>
      </c>
      <c r="L45" s="1666" t="s">
        <v>387</v>
      </c>
      <c r="M45" s="2933" t="s">
        <v>1839</v>
      </c>
      <c r="N45" s="1582"/>
      <c r="O45" s="1582"/>
      <c r="P45" s="1582"/>
      <c r="Q45" s="1582"/>
      <c r="R45" s="1582"/>
    </row>
    <row r="46" spans="1:18" ht="14.25">
      <c r="A46" s="2932" t="s">
        <v>2648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389</v>
      </c>
      <c r="H46" s="1666" t="s">
        <v>1838</v>
      </c>
      <c r="I46" s="1666" t="s">
        <v>391</v>
      </c>
      <c r="J46" s="1666" t="s">
        <v>391</v>
      </c>
      <c r="K46" s="1666" t="s">
        <v>391</v>
      </c>
      <c r="L46" s="1666" t="s">
        <v>391</v>
      </c>
      <c r="M46" s="2933" t="s">
        <v>2646</v>
      </c>
      <c r="N46" s="1582"/>
      <c r="O46" s="1582"/>
      <c r="P46" s="1582"/>
      <c r="Q46" s="1582"/>
      <c r="R46" s="1582"/>
    </row>
    <row r="47" spans="1:18" ht="14.65" thickBot="1">
      <c r="A47" s="1628" t="s">
        <v>2649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34" t="s">
        <v>389</v>
      </c>
      <c r="H47" s="2934"/>
      <c r="I47" s="2934" t="s">
        <v>391</v>
      </c>
      <c r="J47" s="2934" t="s">
        <v>391</v>
      </c>
      <c r="K47" s="2934" t="s">
        <v>391</v>
      </c>
      <c r="L47" s="2934" t="s">
        <v>391</v>
      </c>
      <c r="M47" s="2935" t="s">
        <v>2646</v>
      </c>
      <c r="N47" s="1582"/>
      <c r="O47" s="1582"/>
      <c r="P47" s="1582"/>
      <c r="Q47" s="1582"/>
      <c r="R47" s="1582"/>
    </row>
    <row r="48" spans="1:18" ht="14.2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4.25">
      <c r="A49" s="1583" t="s">
        <v>416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.4" thickBot="1">
      <c r="A52" s="1478" t="s">
        <v>441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65" thickBot="1">
      <c r="A53" s="1602"/>
      <c r="B53" s="1582"/>
      <c r="C53" s="1582"/>
      <c r="D53" s="1586" t="s">
        <v>370</v>
      </c>
      <c r="E53" s="1603" t="s">
        <v>427</v>
      </c>
      <c r="F53" s="1588" t="s">
        <v>418</v>
      </c>
      <c r="G53" s="1587" t="s">
        <v>375</v>
      </c>
      <c r="H53" s="1588" t="s">
        <v>379</v>
      </c>
      <c r="I53" s="1588" t="s">
        <v>380</v>
      </c>
      <c r="J53" s="1588" t="s">
        <v>381</v>
      </c>
      <c r="K53" s="1588" t="s">
        <v>382</v>
      </c>
      <c r="L53" s="1864" t="s">
        <v>139</v>
      </c>
      <c r="M53" s="1587" t="s">
        <v>1829</v>
      </c>
      <c r="N53" s="1582"/>
      <c r="O53" s="1582"/>
      <c r="P53" s="1582"/>
      <c r="Q53" s="1582"/>
      <c r="R53" s="1582"/>
    </row>
    <row r="54" spans="1:18" ht="14.25">
      <c r="A54" s="1633" t="s">
        <v>1843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389</v>
      </c>
      <c r="H54" s="1682" t="s">
        <v>1937</v>
      </c>
      <c r="I54" s="1638" t="s">
        <v>387</v>
      </c>
      <c r="J54" s="1638" t="s">
        <v>387</v>
      </c>
      <c r="K54" s="1638" t="s">
        <v>387</v>
      </c>
      <c r="L54" s="1882" t="s">
        <v>387</v>
      </c>
      <c r="M54" s="2936" t="s">
        <v>2646</v>
      </c>
      <c r="N54" s="1582"/>
      <c r="O54" s="1582"/>
      <c r="P54" s="1582"/>
      <c r="Q54" s="1582"/>
      <c r="R54" s="1582"/>
    </row>
    <row r="55" spans="1:18" ht="14.25">
      <c r="A55" s="1633" t="s">
        <v>1973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389</v>
      </c>
      <c r="H55" s="1682" t="s">
        <v>1974</v>
      </c>
      <c r="I55" s="1638" t="s">
        <v>387</v>
      </c>
      <c r="J55" s="1638" t="s">
        <v>387</v>
      </c>
      <c r="K55" s="1638" t="s">
        <v>387</v>
      </c>
      <c r="L55" s="1882" t="s">
        <v>387</v>
      </c>
      <c r="M55" s="1637">
        <v>2025</v>
      </c>
      <c r="N55" s="1582"/>
      <c r="O55" s="1582"/>
      <c r="P55" s="1582"/>
      <c r="Q55" s="1582"/>
      <c r="R55" s="1582"/>
    </row>
    <row r="56" spans="1:18" ht="14.25">
      <c r="A56" s="1633" t="s">
        <v>2334</v>
      </c>
      <c r="B56" s="1582"/>
      <c r="C56" s="1582"/>
      <c r="D56" s="1634" t="s">
        <v>2335</v>
      </c>
      <c r="E56" s="1635">
        <v>0</v>
      </c>
      <c r="F56" s="1636" t="s">
        <v>2336</v>
      </c>
      <c r="G56" s="1638" t="s">
        <v>2337</v>
      </c>
      <c r="H56" s="1682"/>
      <c r="I56" s="1638" t="s">
        <v>391</v>
      </c>
      <c r="J56" s="1638" t="s">
        <v>391</v>
      </c>
      <c r="K56" s="1638" t="s">
        <v>391</v>
      </c>
      <c r="L56" s="1882" t="s">
        <v>391</v>
      </c>
      <c r="M56" s="1674">
        <v>2025</v>
      </c>
      <c r="N56" s="1582"/>
      <c r="O56" s="1582"/>
      <c r="P56" s="1582"/>
      <c r="Q56" s="1582"/>
      <c r="R56" s="1582"/>
    </row>
    <row r="57" spans="1:18" ht="14.25">
      <c r="A57" s="1633" t="s">
        <v>2650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389</v>
      </c>
      <c r="H57" s="1887"/>
      <c r="I57" s="1886" t="s">
        <v>391</v>
      </c>
      <c r="J57" s="1886" t="s">
        <v>391</v>
      </c>
      <c r="K57" s="1886" t="s">
        <v>391</v>
      </c>
      <c r="L57" s="1888" t="s">
        <v>391</v>
      </c>
      <c r="M57" s="2937" t="s">
        <v>2651</v>
      </c>
      <c r="N57" s="1582"/>
      <c r="O57" s="1582"/>
      <c r="P57" s="1582"/>
      <c r="Q57" s="1582"/>
      <c r="R57" s="1582"/>
    </row>
    <row r="58" spans="1:18" ht="14.2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4.25">
      <c r="A59" s="1583" t="s">
        <v>416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4.2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>
      <c r="A61" s="1655" t="s">
        <v>2652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8.399999999999999" thickBot="1">
      <c r="A63" s="1656" t="s">
        <v>367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">
      <c r="A64" s="1890"/>
      <c r="B64" s="1891" t="s">
        <v>368</v>
      </c>
      <c r="C64" s="1891" t="s">
        <v>369</v>
      </c>
      <c r="D64" s="1891" t="s">
        <v>1827</v>
      </c>
      <c r="E64" s="1891" t="s">
        <v>371</v>
      </c>
      <c r="F64" s="1891" t="s">
        <v>1828</v>
      </c>
      <c r="G64" s="1891" t="s">
        <v>375</v>
      </c>
      <c r="H64" s="1892" t="s">
        <v>77</v>
      </c>
      <c r="I64" s="1892" t="s">
        <v>78</v>
      </c>
      <c r="J64" s="1892" t="s">
        <v>376</v>
      </c>
      <c r="K64" s="1892" t="s">
        <v>377</v>
      </c>
      <c r="L64" s="1892" t="s">
        <v>378</v>
      </c>
      <c r="M64" s="1891" t="s">
        <v>379</v>
      </c>
      <c r="N64" s="1891" t="s">
        <v>380</v>
      </c>
      <c r="O64" s="1891" t="s">
        <v>381</v>
      </c>
      <c r="P64" s="1891" t="s">
        <v>382</v>
      </c>
      <c r="Q64" s="1893" t="s">
        <v>139</v>
      </c>
      <c r="R64" s="1582"/>
    </row>
    <row r="65" spans="1:21" ht="14.25">
      <c r="A65" s="1550" t="s">
        <v>1866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389</v>
      </c>
      <c r="H65" s="1554" t="s">
        <v>386</v>
      </c>
      <c r="I65" s="1554" t="s">
        <v>386</v>
      </c>
      <c r="J65" s="1554" t="s">
        <v>386</v>
      </c>
      <c r="K65" s="1558" t="s">
        <v>386</v>
      </c>
      <c r="L65" s="1558" t="s">
        <v>386</v>
      </c>
      <c r="M65" s="1553" t="s">
        <v>1979</v>
      </c>
      <c r="N65" s="1553" t="s">
        <v>391</v>
      </c>
      <c r="O65" s="1553" t="s">
        <v>391</v>
      </c>
      <c r="P65" s="1553" t="s">
        <v>391</v>
      </c>
      <c r="Q65" s="1555" t="s">
        <v>391</v>
      </c>
      <c r="R65" s="1582"/>
    </row>
    <row r="66" spans="1:21" ht="14.25">
      <c r="A66" s="1550" t="s">
        <v>1980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389</v>
      </c>
      <c r="H66" s="1563" t="s">
        <v>386</v>
      </c>
      <c r="I66" s="1563" t="s">
        <v>386</v>
      </c>
      <c r="J66" s="1563" t="s">
        <v>386</v>
      </c>
      <c r="K66" s="1564" t="s">
        <v>386</v>
      </c>
      <c r="L66" s="1564" t="s">
        <v>386</v>
      </c>
      <c r="M66" s="1557" t="s">
        <v>1979</v>
      </c>
      <c r="N66" s="1557" t="s">
        <v>391</v>
      </c>
      <c r="O66" s="1557" t="s">
        <v>391</v>
      </c>
      <c r="P66" s="1557" t="s">
        <v>391</v>
      </c>
      <c r="Q66" s="1566" t="s">
        <v>391</v>
      </c>
      <c r="R66" s="1582"/>
    </row>
    <row r="67" spans="1:21" ht="14.25">
      <c r="A67" s="1561" t="s">
        <v>1867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389</v>
      </c>
      <c r="H67" s="1563" t="s">
        <v>386</v>
      </c>
      <c r="I67" s="1563" t="s">
        <v>386</v>
      </c>
      <c r="J67" s="1563" t="s">
        <v>386</v>
      </c>
      <c r="K67" s="1564" t="s">
        <v>400</v>
      </c>
      <c r="L67" s="1564" t="s">
        <v>400</v>
      </c>
      <c r="M67" s="1557" t="s">
        <v>412</v>
      </c>
      <c r="N67" s="1557" t="s">
        <v>391</v>
      </c>
      <c r="O67" s="1557" t="s">
        <v>391</v>
      </c>
      <c r="P67" s="1557" t="s">
        <v>391</v>
      </c>
      <c r="Q67" s="1566" t="s">
        <v>391</v>
      </c>
      <c r="R67" s="1582"/>
    </row>
    <row r="68" spans="1:21" ht="14.25">
      <c r="A68" s="1556" t="s">
        <v>1868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389</v>
      </c>
      <c r="H68" s="1554" t="s">
        <v>386</v>
      </c>
      <c r="I68" s="1554" t="s">
        <v>386</v>
      </c>
      <c r="J68" s="1554" t="s">
        <v>386</v>
      </c>
      <c r="K68" s="1558" t="s">
        <v>400</v>
      </c>
      <c r="L68" s="1554" t="s">
        <v>386</v>
      </c>
      <c r="M68" s="1553" t="s">
        <v>412</v>
      </c>
      <c r="N68" s="1553" t="s">
        <v>391</v>
      </c>
      <c r="O68" s="1553" t="s">
        <v>391</v>
      </c>
      <c r="P68" s="1553" t="s">
        <v>391</v>
      </c>
      <c r="Q68" s="1555" t="s">
        <v>391</v>
      </c>
      <c r="R68" s="1582"/>
      <c r="S68" s="1474"/>
      <c r="U68" s="1475"/>
    </row>
    <row r="69" spans="1:21" ht="14.25">
      <c r="A69" s="1889" t="s">
        <v>2653</v>
      </c>
      <c r="B69" s="2938"/>
      <c r="C69" s="1557"/>
      <c r="D69" s="1640">
        <v>4500000</v>
      </c>
      <c r="E69" s="1640">
        <v>0</v>
      </c>
      <c r="F69" s="1640">
        <v>4500000</v>
      </c>
      <c r="G69" s="1639" t="s">
        <v>389</v>
      </c>
      <c r="H69" s="1639"/>
      <c r="I69" s="2939" t="s">
        <v>400</v>
      </c>
      <c r="J69" s="2939" t="s">
        <v>400</v>
      </c>
      <c r="K69" s="2939" t="s">
        <v>400</v>
      </c>
      <c r="L69" s="2939" t="s">
        <v>400</v>
      </c>
      <c r="M69" s="2940" t="s">
        <v>412</v>
      </c>
      <c r="N69" s="2941" t="s">
        <v>391</v>
      </c>
      <c r="O69" s="1557" t="s">
        <v>391</v>
      </c>
      <c r="P69" s="1557" t="s">
        <v>391</v>
      </c>
      <c r="Q69" s="1557" t="s">
        <v>391</v>
      </c>
      <c r="R69" s="1582"/>
    </row>
    <row r="70" spans="1:21" ht="14.25">
      <c r="A70" s="1561" t="s">
        <v>411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389</v>
      </c>
      <c r="H70" s="1554" t="s">
        <v>386</v>
      </c>
      <c r="I70" s="1554" t="s">
        <v>386</v>
      </c>
      <c r="J70" s="1554" t="s">
        <v>386</v>
      </c>
      <c r="K70" s="1554" t="s">
        <v>386</v>
      </c>
      <c r="L70" s="1558" t="s">
        <v>400</v>
      </c>
      <c r="M70" s="1560" t="s">
        <v>412</v>
      </c>
      <c r="N70" s="1557" t="s">
        <v>391</v>
      </c>
      <c r="O70" s="1557" t="s">
        <v>391</v>
      </c>
      <c r="P70" s="1557" t="s">
        <v>391</v>
      </c>
      <c r="Q70" s="1566" t="s">
        <v>391</v>
      </c>
      <c r="R70" s="1599"/>
      <c r="S70" s="1474"/>
      <c r="U70" s="1475"/>
    </row>
    <row r="71" spans="1:21" ht="14.25">
      <c r="A71" s="1557" t="s">
        <v>1869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389</v>
      </c>
      <c r="H71" s="1563" t="s">
        <v>386</v>
      </c>
      <c r="I71" s="1563" t="s">
        <v>386</v>
      </c>
      <c r="J71" s="1563" t="s">
        <v>386</v>
      </c>
      <c r="K71" s="1563" t="s">
        <v>386</v>
      </c>
      <c r="L71" s="1563" t="s">
        <v>386</v>
      </c>
      <c r="M71" s="2940" t="s">
        <v>412</v>
      </c>
      <c r="N71" s="1557" t="s">
        <v>391</v>
      </c>
      <c r="O71" s="1557" t="s">
        <v>391</v>
      </c>
      <c r="P71" s="1557" t="s">
        <v>391</v>
      </c>
      <c r="Q71" s="1557" t="s">
        <v>391</v>
      </c>
      <c r="R71" s="1582"/>
    </row>
    <row r="72" spans="1:21" ht="14.25">
      <c r="A72" s="1639" t="s">
        <v>513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389</v>
      </c>
      <c r="H72" s="1639"/>
      <c r="I72" s="2939" t="s">
        <v>400</v>
      </c>
      <c r="J72" s="2939" t="s">
        <v>400</v>
      </c>
      <c r="K72" s="2939" t="s">
        <v>400</v>
      </c>
      <c r="L72" s="2939" t="s">
        <v>400</v>
      </c>
      <c r="M72" s="2942" t="s">
        <v>412</v>
      </c>
      <c r="N72" s="1557" t="s">
        <v>391</v>
      </c>
      <c r="O72" s="1557" t="s">
        <v>391</v>
      </c>
      <c r="P72" s="1557" t="s">
        <v>391</v>
      </c>
      <c r="Q72" s="1557" t="s">
        <v>391</v>
      </c>
      <c r="R72" s="1582"/>
    </row>
    <row r="73" spans="1:21" ht="14.25">
      <c r="A73" s="1596" t="s">
        <v>2</v>
      </c>
      <c r="B73" s="2943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4.2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8.399999999999999" thickBot="1">
      <c r="A75" s="1656" t="s">
        <v>1830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8.399999999999999" thickBot="1">
      <c r="A76" s="1656"/>
      <c r="B76" s="1602" t="s">
        <v>368</v>
      </c>
      <c r="C76" s="1582"/>
      <c r="D76" s="1586" t="s">
        <v>1831</v>
      </c>
      <c r="E76" s="1588" t="s">
        <v>417</v>
      </c>
      <c r="F76" s="1588" t="s">
        <v>1828</v>
      </c>
      <c r="G76" s="1587" t="s">
        <v>375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4.65" thickBot="1">
      <c r="A77" s="1894" t="s">
        <v>1981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389</v>
      </c>
      <c r="H77" s="1703" t="s">
        <v>420</v>
      </c>
      <c r="I77" s="1600" t="s">
        <v>387</v>
      </c>
      <c r="J77" s="1600" t="s">
        <v>387</v>
      </c>
      <c r="K77" s="1600" t="s">
        <v>391</v>
      </c>
      <c r="L77" s="1600" t="s">
        <v>391</v>
      </c>
      <c r="M77" s="1600">
        <v>2026</v>
      </c>
      <c r="N77" s="1582"/>
      <c r="O77" s="1582"/>
      <c r="P77" s="1582"/>
      <c r="Q77" s="1582"/>
      <c r="R77" s="1582"/>
    </row>
    <row r="78" spans="1:21" ht="14.2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8.399999999999999" thickBot="1">
      <c r="A80" s="1656" t="s">
        <v>436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65" thickBot="1">
      <c r="A81" s="1602"/>
      <c r="B81" s="1582"/>
      <c r="C81" s="1582"/>
      <c r="D81" s="1586" t="s">
        <v>370</v>
      </c>
      <c r="E81" s="1603" t="s">
        <v>1833</v>
      </c>
      <c r="F81" s="1588" t="s">
        <v>418</v>
      </c>
      <c r="G81" s="1587" t="s">
        <v>375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18" t="s">
        <v>1982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389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18" t="s">
        <v>437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385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65" thickBot="1">
      <c r="A84" s="1895" t="s">
        <v>1983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389</v>
      </c>
      <c r="H84" s="1900" t="s">
        <v>1984</v>
      </c>
      <c r="I84" s="1666" t="s">
        <v>391</v>
      </c>
      <c r="J84" s="1666" t="s">
        <v>391</v>
      </c>
      <c r="K84" s="1666" t="s">
        <v>391</v>
      </c>
      <c r="L84" s="1666" t="s">
        <v>391</v>
      </c>
      <c r="M84" s="1666">
        <v>2026</v>
      </c>
      <c r="N84" s="1582"/>
      <c r="O84" s="1582"/>
      <c r="P84" s="1582"/>
      <c r="Q84" s="1582"/>
      <c r="R84" s="1582"/>
    </row>
    <row r="85" spans="1:18" ht="14.2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8.399999999999999" thickBot="1">
      <c r="A87" s="1656" t="s">
        <v>441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65" thickBot="1">
      <c r="A88" s="1602"/>
      <c r="B88" s="1582"/>
      <c r="C88" s="1582"/>
      <c r="D88" s="1667" t="s">
        <v>370</v>
      </c>
      <c r="E88" s="1668" t="s">
        <v>427</v>
      </c>
      <c r="F88" s="1669" t="s">
        <v>418</v>
      </c>
      <c r="G88" s="1670" t="s">
        <v>375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633" t="s">
        <v>444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389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633" t="s">
        <v>536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537</v>
      </c>
      <c r="H90" s="1901" t="s">
        <v>1987</v>
      </c>
      <c r="I90" s="1639" t="s">
        <v>387</v>
      </c>
      <c r="J90" s="1639" t="s">
        <v>387</v>
      </c>
      <c r="K90" s="1639" t="s">
        <v>1845</v>
      </c>
      <c r="L90" s="1639" t="s">
        <v>1845</v>
      </c>
      <c r="M90" s="1674">
        <v>2026</v>
      </c>
      <c r="N90" s="1582"/>
      <c r="O90" s="1582"/>
      <c r="P90" s="1582"/>
      <c r="Q90" s="1582"/>
      <c r="R90" s="1582"/>
    </row>
    <row r="91" spans="1:18" ht="14.25">
      <c r="A91" s="1633" t="s">
        <v>1939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389</v>
      </c>
      <c r="H91" s="1901" t="s">
        <v>1664</v>
      </c>
      <c r="I91" s="1639" t="s">
        <v>391</v>
      </c>
      <c r="J91" s="1639" t="s">
        <v>391</v>
      </c>
      <c r="K91" s="1639" t="s">
        <v>1845</v>
      </c>
      <c r="L91" s="1639" t="s">
        <v>391</v>
      </c>
      <c r="M91" s="1674">
        <v>2027</v>
      </c>
      <c r="N91" s="1582"/>
      <c r="O91" s="1582"/>
      <c r="P91" s="1582"/>
      <c r="Q91" s="1582"/>
      <c r="R91" s="1582"/>
    </row>
    <row r="92" spans="1:18" ht="14.25">
      <c r="A92" s="1633" t="s">
        <v>442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389</v>
      </c>
      <c r="H92" s="1902" t="s">
        <v>1988</v>
      </c>
      <c r="I92" s="1638" t="s">
        <v>391</v>
      </c>
      <c r="J92" s="1638" t="s">
        <v>391</v>
      </c>
      <c r="K92" s="1638" t="s">
        <v>1845</v>
      </c>
      <c r="L92" s="1638" t="s">
        <v>391</v>
      </c>
      <c r="M92" s="1637">
        <v>2026</v>
      </c>
      <c r="N92" s="1582"/>
      <c r="O92" s="1582"/>
      <c r="P92" s="1582"/>
      <c r="Q92" s="1582"/>
      <c r="R92" s="1582"/>
    </row>
    <row r="93" spans="1:18" ht="14.65" thickBot="1">
      <c r="A93" s="1675" t="s">
        <v>446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389</v>
      </c>
      <c r="H93" s="1903" t="s">
        <v>432</v>
      </c>
      <c r="I93" s="1680" t="s">
        <v>387</v>
      </c>
      <c r="J93" s="1680" t="s">
        <v>387</v>
      </c>
      <c r="K93" s="1680" t="s">
        <v>387</v>
      </c>
      <c r="L93" s="1680" t="s">
        <v>387</v>
      </c>
      <c r="M93" s="1679">
        <v>2026</v>
      </c>
      <c r="N93" s="1582"/>
      <c r="O93" s="1582"/>
      <c r="P93" s="1582"/>
      <c r="Q93" s="1582"/>
      <c r="R93" s="1582"/>
    </row>
    <row r="94" spans="1:18" ht="14.2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4.25">
      <c r="A95" s="1596" t="s">
        <v>416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workbookViewId="0"/>
  </sheetViews>
  <sheetFormatPr defaultColWidth="8.86328125" defaultRowHeight="12.75" zeroHeight="1"/>
  <cols>
    <col min="1" max="1" width="66.59765625" style="1465" customWidth="1"/>
    <col min="2" max="2" width="19" style="1465" bestFit="1" customWidth="1"/>
    <col min="3" max="3" width="20" style="1465" bestFit="1" customWidth="1"/>
    <col min="4" max="4" width="27.265625" style="1465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86.73046875" style="1465" customWidth="1"/>
    <col min="258" max="258" width="23" style="1465" customWidth="1"/>
    <col min="259" max="259" width="17.59765625" style="1465" customWidth="1"/>
    <col min="260" max="260" width="27.265625" style="1465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86.73046875" style="1465" customWidth="1"/>
    <col min="514" max="514" width="23" style="1465" customWidth="1"/>
    <col min="515" max="515" width="17.59765625" style="1465" customWidth="1"/>
    <col min="516" max="516" width="27.265625" style="1465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86.73046875" style="1465" customWidth="1"/>
    <col min="770" max="770" width="23" style="1465" customWidth="1"/>
    <col min="771" max="771" width="17.59765625" style="1465" customWidth="1"/>
    <col min="772" max="772" width="27.265625" style="1465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86.73046875" style="1465" customWidth="1"/>
    <col min="1026" max="1026" width="23" style="1465" customWidth="1"/>
    <col min="1027" max="1027" width="17.59765625" style="1465" customWidth="1"/>
    <col min="1028" max="1028" width="27.265625" style="1465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86.73046875" style="1465" customWidth="1"/>
    <col min="1282" max="1282" width="23" style="1465" customWidth="1"/>
    <col min="1283" max="1283" width="17.59765625" style="1465" customWidth="1"/>
    <col min="1284" max="1284" width="27.265625" style="1465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86.73046875" style="1465" customWidth="1"/>
    <col min="1538" max="1538" width="23" style="1465" customWidth="1"/>
    <col min="1539" max="1539" width="17.59765625" style="1465" customWidth="1"/>
    <col min="1540" max="1540" width="27.265625" style="1465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86.73046875" style="1465" customWidth="1"/>
    <col min="1794" max="1794" width="23" style="1465" customWidth="1"/>
    <col min="1795" max="1795" width="17.59765625" style="1465" customWidth="1"/>
    <col min="1796" max="1796" width="27.265625" style="1465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86.73046875" style="1465" customWidth="1"/>
    <col min="2050" max="2050" width="23" style="1465" customWidth="1"/>
    <col min="2051" max="2051" width="17.59765625" style="1465" customWidth="1"/>
    <col min="2052" max="2052" width="27.265625" style="1465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86.73046875" style="1465" customWidth="1"/>
    <col min="2306" max="2306" width="23" style="1465" customWidth="1"/>
    <col min="2307" max="2307" width="17.59765625" style="1465" customWidth="1"/>
    <col min="2308" max="2308" width="27.265625" style="1465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86.73046875" style="1465" customWidth="1"/>
    <col min="2562" max="2562" width="23" style="1465" customWidth="1"/>
    <col min="2563" max="2563" width="17.59765625" style="1465" customWidth="1"/>
    <col min="2564" max="2564" width="27.265625" style="1465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86.73046875" style="1465" customWidth="1"/>
    <col min="2818" max="2818" width="23" style="1465" customWidth="1"/>
    <col min="2819" max="2819" width="17.59765625" style="1465" customWidth="1"/>
    <col min="2820" max="2820" width="27.265625" style="1465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86.73046875" style="1465" customWidth="1"/>
    <col min="3074" max="3074" width="23" style="1465" customWidth="1"/>
    <col min="3075" max="3075" width="17.59765625" style="1465" customWidth="1"/>
    <col min="3076" max="3076" width="27.265625" style="1465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86.73046875" style="1465" customWidth="1"/>
    <col min="3330" max="3330" width="23" style="1465" customWidth="1"/>
    <col min="3331" max="3331" width="17.59765625" style="1465" customWidth="1"/>
    <col min="3332" max="3332" width="27.265625" style="1465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86.73046875" style="1465" customWidth="1"/>
    <col min="3586" max="3586" width="23" style="1465" customWidth="1"/>
    <col min="3587" max="3587" width="17.59765625" style="1465" customWidth="1"/>
    <col min="3588" max="3588" width="27.265625" style="1465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86.73046875" style="1465" customWidth="1"/>
    <col min="3842" max="3842" width="23" style="1465" customWidth="1"/>
    <col min="3843" max="3843" width="17.59765625" style="1465" customWidth="1"/>
    <col min="3844" max="3844" width="27.265625" style="1465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86.73046875" style="1465" customWidth="1"/>
    <col min="4098" max="4098" width="23" style="1465" customWidth="1"/>
    <col min="4099" max="4099" width="17.59765625" style="1465" customWidth="1"/>
    <col min="4100" max="4100" width="27.265625" style="1465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86.73046875" style="1465" customWidth="1"/>
    <col min="4354" max="4354" width="23" style="1465" customWidth="1"/>
    <col min="4355" max="4355" width="17.59765625" style="1465" customWidth="1"/>
    <col min="4356" max="4356" width="27.265625" style="1465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86.73046875" style="1465" customWidth="1"/>
    <col min="4610" max="4610" width="23" style="1465" customWidth="1"/>
    <col min="4611" max="4611" width="17.59765625" style="1465" customWidth="1"/>
    <col min="4612" max="4612" width="27.265625" style="1465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86.73046875" style="1465" customWidth="1"/>
    <col min="4866" max="4866" width="23" style="1465" customWidth="1"/>
    <col min="4867" max="4867" width="17.59765625" style="1465" customWidth="1"/>
    <col min="4868" max="4868" width="27.265625" style="1465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86.73046875" style="1465" customWidth="1"/>
    <col min="5122" max="5122" width="23" style="1465" customWidth="1"/>
    <col min="5123" max="5123" width="17.59765625" style="1465" customWidth="1"/>
    <col min="5124" max="5124" width="27.265625" style="1465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86.73046875" style="1465" customWidth="1"/>
    <col min="5378" max="5378" width="23" style="1465" customWidth="1"/>
    <col min="5379" max="5379" width="17.59765625" style="1465" customWidth="1"/>
    <col min="5380" max="5380" width="27.265625" style="1465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86.73046875" style="1465" customWidth="1"/>
    <col min="5634" max="5634" width="23" style="1465" customWidth="1"/>
    <col min="5635" max="5635" width="17.59765625" style="1465" customWidth="1"/>
    <col min="5636" max="5636" width="27.265625" style="1465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86.73046875" style="1465" customWidth="1"/>
    <col min="5890" max="5890" width="23" style="1465" customWidth="1"/>
    <col min="5891" max="5891" width="17.59765625" style="1465" customWidth="1"/>
    <col min="5892" max="5892" width="27.265625" style="1465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86.73046875" style="1465" customWidth="1"/>
    <col min="6146" max="6146" width="23" style="1465" customWidth="1"/>
    <col min="6147" max="6147" width="17.59765625" style="1465" customWidth="1"/>
    <col min="6148" max="6148" width="27.265625" style="1465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86.73046875" style="1465" customWidth="1"/>
    <col min="6402" max="6402" width="23" style="1465" customWidth="1"/>
    <col min="6403" max="6403" width="17.59765625" style="1465" customWidth="1"/>
    <col min="6404" max="6404" width="27.265625" style="1465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86.73046875" style="1465" customWidth="1"/>
    <col min="6658" max="6658" width="23" style="1465" customWidth="1"/>
    <col min="6659" max="6659" width="17.59765625" style="1465" customWidth="1"/>
    <col min="6660" max="6660" width="27.265625" style="1465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86.73046875" style="1465" customWidth="1"/>
    <col min="6914" max="6914" width="23" style="1465" customWidth="1"/>
    <col min="6915" max="6915" width="17.59765625" style="1465" customWidth="1"/>
    <col min="6916" max="6916" width="27.265625" style="1465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86.73046875" style="1465" customWidth="1"/>
    <col min="7170" max="7170" width="23" style="1465" customWidth="1"/>
    <col min="7171" max="7171" width="17.59765625" style="1465" customWidth="1"/>
    <col min="7172" max="7172" width="27.265625" style="1465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86.73046875" style="1465" customWidth="1"/>
    <col min="7426" max="7426" width="23" style="1465" customWidth="1"/>
    <col min="7427" max="7427" width="17.59765625" style="1465" customWidth="1"/>
    <col min="7428" max="7428" width="27.265625" style="1465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86.73046875" style="1465" customWidth="1"/>
    <col min="7682" max="7682" width="23" style="1465" customWidth="1"/>
    <col min="7683" max="7683" width="17.59765625" style="1465" customWidth="1"/>
    <col min="7684" max="7684" width="27.265625" style="1465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86.73046875" style="1465" customWidth="1"/>
    <col min="7938" max="7938" width="23" style="1465" customWidth="1"/>
    <col min="7939" max="7939" width="17.59765625" style="1465" customWidth="1"/>
    <col min="7940" max="7940" width="27.265625" style="1465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86.73046875" style="1465" customWidth="1"/>
    <col min="8194" max="8194" width="23" style="1465" customWidth="1"/>
    <col min="8195" max="8195" width="17.59765625" style="1465" customWidth="1"/>
    <col min="8196" max="8196" width="27.265625" style="1465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86.73046875" style="1465" customWidth="1"/>
    <col min="8450" max="8450" width="23" style="1465" customWidth="1"/>
    <col min="8451" max="8451" width="17.59765625" style="1465" customWidth="1"/>
    <col min="8452" max="8452" width="27.265625" style="1465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86.73046875" style="1465" customWidth="1"/>
    <col min="8706" max="8706" width="23" style="1465" customWidth="1"/>
    <col min="8707" max="8707" width="17.59765625" style="1465" customWidth="1"/>
    <col min="8708" max="8708" width="27.265625" style="1465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86.73046875" style="1465" customWidth="1"/>
    <col min="8962" max="8962" width="23" style="1465" customWidth="1"/>
    <col min="8963" max="8963" width="17.59765625" style="1465" customWidth="1"/>
    <col min="8964" max="8964" width="27.265625" style="1465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86.73046875" style="1465" customWidth="1"/>
    <col min="9218" max="9218" width="23" style="1465" customWidth="1"/>
    <col min="9219" max="9219" width="17.59765625" style="1465" customWidth="1"/>
    <col min="9220" max="9220" width="27.265625" style="1465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86.73046875" style="1465" customWidth="1"/>
    <col min="9474" max="9474" width="23" style="1465" customWidth="1"/>
    <col min="9475" max="9475" width="17.59765625" style="1465" customWidth="1"/>
    <col min="9476" max="9476" width="27.265625" style="1465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86.73046875" style="1465" customWidth="1"/>
    <col min="9730" max="9730" width="23" style="1465" customWidth="1"/>
    <col min="9731" max="9731" width="17.59765625" style="1465" customWidth="1"/>
    <col min="9732" max="9732" width="27.265625" style="1465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86.73046875" style="1465" customWidth="1"/>
    <col min="9986" max="9986" width="23" style="1465" customWidth="1"/>
    <col min="9987" max="9987" width="17.59765625" style="1465" customWidth="1"/>
    <col min="9988" max="9988" width="27.265625" style="1465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86.73046875" style="1465" customWidth="1"/>
    <col min="10242" max="10242" width="23" style="1465" customWidth="1"/>
    <col min="10243" max="10243" width="17.59765625" style="1465" customWidth="1"/>
    <col min="10244" max="10244" width="27.265625" style="1465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86.73046875" style="1465" customWidth="1"/>
    <col min="10498" max="10498" width="23" style="1465" customWidth="1"/>
    <col min="10499" max="10499" width="17.59765625" style="1465" customWidth="1"/>
    <col min="10500" max="10500" width="27.265625" style="1465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86.73046875" style="1465" customWidth="1"/>
    <col min="10754" max="10754" width="23" style="1465" customWidth="1"/>
    <col min="10755" max="10755" width="17.59765625" style="1465" customWidth="1"/>
    <col min="10756" max="10756" width="27.265625" style="1465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86.73046875" style="1465" customWidth="1"/>
    <col min="11010" max="11010" width="23" style="1465" customWidth="1"/>
    <col min="11011" max="11011" width="17.59765625" style="1465" customWidth="1"/>
    <col min="11012" max="11012" width="27.265625" style="1465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86.73046875" style="1465" customWidth="1"/>
    <col min="11266" max="11266" width="23" style="1465" customWidth="1"/>
    <col min="11267" max="11267" width="17.59765625" style="1465" customWidth="1"/>
    <col min="11268" max="11268" width="27.265625" style="1465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86.73046875" style="1465" customWidth="1"/>
    <col min="11522" max="11522" width="23" style="1465" customWidth="1"/>
    <col min="11523" max="11523" width="17.59765625" style="1465" customWidth="1"/>
    <col min="11524" max="11524" width="27.265625" style="1465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86.73046875" style="1465" customWidth="1"/>
    <col min="11778" max="11778" width="23" style="1465" customWidth="1"/>
    <col min="11779" max="11779" width="17.59765625" style="1465" customWidth="1"/>
    <col min="11780" max="11780" width="27.265625" style="1465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86.73046875" style="1465" customWidth="1"/>
    <col min="12034" max="12034" width="23" style="1465" customWidth="1"/>
    <col min="12035" max="12035" width="17.59765625" style="1465" customWidth="1"/>
    <col min="12036" max="12036" width="27.265625" style="1465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86.73046875" style="1465" customWidth="1"/>
    <col min="12290" max="12290" width="23" style="1465" customWidth="1"/>
    <col min="12291" max="12291" width="17.59765625" style="1465" customWidth="1"/>
    <col min="12292" max="12292" width="27.265625" style="1465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86.73046875" style="1465" customWidth="1"/>
    <col min="12546" max="12546" width="23" style="1465" customWidth="1"/>
    <col min="12547" max="12547" width="17.59765625" style="1465" customWidth="1"/>
    <col min="12548" max="12548" width="27.265625" style="1465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86.73046875" style="1465" customWidth="1"/>
    <col min="12802" max="12802" width="23" style="1465" customWidth="1"/>
    <col min="12803" max="12803" width="17.59765625" style="1465" customWidth="1"/>
    <col min="12804" max="12804" width="27.265625" style="1465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86.73046875" style="1465" customWidth="1"/>
    <col min="13058" max="13058" width="23" style="1465" customWidth="1"/>
    <col min="13059" max="13059" width="17.59765625" style="1465" customWidth="1"/>
    <col min="13060" max="13060" width="27.265625" style="1465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86.73046875" style="1465" customWidth="1"/>
    <col min="13314" max="13314" width="23" style="1465" customWidth="1"/>
    <col min="13315" max="13315" width="17.59765625" style="1465" customWidth="1"/>
    <col min="13316" max="13316" width="27.265625" style="1465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86.73046875" style="1465" customWidth="1"/>
    <col min="13570" max="13570" width="23" style="1465" customWidth="1"/>
    <col min="13571" max="13571" width="17.59765625" style="1465" customWidth="1"/>
    <col min="13572" max="13572" width="27.265625" style="1465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86.73046875" style="1465" customWidth="1"/>
    <col min="13826" max="13826" width="23" style="1465" customWidth="1"/>
    <col min="13827" max="13827" width="17.59765625" style="1465" customWidth="1"/>
    <col min="13828" max="13828" width="27.265625" style="1465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86.73046875" style="1465" customWidth="1"/>
    <col min="14082" max="14082" width="23" style="1465" customWidth="1"/>
    <col min="14083" max="14083" width="17.59765625" style="1465" customWidth="1"/>
    <col min="14084" max="14084" width="27.265625" style="1465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86.73046875" style="1465" customWidth="1"/>
    <col min="14338" max="14338" width="23" style="1465" customWidth="1"/>
    <col min="14339" max="14339" width="17.59765625" style="1465" customWidth="1"/>
    <col min="14340" max="14340" width="27.265625" style="1465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86.73046875" style="1465" customWidth="1"/>
    <col min="14594" max="14594" width="23" style="1465" customWidth="1"/>
    <col min="14595" max="14595" width="17.59765625" style="1465" customWidth="1"/>
    <col min="14596" max="14596" width="27.265625" style="1465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86.73046875" style="1465" customWidth="1"/>
    <col min="14850" max="14850" width="23" style="1465" customWidth="1"/>
    <col min="14851" max="14851" width="17.59765625" style="1465" customWidth="1"/>
    <col min="14852" max="14852" width="27.265625" style="1465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86.73046875" style="1465" customWidth="1"/>
    <col min="15106" max="15106" width="23" style="1465" customWidth="1"/>
    <col min="15107" max="15107" width="17.59765625" style="1465" customWidth="1"/>
    <col min="15108" max="15108" width="27.265625" style="1465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86.73046875" style="1465" customWidth="1"/>
    <col min="15362" max="15362" width="23" style="1465" customWidth="1"/>
    <col min="15363" max="15363" width="17.59765625" style="1465" customWidth="1"/>
    <col min="15364" max="15364" width="27.265625" style="1465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86.73046875" style="1465" customWidth="1"/>
    <col min="15618" max="15618" width="23" style="1465" customWidth="1"/>
    <col min="15619" max="15619" width="17.59765625" style="1465" customWidth="1"/>
    <col min="15620" max="15620" width="27.265625" style="1465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86.73046875" style="1465" customWidth="1"/>
    <col min="15874" max="15874" width="23" style="1465" customWidth="1"/>
    <col min="15875" max="15875" width="17.59765625" style="1465" customWidth="1"/>
    <col min="15876" max="15876" width="27.265625" style="1465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86.73046875" style="1465" customWidth="1"/>
    <col min="16130" max="16130" width="23" style="1465" customWidth="1"/>
    <col min="16131" max="16131" width="17.59765625" style="1465" customWidth="1"/>
    <col min="16132" max="16132" width="27.265625" style="1465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1958</v>
      </c>
    </row>
    <row r="2" spans="1:22">
      <c r="A2" s="1466" t="s">
        <v>1826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695"/>
      <c r="B5" s="1479" t="s">
        <v>368</v>
      </c>
      <c r="C5" s="1471" t="s">
        <v>369</v>
      </c>
      <c r="D5" s="1471" t="s">
        <v>1827</v>
      </c>
      <c r="E5" s="1471" t="s">
        <v>371</v>
      </c>
      <c r="F5" s="1471" t="s">
        <v>1828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473" t="s">
        <v>139</v>
      </c>
      <c r="R5" s="1685" t="s">
        <v>1829</v>
      </c>
      <c r="S5" s="1474"/>
      <c r="U5" s="1475"/>
    </row>
    <row r="6" spans="1:22" ht="14.2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389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401</v>
      </c>
      <c r="V6" s="1475" t="s">
        <v>402</v>
      </c>
    </row>
    <row r="7" spans="1:22" ht="14.25">
      <c r="A7" s="1697" t="s">
        <v>1959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389</v>
      </c>
      <c r="H7" s="1554" t="s">
        <v>386</v>
      </c>
      <c r="I7" s="1554" t="s">
        <v>386</v>
      </c>
      <c r="J7" s="1558" t="s">
        <v>400</v>
      </c>
      <c r="K7" s="1558" t="s">
        <v>400</v>
      </c>
      <c r="L7" s="1554" t="s">
        <v>386</v>
      </c>
      <c r="M7" s="1553" t="s">
        <v>412</v>
      </c>
      <c r="N7" s="1554" t="s">
        <v>391</v>
      </c>
      <c r="O7" s="1554" t="s">
        <v>391</v>
      </c>
      <c r="P7" s="1554" t="s">
        <v>391</v>
      </c>
      <c r="Q7" s="1559" t="s">
        <v>391</v>
      </c>
      <c r="R7" s="1686">
        <v>2024</v>
      </c>
      <c r="S7" s="1474"/>
      <c r="U7" s="1475"/>
    </row>
    <row r="8" spans="1:22" ht="14.25">
      <c r="A8" s="1697" t="s">
        <v>403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389</v>
      </c>
      <c r="H8" s="1554" t="s">
        <v>386</v>
      </c>
      <c r="I8" s="1554" t="s">
        <v>386</v>
      </c>
      <c r="J8" s="1554" t="s">
        <v>386</v>
      </c>
      <c r="K8" s="1558" t="s">
        <v>400</v>
      </c>
      <c r="L8" s="1554" t="s">
        <v>386</v>
      </c>
      <c r="M8" s="1560" t="s">
        <v>390</v>
      </c>
      <c r="N8" s="1554" t="s">
        <v>386</v>
      </c>
      <c r="O8" s="1554" t="s">
        <v>386</v>
      </c>
      <c r="P8" s="1554" t="s">
        <v>391</v>
      </c>
      <c r="Q8" s="1559" t="s">
        <v>391</v>
      </c>
      <c r="R8" s="1686">
        <v>2024</v>
      </c>
      <c r="S8" s="1474"/>
      <c r="U8" s="1475"/>
    </row>
    <row r="9" spans="1:22" ht="14.25">
      <c r="A9" s="1698" t="s">
        <v>394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395</v>
      </c>
      <c r="H9" s="1563" t="s">
        <v>386</v>
      </c>
      <c r="I9" s="1563" t="s">
        <v>386</v>
      </c>
      <c r="J9" s="1563" t="s">
        <v>386</v>
      </c>
      <c r="K9" s="1563" t="s">
        <v>386</v>
      </c>
      <c r="L9" s="1563" t="s">
        <v>386</v>
      </c>
      <c r="M9" s="1557" t="s">
        <v>390</v>
      </c>
      <c r="N9" s="1554" t="s">
        <v>386</v>
      </c>
      <c r="O9" s="1554" t="s">
        <v>386</v>
      </c>
      <c r="P9" s="1554" t="s">
        <v>386</v>
      </c>
      <c r="Q9" s="1559" t="s">
        <v>400</v>
      </c>
      <c r="R9" s="1686">
        <v>2024</v>
      </c>
      <c r="S9" s="1474"/>
      <c r="U9" s="1475"/>
    </row>
    <row r="10" spans="1:22" ht="14.25">
      <c r="A10" s="1698" t="s">
        <v>398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399</v>
      </c>
      <c r="H10" s="1563" t="s">
        <v>386</v>
      </c>
      <c r="I10" s="1563" t="s">
        <v>386</v>
      </c>
      <c r="J10" s="1563" t="s">
        <v>386</v>
      </c>
      <c r="K10" s="1564" t="s">
        <v>400</v>
      </c>
      <c r="L10" s="1563" t="s">
        <v>386</v>
      </c>
      <c r="M10" s="1557" t="s">
        <v>390</v>
      </c>
      <c r="N10" s="1563" t="s">
        <v>386</v>
      </c>
      <c r="O10" s="1563" t="s">
        <v>386</v>
      </c>
      <c r="P10" s="1563" t="s">
        <v>391</v>
      </c>
      <c r="Q10" s="1565" t="s">
        <v>391</v>
      </c>
      <c r="R10" s="1686">
        <v>2024</v>
      </c>
    </row>
    <row r="11" spans="1:22" ht="14.25">
      <c r="A11" s="1698" t="s">
        <v>525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389</v>
      </c>
      <c r="H11" s="1563" t="s">
        <v>386</v>
      </c>
      <c r="I11" s="1563" t="s">
        <v>386</v>
      </c>
      <c r="J11" s="1563" t="s">
        <v>386</v>
      </c>
      <c r="K11" s="1564" t="s">
        <v>400</v>
      </c>
      <c r="L11" s="1564" t="s">
        <v>400</v>
      </c>
      <c r="M11" s="1557" t="s">
        <v>412</v>
      </c>
      <c r="N11" s="1563" t="s">
        <v>391</v>
      </c>
      <c r="O11" s="1563" t="s">
        <v>391</v>
      </c>
      <c r="P11" s="1563" t="s">
        <v>391</v>
      </c>
      <c r="Q11" s="1565" t="s">
        <v>391</v>
      </c>
      <c r="R11" s="1687">
        <v>2024</v>
      </c>
    </row>
    <row r="12" spans="1:22" ht="14.25">
      <c r="A12" s="1699" t="s">
        <v>1960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389</v>
      </c>
      <c r="H12" s="1563" t="s">
        <v>386</v>
      </c>
      <c r="I12" s="1563" t="s">
        <v>386</v>
      </c>
      <c r="J12" s="1563" t="s">
        <v>386</v>
      </c>
      <c r="K12" s="1563" t="s">
        <v>386</v>
      </c>
      <c r="L12" s="1564" t="s">
        <v>391</v>
      </c>
      <c r="M12" s="1557" t="s">
        <v>412</v>
      </c>
      <c r="N12" s="1557" t="s">
        <v>391</v>
      </c>
      <c r="O12" s="1557" t="s">
        <v>391</v>
      </c>
      <c r="P12" s="1557" t="s">
        <v>391</v>
      </c>
      <c r="Q12" s="1566" t="s">
        <v>391</v>
      </c>
      <c r="R12" s="1688">
        <v>2023</v>
      </c>
    </row>
    <row r="13" spans="1:22" ht="14.25">
      <c r="A13" s="1699" t="s">
        <v>1961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389</v>
      </c>
      <c r="H13" s="1563" t="s">
        <v>386</v>
      </c>
      <c r="I13" s="1563" t="s">
        <v>386</v>
      </c>
      <c r="J13" s="1563" t="s">
        <v>386</v>
      </c>
      <c r="K13" s="1563" t="s">
        <v>386</v>
      </c>
      <c r="L13" s="1564" t="s">
        <v>391</v>
      </c>
      <c r="M13" s="1557" t="s">
        <v>412</v>
      </c>
      <c r="N13" s="1557" t="s">
        <v>391</v>
      </c>
      <c r="O13" s="1557" t="s">
        <v>391</v>
      </c>
      <c r="P13" s="1557" t="s">
        <v>391</v>
      </c>
      <c r="Q13" s="1566" t="s">
        <v>391</v>
      </c>
      <c r="R13" s="1688">
        <v>2023</v>
      </c>
    </row>
    <row r="14" spans="1:22" ht="14.25">
      <c r="A14" s="1698" t="s">
        <v>411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389</v>
      </c>
      <c r="H14" s="1563" t="s">
        <v>386</v>
      </c>
      <c r="I14" s="1563" t="s">
        <v>386</v>
      </c>
      <c r="J14" s="1563" t="s">
        <v>386</v>
      </c>
      <c r="K14" s="1563" t="s">
        <v>386</v>
      </c>
      <c r="L14" s="1564" t="s">
        <v>400</v>
      </c>
      <c r="M14" s="1557" t="s">
        <v>412</v>
      </c>
      <c r="N14" s="1557" t="s">
        <v>391</v>
      </c>
      <c r="O14" s="1557" t="s">
        <v>391</v>
      </c>
      <c r="P14" s="1557" t="s">
        <v>391</v>
      </c>
      <c r="Q14" s="1566" t="s">
        <v>391</v>
      </c>
      <c r="R14" s="1688">
        <v>2023</v>
      </c>
    </row>
    <row r="15" spans="1:22" ht="14.25">
      <c r="A15" s="1699" t="s">
        <v>1962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1963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4.65" thickBot="1">
      <c r="A16" s="1700" t="s">
        <v>414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389</v>
      </c>
      <c r="H16" s="1578" t="s">
        <v>386</v>
      </c>
      <c r="I16" s="1578" t="s">
        <v>386</v>
      </c>
      <c r="J16" s="1579" t="s">
        <v>415</v>
      </c>
      <c r="K16" s="1578" t="s">
        <v>386</v>
      </c>
      <c r="L16" s="1578" t="s">
        <v>386</v>
      </c>
      <c r="M16" s="1577" t="s">
        <v>412</v>
      </c>
      <c r="N16" s="1578" t="s">
        <v>391</v>
      </c>
      <c r="O16" s="1578" t="s">
        <v>391</v>
      </c>
      <c r="P16" s="1578" t="s">
        <v>391</v>
      </c>
      <c r="Q16" s="1580" t="s">
        <v>391</v>
      </c>
      <c r="R16" s="1689">
        <v>2024</v>
      </c>
    </row>
    <row r="17" spans="1:18" ht="14.2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4.25">
      <c r="A18" s="1583" t="s">
        <v>416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4.2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5.4" thickBot="1">
      <c r="A20" s="1478" t="s">
        <v>1830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4.65" thickBot="1">
      <c r="A21" s="1586"/>
      <c r="B21" s="1587" t="s">
        <v>368</v>
      </c>
      <c r="C21" s="1582"/>
      <c r="D21" s="1586" t="s">
        <v>1831</v>
      </c>
      <c r="E21" s="1588" t="s">
        <v>417</v>
      </c>
      <c r="F21" s="1588" t="s">
        <v>1828</v>
      </c>
      <c r="G21" s="1588" t="s">
        <v>375</v>
      </c>
      <c r="H21" s="1588" t="s">
        <v>379</v>
      </c>
      <c r="I21" s="1588" t="s">
        <v>380</v>
      </c>
      <c r="J21" s="1588" t="s">
        <v>381</v>
      </c>
      <c r="K21" s="1588" t="s">
        <v>382</v>
      </c>
      <c r="L21" s="1587" t="s">
        <v>139</v>
      </c>
      <c r="M21" s="1587" t="s">
        <v>1829</v>
      </c>
      <c r="N21" s="1582"/>
      <c r="O21" s="1582"/>
      <c r="P21" s="1582"/>
      <c r="Q21" s="1582"/>
      <c r="R21" s="1582"/>
    </row>
    <row r="22" spans="1:18" ht="14.25">
      <c r="A22" s="1589" t="s">
        <v>419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389</v>
      </c>
      <c r="H22" s="1594" t="s">
        <v>420</v>
      </c>
      <c r="I22" s="1594" t="s">
        <v>387</v>
      </c>
      <c r="J22" s="1594" t="s">
        <v>387</v>
      </c>
      <c r="K22" s="1594" t="s">
        <v>387</v>
      </c>
      <c r="L22" s="1595" t="s">
        <v>387</v>
      </c>
      <c r="M22" s="1595">
        <v>2023</v>
      </c>
      <c r="N22" s="1596" t="s">
        <v>1832</v>
      </c>
      <c r="O22" s="1582"/>
      <c r="P22" s="1582"/>
      <c r="Q22" s="1582"/>
      <c r="R22" s="1582"/>
    </row>
    <row r="23" spans="1:18" ht="14.25">
      <c r="A23" s="1597" t="s">
        <v>528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389</v>
      </c>
      <c r="H23" s="1594" t="s">
        <v>511</v>
      </c>
      <c r="I23" s="1594" t="s">
        <v>391</v>
      </c>
      <c r="J23" s="1594" t="s">
        <v>391</v>
      </c>
      <c r="K23" s="1594" t="s">
        <v>391</v>
      </c>
      <c r="L23" s="1595" t="s">
        <v>391</v>
      </c>
      <c r="M23" s="1595">
        <v>2024</v>
      </c>
      <c r="N23" s="1582"/>
      <c r="O23" s="1582"/>
      <c r="P23" s="1582"/>
      <c r="Q23" s="1582"/>
      <c r="R23" s="1582"/>
    </row>
    <row r="24" spans="1:18" ht="14.25">
      <c r="A24" s="1597" t="s">
        <v>1964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389</v>
      </c>
      <c r="H24" s="1594" t="s">
        <v>1965</v>
      </c>
      <c r="I24" s="1594" t="s">
        <v>391</v>
      </c>
      <c r="J24" s="1594" t="s">
        <v>391</v>
      </c>
      <c r="K24" s="1594" t="s">
        <v>391</v>
      </c>
      <c r="L24" s="1595" t="s">
        <v>391</v>
      </c>
      <c r="M24" s="1595">
        <v>2024</v>
      </c>
      <c r="N24" s="1582"/>
      <c r="O24" s="1582"/>
      <c r="P24" s="1582"/>
      <c r="Q24" s="1582"/>
      <c r="R24" s="1582"/>
    </row>
    <row r="25" spans="1:18" ht="14.25">
      <c r="A25" s="1600" t="s">
        <v>1966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389</v>
      </c>
      <c r="H25" s="1594" t="s">
        <v>1965</v>
      </c>
      <c r="I25" s="1594" t="s">
        <v>391</v>
      </c>
      <c r="J25" s="1594" t="s">
        <v>391</v>
      </c>
      <c r="K25" s="1594" t="s">
        <v>391</v>
      </c>
      <c r="L25" s="1595" t="s">
        <v>391</v>
      </c>
      <c r="M25" s="1600">
        <v>2023</v>
      </c>
      <c r="N25" s="1582"/>
      <c r="O25" s="1582"/>
      <c r="P25" s="1582"/>
      <c r="Q25" s="1582"/>
      <c r="R25" s="1582"/>
    </row>
    <row r="26" spans="1:18" ht="14.25">
      <c r="A26" s="1600" t="s">
        <v>1967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389</v>
      </c>
      <c r="H26" s="1594" t="s">
        <v>1965</v>
      </c>
      <c r="I26" s="1594" t="s">
        <v>391</v>
      </c>
      <c r="J26" s="1594" t="s">
        <v>391</v>
      </c>
      <c r="K26" s="1594" t="s">
        <v>391</v>
      </c>
      <c r="L26" s="1595" t="s">
        <v>391</v>
      </c>
      <c r="M26" s="1600">
        <v>2024</v>
      </c>
      <c r="N26" s="1582"/>
      <c r="O26" s="1582"/>
      <c r="P26" s="1582"/>
      <c r="Q26" s="1582"/>
      <c r="R26" s="1582"/>
    </row>
    <row r="27" spans="1:18" ht="14.25">
      <c r="A27" s="1600" t="s">
        <v>1968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389</v>
      </c>
      <c r="H27" s="1594" t="s">
        <v>1965</v>
      </c>
      <c r="I27" s="1594" t="s">
        <v>391</v>
      </c>
      <c r="J27" s="1594" t="s">
        <v>391</v>
      </c>
      <c r="K27" s="1594" t="s">
        <v>391</v>
      </c>
      <c r="L27" s="1595" t="s">
        <v>391</v>
      </c>
      <c r="M27" s="1600">
        <v>2024</v>
      </c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4.25">
      <c r="A29" s="1583" t="s">
        <v>416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2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5.4" thickBot="1">
      <c r="A31" s="1478" t="s">
        <v>426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4.65" thickBot="1">
      <c r="A32" s="1602"/>
      <c r="B32" s="1582"/>
      <c r="C32" s="1582"/>
      <c r="D32" s="1586" t="s">
        <v>370</v>
      </c>
      <c r="E32" s="1603" t="s">
        <v>427</v>
      </c>
      <c r="F32" s="1588" t="s">
        <v>418</v>
      </c>
      <c r="G32" s="1588" t="s">
        <v>375</v>
      </c>
      <c r="H32" s="1588" t="s">
        <v>379</v>
      </c>
      <c r="I32" s="1588" t="s">
        <v>380</v>
      </c>
      <c r="J32" s="1588" t="s">
        <v>381</v>
      </c>
      <c r="K32" s="1588" t="s">
        <v>382</v>
      </c>
      <c r="L32" s="1587" t="s">
        <v>139</v>
      </c>
      <c r="M32" s="1587" t="s">
        <v>1829</v>
      </c>
      <c r="N32" s="1582"/>
      <c r="O32" s="1582"/>
      <c r="P32" s="1582"/>
      <c r="Q32" s="1582"/>
      <c r="R32" s="1582"/>
    </row>
    <row r="33" spans="1:18" ht="14.2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4.2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4.65" thickBot="1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3" t="s">
        <v>416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4.2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2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5.4" thickBot="1">
      <c r="A40" s="1478" t="s">
        <v>436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4.65" thickBot="1">
      <c r="A41" s="1602"/>
      <c r="B41" s="1582"/>
      <c r="C41" s="1582"/>
      <c r="D41" s="1586" t="s">
        <v>370</v>
      </c>
      <c r="E41" s="1603" t="s">
        <v>1833</v>
      </c>
      <c r="F41" s="1588" t="s">
        <v>418</v>
      </c>
      <c r="G41" s="1587" t="s">
        <v>375</v>
      </c>
      <c r="H41" s="1588" t="s">
        <v>379</v>
      </c>
      <c r="I41" s="1588" t="s">
        <v>380</v>
      </c>
      <c r="J41" s="1588" t="s">
        <v>381</v>
      </c>
      <c r="K41" s="1588" t="s">
        <v>382</v>
      </c>
      <c r="L41" s="1587" t="s">
        <v>139</v>
      </c>
      <c r="M41" s="1587" t="s">
        <v>1829</v>
      </c>
      <c r="N41" s="1582"/>
      <c r="O41" s="1582"/>
      <c r="P41" s="1582"/>
      <c r="Q41" s="1582"/>
      <c r="R41" s="1582"/>
    </row>
    <row r="42" spans="1:18" ht="14.25">
      <c r="A42" s="1618" t="s">
        <v>1969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389</v>
      </c>
      <c r="H42" s="1623" t="s">
        <v>1970</v>
      </c>
      <c r="I42" s="1623" t="s">
        <v>387</v>
      </c>
      <c r="J42" s="1623" t="s">
        <v>387</v>
      </c>
      <c r="K42" s="1623" t="s">
        <v>387</v>
      </c>
      <c r="L42" s="1623" t="s">
        <v>391</v>
      </c>
      <c r="M42" s="1622">
        <v>2023</v>
      </c>
      <c r="N42" s="1582"/>
      <c r="O42" s="1582"/>
      <c r="P42" s="1582"/>
      <c r="Q42" s="1582"/>
      <c r="R42" s="1582"/>
    </row>
    <row r="43" spans="1:18" ht="14.25">
      <c r="A43" s="1618" t="s">
        <v>1834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1835</v>
      </c>
      <c r="H43" s="1623" t="s">
        <v>1836</v>
      </c>
      <c r="I43" s="1623" t="s">
        <v>387</v>
      </c>
      <c r="J43" s="1623" t="s">
        <v>387</v>
      </c>
      <c r="K43" s="1623" t="s">
        <v>387</v>
      </c>
      <c r="L43" s="1623" t="s">
        <v>1837</v>
      </c>
      <c r="M43" s="1622">
        <v>2023</v>
      </c>
      <c r="N43" s="1582"/>
      <c r="O43" s="1582"/>
      <c r="P43" s="1582"/>
      <c r="Q43" s="1582"/>
      <c r="R43" s="1582"/>
    </row>
    <row r="44" spans="1:18" ht="14.25">
      <c r="A44" s="1618" t="s">
        <v>438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389</v>
      </c>
      <c r="H44" s="1623" t="s">
        <v>1838</v>
      </c>
      <c r="I44" s="1623" t="s">
        <v>391</v>
      </c>
      <c r="J44" s="1623" t="s">
        <v>391</v>
      </c>
      <c r="K44" s="1623" t="s">
        <v>391</v>
      </c>
      <c r="L44" s="1623" t="s">
        <v>391</v>
      </c>
      <c r="M44" s="1622" t="s">
        <v>1839</v>
      </c>
      <c r="N44" s="1582"/>
      <c r="O44" s="1582"/>
      <c r="P44" s="1582"/>
      <c r="Q44" s="1582"/>
      <c r="R44" s="1582"/>
    </row>
    <row r="45" spans="1:18" ht="14.25">
      <c r="A45" s="1618" t="s">
        <v>1840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389</v>
      </c>
      <c r="H45" s="1623" t="s">
        <v>1841</v>
      </c>
      <c r="I45" s="1623" t="s">
        <v>387</v>
      </c>
      <c r="J45" s="1623" t="s">
        <v>391</v>
      </c>
      <c r="K45" s="1623" t="s">
        <v>391</v>
      </c>
      <c r="L45" s="1623" t="s">
        <v>391</v>
      </c>
      <c r="M45" s="1622" t="s">
        <v>1839</v>
      </c>
      <c r="N45" s="1583"/>
      <c r="O45" s="1583"/>
      <c r="P45" s="1583"/>
      <c r="Q45" s="1583"/>
      <c r="R45" s="1583"/>
    </row>
    <row r="46" spans="1:18" ht="14.25">
      <c r="A46" s="1618" t="s">
        <v>1842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389</v>
      </c>
      <c r="H46" s="1623" t="s">
        <v>1838</v>
      </c>
      <c r="I46" s="1623" t="s">
        <v>387</v>
      </c>
      <c r="J46" s="1623" t="s">
        <v>387</v>
      </c>
      <c r="K46" s="1623" t="s">
        <v>387</v>
      </c>
      <c r="L46" s="1623" t="s">
        <v>387</v>
      </c>
      <c r="M46" s="1622" t="s">
        <v>1839</v>
      </c>
      <c r="N46" s="1582"/>
      <c r="O46" s="1582"/>
      <c r="P46" s="1582"/>
      <c r="Q46" s="1582"/>
      <c r="R46" s="1582"/>
    </row>
    <row r="47" spans="1:18" ht="14.25">
      <c r="A47" s="1618" t="s">
        <v>1971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389</v>
      </c>
      <c r="H47" s="1623"/>
      <c r="I47" s="1623"/>
      <c r="J47" s="1623"/>
      <c r="K47" s="1623"/>
      <c r="L47" s="1623"/>
      <c r="M47" s="1622" t="s">
        <v>1839</v>
      </c>
      <c r="N47" s="1582"/>
      <c r="O47" s="1582"/>
      <c r="P47" s="1582"/>
      <c r="Q47" s="1582"/>
      <c r="R47" s="1582"/>
    </row>
    <row r="48" spans="1:18" ht="14.25">
      <c r="A48" s="1618" t="s">
        <v>1678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389</v>
      </c>
      <c r="H48" s="1623"/>
      <c r="I48" s="1623" t="s">
        <v>391</v>
      </c>
      <c r="J48" s="1623" t="s">
        <v>391</v>
      </c>
      <c r="K48" s="1623" t="s">
        <v>391</v>
      </c>
      <c r="L48" s="1623" t="s">
        <v>391</v>
      </c>
      <c r="M48" s="1622">
        <v>2024</v>
      </c>
      <c r="N48" s="1582"/>
      <c r="O48" s="1582"/>
      <c r="P48" s="1582"/>
      <c r="Q48" s="1582"/>
      <c r="R48" s="1582"/>
    </row>
    <row r="49" spans="1:18" ht="14.65" thickBot="1">
      <c r="A49" s="1628" t="s">
        <v>440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389</v>
      </c>
      <c r="H49" s="1623" t="s">
        <v>432</v>
      </c>
      <c r="I49" s="1623" t="s">
        <v>387</v>
      </c>
      <c r="J49" s="1623" t="s">
        <v>387</v>
      </c>
      <c r="K49" s="1623" t="s">
        <v>387</v>
      </c>
      <c r="L49" s="1623" t="s">
        <v>387</v>
      </c>
      <c r="M49" s="1622" t="s">
        <v>1839</v>
      </c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3" t="s">
        <v>416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4.2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2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5.4" thickBot="1">
      <c r="A54" s="1478" t="s">
        <v>441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4.65" thickBot="1">
      <c r="A55" s="1602"/>
      <c r="B55" s="1582"/>
      <c r="C55" s="1582"/>
      <c r="D55" s="1586" t="s">
        <v>370</v>
      </c>
      <c r="E55" s="1603" t="s">
        <v>427</v>
      </c>
      <c r="F55" s="1588" t="s">
        <v>418</v>
      </c>
      <c r="G55" s="1587" t="s">
        <v>375</v>
      </c>
      <c r="H55" s="1588" t="s">
        <v>379</v>
      </c>
      <c r="I55" s="1588" t="s">
        <v>380</v>
      </c>
      <c r="J55" s="1588" t="s">
        <v>381</v>
      </c>
      <c r="K55" s="1588" t="s">
        <v>382</v>
      </c>
      <c r="L55" s="1587" t="s">
        <v>139</v>
      </c>
      <c r="M55" s="1587" t="s">
        <v>1829</v>
      </c>
      <c r="N55" s="1582"/>
      <c r="O55" s="1582"/>
      <c r="P55" s="1582"/>
      <c r="Q55" s="1582"/>
      <c r="R55" s="1582"/>
    </row>
    <row r="56" spans="1:18" ht="14.25">
      <c r="A56" s="1633" t="s">
        <v>1843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389</v>
      </c>
      <c r="H56" s="1638" t="s">
        <v>1937</v>
      </c>
      <c r="I56" s="1638" t="s">
        <v>387</v>
      </c>
      <c r="J56" s="1638" t="s">
        <v>387</v>
      </c>
      <c r="K56" s="1638" t="s">
        <v>387</v>
      </c>
      <c r="L56" s="1638" t="s">
        <v>387</v>
      </c>
      <c r="M56" s="1637">
        <v>2023</v>
      </c>
      <c r="N56" s="1582"/>
      <c r="O56" s="1582"/>
      <c r="P56" s="1582"/>
      <c r="Q56" s="1582"/>
      <c r="R56" s="1582"/>
    </row>
    <row r="57" spans="1:18" ht="14.25">
      <c r="A57" s="1633" t="s">
        <v>1846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389</v>
      </c>
      <c r="H57" s="1638" t="s">
        <v>1844</v>
      </c>
      <c r="I57" s="1638" t="s">
        <v>1972</v>
      </c>
      <c r="J57" s="1638" t="s">
        <v>391</v>
      </c>
      <c r="K57" s="1638" t="s">
        <v>1845</v>
      </c>
      <c r="L57" s="1638" t="s">
        <v>391</v>
      </c>
      <c r="M57" s="1637">
        <v>2023</v>
      </c>
      <c r="N57" s="1582"/>
      <c r="O57" s="1582"/>
      <c r="P57" s="1582"/>
      <c r="Q57" s="1582"/>
      <c r="R57" s="1582"/>
    </row>
    <row r="58" spans="1:18" ht="14.25">
      <c r="A58" s="1633" t="s">
        <v>445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389</v>
      </c>
      <c r="H58" s="1638" t="s">
        <v>1938</v>
      </c>
      <c r="I58" s="1638" t="s">
        <v>387</v>
      </c>
      <c r="J58" s="1638" t="s">
        <v>387</v>
      </c>
      <c r="K58" s="1638" t="s">
        <v>387</v>
      </c>
      <c r="L58" s="1638" t="s">
        <v>387</v>
      </c>
      <c r="M58" s="1637">
        <v>2023</v>
      </c>
      <c r="N58" s="1582"/>
      <c r="O58" s="1582"/>
      <c r="P58" s="1582"/>
      <c r="Q58" s="1582"/>
      <c r="R58" s="1582"/>
    </row>
    <row r="59" spans="1:18" ht="14.25">
      <c r="A59" s="1633" t="s">
        <v>1973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389</v>
      </c>
      <c r="H59" s="1638" t="s">
        <v>1974</v>
      </c>
      <c r="I59" s="1638" t="s">
        <v>387</v>
      </c>
      <c r="J59" s="1638" t="s">
        <v>387</v>
      </c>
      <c r="K59" s="1638" t="s">
        <v>387</v>
      </c>
      <c r="L59" s="1638" t="s">
        <v>387</v>
      </c>
      <c r="M59" s="1637">
        <v>2024</v>
      </c>
      <c r="N59" s="1582"/>
      <c r="O59" s="1582"/>
      <c r="P59" s="1582"/>
      <c r="Q59" s="1582"/>
      <c r="R59" s="1582"/>
    </row>
    <row r="60" spans="1:18" ht="14.25">
      <c r="A60" s="1639" t="s">
        <v>1975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389</v>
      </c>
      <c r="H60" s="1638"/>
      <c r="I60" s="1638" t="s">
        <v>391</v>
      </c>
      <c r="J60" s="1639" t="s">
        <v>391</v>
      </c>
      <c r="K60" s="1639" t="s">
        <v>391</v>
      </c>
      <c r="L60" s="1639" t="s">
        <v>391</v>
      </c>
      <c r="M60" s="1639">
        <v>2024</v>
      </c>
      <c r="N60" s="1582"/>
      <c r="O60" s="1582"/>
      <c r="P60" s="1582"/>
      <c r="Q60" s="1582"/>
      <c r="R60" s="1582"/>
    </row>
    <row r="61" spans="1:18" ht="14.25">
      <c r="A61" s="1639" t="s">
        <v>1976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389</v>
      </c>
      <c r="H61" s="1639" t="s">
        <v>1977</v>
      </c>
      <c r="I61" s="1639" t="s">
        <v>391</v>
      </c>
      <c r="J61" s="1639" t="s">
        <v>391</v>
      </c>
      <c r="K61" s="1639" t="s">
        <v>391</v>
      </c>
      <c r="L61" s="1639" t="s">
        <v>391</v>
      </c>
      <c r="M61" s="1639">
        <v>2023</v>
      </c>
      <c r="N61" s="1582"/>
      <c r="O61" s="1582"/>
      <c r="P61" s="1582"/>
      <c r="Q61" s="1582"/>
      <c r="R61" s="1582"/>
    </row>
    <row r="62" spans="1:18" ht="14.2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4.25">
      <c r="A63" s="1583" t="s">
        <v>416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4.2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4.25">
      <c r="A65" s="1582"/>
      <c r="B65" s="1641" t="s">
        <v>447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4.25">
      <c r="A66" s="1583" t="s">
        <v>449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4.25">
      <c r="A67" s="1583" t="s">
        <v>450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4.25">
      <c r="A68" s="1583" t="s">
        <v>451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4.25">
      <c r="A69" s="1642" t="s">
        <v>452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4.25">
      <c r="A70" s="1642" t="s">
        <v>1847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4.25">
      <c r="A71" s="1642" t="s">
        <v>454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4.25">
      <c r="A72" s="1642" t="s">
        <v>455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4.25">
      <c r="A73" s="1642" t="s">
        <v>456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4.2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4.25">
      <c r="A75" s="1583" t="s">
        <v>1848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4.2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4.25">
      <c r="A77" s="1583" t="s">
        <v>458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4.2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4.25">
      <c r="A79" s="1583" t="s">
        <v>459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4.25">
      <c r="A80" s="1642" t="s">
        <v>460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25">
      <c r="A81" s="1642" t="s">
        <v>1849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42" t="s">
        <v>1850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25">
      <c r="A84" s="1583" t="s">
        <v>464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4.2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3" t="s">
        <v>1851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4.2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25">
      <c r="A88" s="1583" t="s">
        <v>1852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583" t="s">
        <v>1853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4.2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4.25">
      <c r="A92" s="1583" t="s">
        <v>1854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4.2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>
      <c r="A94" s="1645" t="s">
        <v>1855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4.2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>
      <c r="A96" s="1645" t="s">
        <v>1978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4.25">
      <c r="A97" s="1642" t="s">
        <v>1856</v>
      </c>
      <c r="B97" s="1643">
        <v>11818172</v>
      </c>
      <c r="C97" s="1643" t="s">
        <v>1857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4.25">
      <c r="A98" s="1642" t="s">
        <v>1858</v>
      </c>
      <c r="B98" s="1643">
        <v>72938360</v>
      </c>
      <c r="C98" s="1643" t="s">
        <v>1859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4.25">
      <c r="A99" s="1642" t="s">
        <v>1860</v>
      </c>
      <c r="B99" s="1643">
        <v>41381020</v>
      </c>
      <c r="C99" s="1643" t="s">
        <v>1861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4.2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4.25" hidden="1">
      <c r="A101" s="1648" t="s">
        <v>1862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4.25" hidden="1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>
      <c r="A103" s="1650" t="s">
        <v>1863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4.25" hidden="1">
      <c r="A104" s="1652" t="s">
        <v>1856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4.25" hidden="1">
      <c r="A105" s="1652" t="s">
        <v>1858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4.25" hidden="1">
      <c r="A106" s="1652" t="s">
        <v>1860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4.25" hidden="1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4.25" hidden="1">
      <c r="A108" s="1648" t="s">
        <v>1862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4.25">
      <c r="A109" s="1654" t="s">
        <v>1864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>
      <c r="A110" s="1655" t="s">
        <v>1865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8.399999999999999" thickBot="1">
      <c r="A112" s="1656" t="s">
        <v>367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">
      <c r="A113" s="1657"/>
      <c r="B113" s="1658" t="s">
        <v>368</v>
      </c>
      <c r="C113" s="1658" t="s">
        <v>369</v>
      </c>
      <c r="D113" s="1658" t="s">
        <v>1827</v>
      </c>
      <c r="E113" s="1658" t="s">
        <v>371</v>
      </c>
      <c r="F113" s="1658" t="s">
        <v>1828</v>
      </c>
      <c r="G113" s="1658" t="s">
        <v>375</v>
      </c>
      <c r="H113" s="1659" t="s">
        <v>77</v>
      </c>
      <c r="I113" s="1659" t="s">
        <v>78</v>
      </c>
      <c r="J113" s="1659" t="s">
        <v>376</v>
      </c>
      <c r="K113" s="1659" t="s">
        <v>377</v>
      </c>
      <c r="L113" s="1659" t="s">
        <v>378</v>
      </c>
      <c r="M113" s="1658" t="s">
        <v>379</v>
      </c>
      <c r="N113" s="1658" t="s">
        <v>380</v>
      </c>
      <c r="O113" s="1658" t="s">
        <v>381</v>
      </c>
      <c r="P113" s="1658" t="s">
        <v>382</v>
      </c>
      <c r="Q113" s="1660" t="s">
        <v>139</v>
      </c>
      <c r="R113" s="1582"/>
    </row>
    <row r="114" spans="1:21" ht="14.25">
      <c r="A114" s="1561" t="s">
        <v>1866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389</v>
      </c>
      <c r="H114" s="1563" t="s">
        <v>386</v>
      </c>
      <c r="I114" s="1563" t="s">
        <v>386</v>
      </c>
      <c r="J114" s="1563" t="s">
        <v>386</v>
      </c>
      <c r="K114" s="1564" t="s">
        <v>386</v>
      </c>
      <c r="L114" s="1564" t="s">
        <v>386</v>
      </c>
      <c r="M114" s="1557" t="s">
        <v>1979</v>
      </c>
      <c r="N114" s="1557" t="s">
        <v>391</v>
      </c>
      <c r="O114" s="1557" t="s">
        <v>391</v>
      </c>
      <c r="P114" s="1557" t="s">
        <v>391</v>
      </c>
      <c r="Q114" s="1566" t="s">
        <v>391</v>
      </c>
      <c r="R114" s="1582"/>
    </row>
    <row r="115" spans="1:21" ht="14.25">
      <c r="A115" s="1550" t="s">
        <v>1980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389</v>
      </c>
      <c r="H115" s="1563" t="s">
        <v>386</v>
      </c>
      <c r="I115" s="1563" t="s">
        <v>386</v>
      </c>
      <c r="J115" s="1563" t="s">
        <v>386</v>
      </c>
      <c r="K115" s="1564" t="s">
        <v>386</v>
      </c>
      <c r="L115" s="1564" t="s">
        <v>386</v>
      </c>
      <c r="M115" s="1557" t="s">
        <v>1979</v>
      </c>
      <c r="N115" s="1557" t="s">
        <v>391</v>
      </c>
      <c r="O115" s="1557" t="s">
        <v>391</v>
      </c>
      <c r="P115" s="1557" t="s">
        <v>391</v>
      </c>
      <c r="Q115" s="1566" t="s">
        <v>391</v>
      </c>
      <c r="R115" s="1582"/>
    </row>
    <row r="116" spans="1:21" ht="14.25">
      <c r="A116" s="1561" t="s">
        <v>1867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389</v>
      </c>
      <c r="H116" s="1563" t="s">
        <v>386</v>
      </c>
      <c r="I116" s="1563" t="s">
        <v>386</v>
      </c>
      <c r="J116" s="1563" t="s">
        <v>386</v>
      </c>
      <c r="K116" s="1564" t="s">
        <v>400</v>
      </c>
      <c r="L116" s="1564" t="s">
        <v>400</v>
      </c>
      <c r="M116" s="1557" t="s">
        <v>412</v>
      </c>
      <c r="N116" s="1557" t="s">
        <v>391</v>
      </c>
      <c r="O116" s="1557" t="s">
        <v>391</v>
      </c>
      <c r="P116" s="1557" t="s">
        <v>391</v>
      </c>
      <c r="Q116" s="1566" t="s">
        <v>391</v>
      </c>
      <c r="R116" s="1582"/>
    </row>
    <row r="117" spans="1:21" ht="14.25">
      <c r="A117" s="1556" t="s">
        <v>1868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389</v>
      </c>
      <c r="H117" s="1554" t="s">
        <v>386</v>
      </c>
      <c r="I117" s="1554" t="s">
        <v>386</v>
      </c>
      <c r="J117" s="1554" t="s">
        <v>386</v>
      </c>
      <c r="K117" s="1558" t="s">
        <v>400</v>
      </c>
      <c r="L117" s="1554" t="s">
        <v>386</v>
      </c>
      <c r="M117" s="1553" t="s">
        <v>412</v>
      </c>
      <c r="N117" s="1553" t="s">
        <v>391</v>
      </c>
      <c r="O117" s="1553" t="s">
        <v>391</v>
      </c>
      <c r="P117" s="1553" t="s">
        <v>391</v>
      </c>
      <c r="Q117" s="1555" t="s">
        <v>391</v>
      </c>
      <c r="R117" s="1582"/>
      <c r="S117" s="1474"/>
      <c r="U117" s="1475"/>
    </row>
    <row r="118" spans="1:21" ht="14.65" thickBot="1">
      <c r="A118" s="1573" t="s">
        <v>1869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389</v>
      </c>
      <c r="H118" s="1578" t="s">
        <v>386</v>
      </c>
      <c r="I118" s="1578" t="s">
        <v>386</v>
      </c>
      <c r="J118" s="1578" t="s">
        <v>386</v>
      </c>
      <c r="K118" s="1578" t="s">
        <v>386</v>
      </c>
      <c r="L118" s="1578" t="s">
        <v>386</v>
      </c>
      <c r="M118" s="1577" t="s">
        <v>412</v>
      </c>
      <c r="N118" s="1577" t="s">
        <v>391</v>
      </c>
      <c r="O118" s="1577" t="s">
        <v>391</v>
      </c>
      <c r="P118" s="1577" t="s">
        <v>391</v>
      </c>
      <c r="Q118" s="1581" t="s">
        <v>391</v>
      </c>
      <c r="R118" s="1582"/>
    </row>
    <row r="119" spans="1:21" ht="14.2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4.2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4.2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8.399999999999999" thickBot="1">
      <c r="A122" s="1656" t="s">
        <v>1830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8.399999999999999" thickBot="1">
      <c r="A123" s="1656"/>
      <c r="B123" s="1602" t="s">
        <v>368</v>
      </c>
      <c r="C123" s="1582"/>
      <c r="D123" s="1586" t="s">
        <v>1831</v>
      </c>
      <c r="E123" s="1588" t="s">
        <v>417</v>
      </c>
      <c r="F123" s="1588" t="s">
        <v>1828</v>
      </c>
      <c r="G123" s="1587" t="s">
        <v>375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4.65" thickBot="1">
      <c r="A124" s="1701" t="s">
        <v>1981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389</v>
      </c>
      <c r="H124" s="1703" t="s">
        <v>420</v>
      </c>
      <c r="I124" s="1600" t="s">
        <v>387</v>
      </c>
      <c r="J124" s="1600" t="s">
        <v>387</v>
      </c>
      <c r="K124" s="1600" t="s">
        <v>391</v>
      </c>
      <c r="L124" s="1600" t="s">
        <v>391</v>
      </c>
      <c r="M124" s="1600">
        <v>2024</v>
      </c>
      <c r="N124" s="1582"/>
      <c r="O124" s="1582"/>
      <c r="P124" s="1582"/>
      <c r="Q124" s="1582"/>
      <c r="R124" s="1582"/>
    </row>
    <row r="125" spans="1:21" ht="14.2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8.399999999999999" thickBot="1">
      <c r="A127" s="1656" t="s">
        <v>436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4.65" thickBot="1">
      <c r="A128" s="1602"/>
      <c r="B128" s="1582"/>
      <c r="C128" s="1582"/>
      <c r="D128" s="1586" t="s">
        <v>370</v>
      </c>
      <c r="E128" s="1603" t="s">
        <v>1833</v>
      </c>
      <c r="F128" s="1588" t="s">
        <v>418</v>
      </c>
      <c r="G128" s="1587" t="s">
        <v>375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4.25">
      <c r="A129" s="1618" t="s">
        <v>1982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389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4.25">
      <c r="A130" s="1618" t="s">
        <v>437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385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4.25">
      <c r="A131" s="1618" t="s">
        <v>1983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389</v>
      </c>
      <c r="H131" s="1666" t="s">
        <v>1984</v>
      </c>
      <c r="I131" s="1666" t="s">
        <v>391</v>
      </c>
      <c r="J131" s="1666" t="s">
        <v>391</v>
      </c>
      <c r="K131" s="1666" t="s">
        <v>391</v>
      </c>
      <c r="L131" s="1666" t="s">
        <v>391</v>
      </c>
      <c r="M131" s="1666">
        <v>2025</v>
      </c>
      <c r="N131" s="1582"/>
      <c r="O131" s="1582"/>
      <c r="P131" s="1582"/>
      <c r="Q131" s="1582"/>
      <c r="R131" s="1582"/>
    </row>
    <row r="132" spans="1:18" ht="14.2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4.2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8.399999999999999" thickBot="1">
      <c r="A134" s="1656" t="s">
        <v>441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4.65" thickBot="1">
      <c r="A135" s="1602"/>
      <c r="B135" s="1582"/>
      <c r="C135" s="1582"/>
      <c r="D135" s="1667" t="s">
        <v>370</v>
      </c>
      <c r="E135" s="1668" t="s">
        <v>427</v>
      </c>
      <c r="F135" s="1669" t="s">
        <v>418</v>
      </c>
      <c r="G135" s="1670" t="s">
        <v>375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4.25">
      <c r="A136" s="1633" t="s">
        <v>444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389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4.25">
      <c r="A137" s="1633" t="s">
        <v>1985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389</v>
      </c>
      <c r="H137" s="1671" t="s">
        <v>1986</v>
      </c>
      <c r="I137" s="1639" t="s">
        <v>387</v>
      </c>
      <c r="J137" s="1639" t="s">
        <v>387</v>
      </c>
      <c r="K137" s="1639" t="s">
        <v>387</v>
      </c>
      <c r="L137" s="1639" t="s">
        <v>1845</v>
      </c>
      <c r="M137" s="1639">
        <v>2024</v>
      </c>
      <c r="N137" s="1582"/>
      <c r="O137" s="1582"/>
      <c r="P137" s="1582"/>
      <c r="Q137" s="1582"/>
      <c r="R137" s="1582"/>
    </row>
    <row r="138" spans="1:18" ht="14.25">
      <c r="A138" s="1633" t="s">
        <v>536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537</v>
      </c>
      <c r="H138" s="1671" t="s">
        <v>1987</v>
      </c>
      <c r="I138" s="1639" t="s">
        <v>387</v>
      </c>
      <c r="J138" s="1639" t="s">
        <v>387</v>
      </c>
      <c r="K138" s="1639" t="s">
        <v>1845</v>
      </c>
      <c r="L138" s="1639" t="s">
        <v>1845</v>
      </c>
      <c r="M138" s="1639">
        <v>2025</v>
      </c>
      <c r="N138" s="1582"/>
      <c r="O138" s="1582"/>
      <c r="P138" s="1582"/>
      <c r="Q138" s="1582"/>
      <c r="R138" s="1582"/>
    </row>
    <row r="139" spans="1:18" ht="14.25">
      <c r="A139" s="1633" t="s">
        <v>1939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389</v>
      </c>
      <c r="H139" s="1671" t="s">
        <v>1664</v>
      </c>
      <c r="I139" s="1639" t="s">
        <v>391</v>
      </c>
      <c r="J139" s="1639" t="s">
        <v>391</v>
      </c>
      <c r="K139" s="1639" t="s">
        <v>1845</v>
      </c>
      <c r="L139" s="1639" t="s">
        <v>391</v>
      </c>
      <c r="M139" s="1674">
        <v>2026</v>
      </c>
      <c r="N139" s="1582"/>
      <c r="O139" s="1582"/>
      <c r="P139" s="1582"/>
      <c r="Q139" s="1582"/>
      <c r="R139" s="1582"/>
    </row>
    <row r="140" spans="1:18" ht="14.25">
      <c r="A140" s="1633" t="s">
        <v>442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389</v>
      </c>
      <c r="H140" s="1682" t="s">
        <v>1988</v>
      </c>
      <c r="I140" s="1638" t="s">
        <v>391</v>
      </c>
      <c r="J140" s="1638" t="s">
        <v>391</v>
      </c>
      <c r="K140" s="1638" t="s">
        <v>1845</v>
      </c>
      <c r="L140" s="1638" t="s">
        <v>391</v>
      </c>
      <c r="M140" s="1637">
        <v>2025</v>
      </c>
      <c r="N140" s="1582"/>
      <c r="O140" s="1582"/>
      <c r="P140" s="1582"/>
      <c r="Q140" s="1582"/>
      <c r="R140" s="1582"/>
    </row>
    <row r="141" spans="1:18" ht="14.65" thickBot="1">
      <c r="A141" s="1675" t="s">
        <v>446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389</v>
      </c>
      <c r="H141" s="1683" t="s">
        <v>432</v>
      </c>
      <c r="I141" s="1680" t="s">
        <v>387</v>
      </c>
      <c r="J141" s="1680" t="s">
        <v>387</v>
      </c>
      <c r="K141" s="1680" t="s">
        <v>387</v>
      </c>
      <c r="L141" s="1680" t="s">
        <v>387</v>
      </c>
      <c r="M141" s="1679">
        <v>2025</v>
      </c>
      <c r="N141" s="1582"/>
      <c r="O141" s="1582"/>
      <c r="P141" s="1582"/>
      <c r="Q141" s="1582"/>
      <c r="R141" s="1582"/>
    </row>
    <row r="142" spans="1:18" ht="14.2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4.25">
      <c r="A143" s="1596" t="s">
        <v>416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/>
    <row r="145" spans="1:3"/>
    <row r="146" spans="1:3" ht="14.25">
      <c r="A146" s="1474" t="s">
        <v>416</v>
      </c>
    </row>
    <row r="147" spans="1:3" ht="14.25">
      <c r="A147" s="1474"/>
    </row>
    <row r="148" spans="1:3" ht="14.25">
      <c r="B148" s="1482"/>
    </row>
    <row r="149" spans="1:3" ht="14.25">
      <c r="A149" s="1474" t="s">
        <v>449</v>
      </c>
      <c r="B149" s="1485">
        <f>D120+D125+D132+D143</f>
        <v>1730255000</v>
      </c>
    </row>
    <row r="150" spans="1:3" ht="14.25">
      <c r="A150" s="1474" t="s">
        <v>450</v>
      </c>
      <c r="B150" s="1485">
        <f>E120+E125+E132+E143</f>
        <v>1111500000</v>
      </c>
    </row>
    <row r="151" spans="1:3" ht="14.25">
      <c r="A151" s="1474" t="s">
        <v>451</v>
      </c>
      <c r="B151" s="1485">
        <f>F120+F125+F132+F143</f>
        <v>528759000</v>
      </c>
    </row>
    <row r="152" spans="1:3" ht="14.25">
      <c r="A152" s="1483" t="s">
        <v>452</v>
      </c>
      <c r="B152" s="1486">
        <f>F120</f>
        <v>19155000</v>
      </c>
    </row>
    <row r="153" spans="1:3" ht="14.25">
      <c r="A153" s="1483" t="s">
        <v>453</v>
      </c>
      <c r="C153" s="1484">
        <f>F125</f>
        <v>0</v>
      </c>
    </row>
    <row r="154" spans="1:3" ht="14.25">
      <c r="A154" s="1483" t="s">
        <v>454</v>
      </c>
      <c r="C154" s="1484">
        <f>F132</f>
        <v>49500000</v>
      </c>
    </row>
    <row r="155" spans="1:3" ht="14.25">
      <c r="A155" s="1483" t="s">
        <v>455</v>
      </c>
      <c r="C155" s="1484">
        <f>F143</f>
        <v>460104000</v>
      </c>
    </row>
    <row r="156" spans="1:3" ht="14.25">
      <c r="A156" s="1483"/>
      <c r="C156" s="1484"/>
    </row>
    <row r="157" spans="1:3"/>
    <row r="158" spans="1:3" ht="18">
      <c r="A158" s="1487" t="s">
        <v>1870</v>
      </c>
      <c r="B158" s="1684">
        <v>120000000</v>
      </c>
      <c r="C158" s="1488" t="s">
        <v>1871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workbookViewId="0"/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5" customWidth="1"/>
    <col min="7" max="7" width="13" style="1722" customWidth="1"/>
    <col min="8" max="8" width="14.265625" style="1726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20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2126</v>
      </c>
      <c r="B2" s="1720"/>
      <c r="G2" s="1721" t="s">
        <v>1998</v>
      </c>
      <c r="H2" s="1721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20"/>
      <c r="D3" s="1720"/>
      <c r="E3" s="1720"/>
      <c r="F3" s="1724"/>
    </row>
    <row r="4" spans="1:60">
      <c r="A4" s="2" t="s">
        <v>1996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>
      <c r="A6" s="2" t="s">
        <v>2125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>
      <c r="C7" s="1720"/>
      <c r="D7" s="1720"/>
      <c r="E7" s="1720"/>
      <c r="F7" s="1724"/>
    </row>
    <row r="8" spans="1:60">
      <c r="A8" s="1764" t="s">
        <v>459</v>
      </c>
      <c r="B8" s="2">
        <f>SUM(B9:B14)</f>
        <v>14350000</v>
      </c>
      <c r="C8" s="1720"/>
      <c r="E8" s="1720"/>
      <c r="F8" s="1724"/>
    </row>
    <row r="9" spans="1:60">
      <c r="A9" s="1725" t="s">
        <v>460</v>
      </c>
      <c r="C9" s="3">
        <f>'zásobník projektů 2023-2027'!B80</f>
        <v>0</v>
      </c>
      <c r="D9" s="1720"/>
      <c r="E9" s="1720"/>
      <c r="F9" s="1724"/>
    </row>
    <row r="10" spans="1:60">
      <c r="A10" s="1725" t="s">
        <v>1849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>
      <c r="A11" s="1725" t="s">
        <v>1850</v>
      </c>
      <c r="D11" s="1720"/>
      <c r="E11" s="1720">
        <f>+E10*6000</f>
        <v>114000000</v>
      </c>
      <c r="F11" s="1724">
        <f>+F10*5000</f>
        <v>190000000</v>
      </c>
    </row>
    <row r="12" spans="1:60">
      <c r="A12" s="1725" t="s">
        <v>2100</v>
      </c>
      <c r="B12" s="3">
        <f>13050000-4000000</f>
        <v>9050000</v>
      </c>
      <c r="C12" s="1720"/>
      <c r="D12" s="1720"/>
      <c r="E12" s="1720"/>
      <c r="F12" s="1724"/>
    </row>
    <row r="13" spans="1:60">
      <c r="A13" s="1725" t="s">
        <v>2103</v>
      </c>
      <c r="C13" s="1720"/>
      <c r="D13" s="1720"/>
      <c r="E13" s="1720"/>
      <c r="F13" s="1724"/>
    </row>
    <row r="14" spans="1:60">
      <c r="A14" s="1725" t="s">
        <v>2102</v>
      </c>
      <c r="B14" s="3">
        <v>5300000</v>
      </c>
      <c r="C14" s="1720" t="s">
        <v>2104</v>
      </c>
      <c r="D14" s="1720"/>
      <c r="E14" s="1720"/>
      <c r="F14" s="1724"/>
    </row>
    <row r="15" spans="1:60">
      <c r="C15" s="1720"/>
      <c r="D15" s="1720"/>
      <c r="E15" s="1720"/>
      <c r="F15" s="1724"/>
    </row>
    <row r="16" spans="1:60">
      <c r="A16" s="1762" t="s">
        <v>780</v>
      </c>
      <c r="B16" s="1763"/>
      <c r="C16" s="1720"/>
      <c r="D16" s="1720"/>
      <c r="E16" s="1720"/>
      <c r="F16" s="1724"/>
    </row>
    <row r="17" spans="1:60">
      <c r="A17" s="1762" t="s">
        <v>1997</v>
      </c>
      <c r="B17" s="1762"/>
      <c r="C17" s="1720" t="s">
        <v>2101</v>
      </c>
      <c r="D17" s="1720"/>
      <c r="E17" s="1720"/>
      <c r="F17" s="1724"/>
    </row>
    <row r="18" spans="1:60">
      <c r="A18" s="2"/>
      <c r="C18" s="1720"/>
      <c r="D18" s="1720"/>
      <c r="E18" s="1720"/>
      <c r="F18" s="1724"/>
    </row>
    <row r="19" spans="1:60">
      <c r="A19" s="2"/>
      <c r="B19" s="1720" t="s">
        <v>1993</v>
      </c>
      <c r="C19" s="1720" t="s">
        <v>4</v>
      </c>
      <c r="D19" s="1720" t="s">
        <v>1994</v>
      </c>
      <c r="E19" s="1720" t="s">
        <v>1995</v>
      </c>
      <c r="F19" s="3"/>
      <c r="G19" s="1726" t="s">
        <v>1998</v>
      </c>
      <c r="H19" s="1721" t="s">
        <v>237</v>
      </c>
    </row>
    <row r="20" spans="1:60">
      <c r="A20" s="2" t="s">
        <v>1999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>
      <c r="A21" s="1724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25" t="s">
        <v>1959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>
      <c r="A23" s="1725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2078</v>
      </c>
      <c r="V23" s="2">
        <f>+B23</f>
        <v>795000</v>
      </c>
    </row>
    <row r="24" spans="1:60">
      <c r="A24" s="1725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2078</v>
      </c>
      <c r="V24" s="2">
        <f>+B24</f>
        <v>503500</v>
      </c>
    </row>
    <row r="25" spans="1:60">
      <c r="A25" s="1725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2078</v>
      </c>
      <c r="V25" s="2">
        <f>+B25</f>
        <v>911600</v>
      </c>
    </row>
    <row r="26" spans="1:60">
      <c r="A26" s="1725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2078</v>
      </c>
      <c r="V26" s="2">
        <f>+B26</f>
        <v>500000</v>
      </c>
    </row>
    <row r="27" spans="1:60">
      <c r="A27" s="1725" t="s">
        <v>1960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2078</v>
      </c>
      <c r="V27" s="2">
        <f>+B27</f>
        <v>80000000</v>
      </c>
    </row>
    <row r="28" spans="1:60">
      <c r="A28" s="1725" t="s">
        <v>1961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2078</v>
      </c>
      <c r="I28" s="2">
        <f>+B28</f>
        <v>4500000</v>
      </c>
    </row>
    <row r="29" spans="1:60">
      <c r="A29" s="1725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2078</v>
      </c>
      <c r="I29" s="2">
        <f>+B29</f>
        <v>0</v>
      </c>
    </row>
    <row r="30" spans="1:60">
      <c r="A30" s="1725" t="s">
        <v>1962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2078</v>
      </c>
      <c r="I30" s="2">
        <f>+B30</f>
        <v>88174700</v>
      </c>
    </row>
    <row r="31" spans="1:60">
      <c r="A31" s="1725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2078</v>
      </c>
      <c r="V31" s="2">
        <f>+B31</f>
        <v>0</v>
      </c>
    </row>
    <row r="32" spans="1:60">
      <c r="A32" s="1725"/>
      <c r="E32" s="1725"/>
      <c r="F32" s="3"/>
    </row>
    <row r="33" spans="1:22">
      <c r="A33" s="1724" t="s">
        <v>1992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>
      <c r="A34" s="1725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2078</v>
      </c>
      <c r="I34" s="2">
        <f>+B34</f>
        <v>3900000</v>
      </c>
    </row>
    <row r="35" spans="1:22">
      <c r="A35" s="1725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2078</v>
      </c>
      <c r="V35" s="2">
        <f>+B35</f>
        <v>1000000</v>
      </c>
    </row>
    <row r="36" spans="1:22">
      <c r="A36" s="1725" t="s">
        <v>1964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2078</v>
      </c>
      <c r="V36" s="2">
        <f>+B36</f>
        <v>1500000</v>
      </c>
    </row>
    <row r="37" spans="1:22">
      <c r="A37" s="1725" t="s">
        <v>1966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2078</v>
      </c>
      <c r="I37" s="2">
        <f>+B37</f>
        <v>1600000</v>
      </c>
    </row>
    <row r="38" spans="1:22">
      <c r="A38" s="1725" t="s">
        <v>1967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2078</v>
      </c>
      <c r="V38" s="2">
        <f>+B38</f>
        <v>0</v>
      </c>
    </row>
    <row r="39" spans="1:22">
      <c r="A39" s="1725" t="s">
        <v>1968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2078</v>
      </c>
      <c r="V39" s="2">
        <f>+B39</f>
        <v>16026169</v>
      </c>
    </row>
    <row r="40" spans="1:22">
      <c r="A40" s="1725"/>
      <c r="E40" s="1725"/>
      <c r="F40" s="3"/>
    </row>
    <row r="41" spans="1:22">
      <c r="A41" s="1724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>
      <c r="A42" s="1725" t="s">
        <v>1969</v>
      </c>
      <c r="D42" s="3">
        <f t="shared" ref="D42:D49" si="7">+B42-C42</f>
        <v>0</v>
      </c>
      <c r="E42" s="1725"/>
      <c r="F42" s="3"/>
      <c r="G42" s="1723"/>
      <c r="H42" s="1727" t="s">
        <v>2078</v>
      </c>
      <c r="I42" s="2">
        <f t="shared" ref="I42:I47" si="8">+B42</f>
        <v>0</v>
      </c>
    </row>
    <row r="43" spans="1:22">
      <c r="A43" s="1725" t="s">
        <v>1834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2077</v>
      </c>
      <c r="I43" s="2">
        <f t="shared" si="8"/>
        <v>111000000</v>
      </c>
    </row>
    <row r="44" spans="1:22">
      <c r="A44" s="1725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2078</v>
      </c>
      <c r="I44" s="2">
        <f t="shared" si="8"/>
        <v>2000000</v>
      </c>
    </row>
    <row r="45" spans="1:22">
      <c r="A45" s="1725" t="s">
        <v>1840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2078</v>
      </c>
      <c r="I45" s="2">
        <f t="shared" si="8"/>
        <v>7000000</v>
      </c>
    </row>
    <row r="46" spans="1:22">
      <c r="A46" s="1725" t="s">
        <v>1842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2078</v>
      </c>
      <c r="I46" s="2">
        <f t="shared" si="8"/>
        <v>3000000</v>
      </c>
    </row>
    <row r="47" spans="1:22">
      <c r="A47" s="1725" t="s">
        <v>1971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2078</v>
      </c>
      <c r="I47" s="2">
        <f t="shared" si="8"/>
        <v>3000000</v>
      </c>
    </row>
    <row r="48" spans="1:22">
      <c r="A48" s="1725" t="s">
        <v>1678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2076</v>
      </c>
      <c r="V48" s="2">
        <f>+B48</f>
        <v>110000000</v>
      </c>
    </row>
    <row r="49" spans="1:22">
      <c r="A49" s="1725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2078</v>
      </c>
      <c r="I49" s="2">
        <f>+B49</f>
        <v>132500000</v>
      </c>
    </row>
    <row r="50" spans="1:22">
      <c r="A50" s="1725"/>
      <c r="E50" s="1725"/>
      <c r="F50" s="3"/>
    </row>
    <row r="51" spans="1:22">
      <c r="A51" s="1724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>
      <c r="A52" s="1725" t="s">
        <v>1843</v>
      </c>
      <c r="E52" s="1725"/>
      <c r="F52" s="3"/>
      <c r="G52" s="1723"/>
      <c r="H52" s="1727" t="s">
        <v>2078</v>
      </c>
    </row>
    <row r="53" spans="1:22">
      <c r="A53" s="1725" t="s">
        <v>1846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2078</v>
      </c>
    </row>
    <row r="54" spans="1:22">
      <c r="A54" s="1725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2078</v>
      </c>
    </row>
    <row r="55" spans="1:22">
      <c r="A55" s="1725" t="s">
        <v>1973</v>
      </c>
      <c r="E55" s="1725"/>
      <c r="F55" s="3"/>
      <c r="G55" s="1723"/>
      <c r="H55" s="1727" t="s">
        <v>2078</v>
      </c>
      <c r="V55" s="2">
        <f>+B55</f>
        <v>0</v>
      </c>
    </row>
    <row r="56" spans="1:22">
      <c r="A56" s="1725" t="s">
        <v>1975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2078</v>
      </c>
      <c r="V56" s="2">
        <f>+B56</f>
        <v>0</v>
      </c>
    </row>
    <row r="57" spans="1:22">
      <c r="A57" s="1725" t="s">
        <v>1976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2078</v>
      </c>
    </row>
    <row r="58" spans="1:22">
      <c r="A58" s="1725" t="s">
        <v>1254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>
      <c r="E59" s="1725"/>
    </row>
    <row r="60" spans="1:22">
      <c r="E60" s="1725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workbookViewId="0"/>
  </sheetViews>
  <sheetFormatPr defaultColWidth="8.86328125" defaultRowHeight="12.75"/>
  <cols>
    <col min="1" max="1" width="58.73046875" style="1465" customWidth="1"/>
    <col min="2" max="2" width="23" style="1465" customWidth="1"/>
    <col min="3" max="3" width="17.265625" style="1465" customWidth="1"/>
    <col min="4" max="4" width="29.86328125" style="1465" customWidth="1"/>
    <col min="5" max="5" width="29" style="1465" customWidth="1"/>
    <col min="6" max="6" width="27.73046875" style="1465" customWidth="1"/>
    <col min="7" max="7" width="22.265625" style="1465" customWidth="1"/>
    <col min="8" max="8" width="28.265625" style="1465" customWidth="1"/>
    <col min="9" max="9" width="23.265625" style="1465" customWidth="1"/>
    <col min="10" max="10" width="25" style="1465" customWidth="1"/>
    <col min="11" max="11" width="16.73046875" style="1465" customWidth="1"/>
    <col min="12" max="12" width="13.265625" style="1465" customWidth="1"/>
    <col min="13" max="13" width="9.863281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58.73046875" style="1465" customWidth="1"/>
    <col min="258" max="258" width="23" style="1465" customWidth="1"/>
    <col min="259" max="259" width="17.265625" style="1465" customWidth="1"/>
    <col min="260" max="260" width="29.86328125" style="1465" customWidth="1"/>
    <col min="261" max="261" width="29" style="1465" customWidth="1"/>
    <col min="262" max="262" width="27.73046875" style="1465" customWidth="1"/>
    <col min="263" max="263" width="22.265625" style="1465" customWidth="1"/>
    <col min="264" max="264" width="28.265625" style="1465" customWidth="1"/>
    <col min="265" max="265" width="23.265625" style="1465" customWidth="1"/>
    <col min="266" max="266" width="25" style="1465" customWidth="1"/>
    <col min="267" max="267" width="16.73046875" style="1465" customWidth="1"/>
    <col min="268" max="268" width="13.265625" style="1465" customWidth="1"/>
    <col min="269" max="269" width="9.863281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58.73046875" style="1465" customWidth="1"/>
    <col min="514" max="514" width="23" style="1465" customWidth="1"/>
    <col min="515" max="515" width="17.265625" style="1465" customWidth="1"/>
    <col min="516" max="516" width="29.86328125" style="1465" customWidth="1"/>
    <col min="517" max="517" width="29" style="1465" customWidth="1"/>
    <col min="518" max="518" width="27.73046875" style="1465" customWidth="1"/>
    <col min="519" max="519" width="22.265625" style="1465" customWidth="1"/>
    <col min="520" max="520" width="28.265625" style="1465" customWidth="1"/>
    <col min="521" max="521" width="23.265625" style="1465" customWidth="1"/>
    <col min="522" max="522" width="25" style="1465" customWidth="1"/>
    <col min="523" max="523" width="16.73046875" style="1465" customWidth="1"/>
    <col min="524" max="524" width="13.265625" style="1465" customWidth="1"/>
    <col min="525" max="525" width="9.863281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58.73046875" style="1465" customWidth="1"/>
    <col min="770" max="770" width="23" style="1465" customWidth="1"/>
    <col min="771" max="771" width="17.265625" style="1465" customWidth="1"/>
    <col min="772" max="772" width="29.86328125" style="1465" customWidth="1"/>
    <col min="773" max="773" width="29" style="1465" customWidth="1"/>
    <col min="774" max="774" width="27.73046875" style="1465" customWidth="1"/>
    <col min="775" max="775" width="22.265625" style="1465" customWidth="1"/>
    <col min="776" max="776" width="28.265625" style="1465" customWidth="1"/>
    <col min="777" max="777" width="23.265625" style="1465" customWidth="1"/>
    <col min="778" max="778" width="25" style="1465" customWidth="1"/>
    <col min="779" max="779" width="16.73046875" style="1465" customWidth="1"/>
    <col min="780" max="780" width="13.265625" style="1465" customWidth="1"/>
    <col min="781" max="781" width="9.863281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58.73046875" style="1465" customWidth="1"/>
    <col min="1026" max="1026" width="23" style="1465" customWidth="1"/>
    <col min="1027" max="1027" width="17.265625" style="1465" customWidth="1"/>
    <col min="1028" max="1028" width="29.86328125" style="1465" customWidth="1"/>
    <col min="1029" max="1029" width="29" style="1465" customWidth="1"/>
    <col min="1030" max="1030" width="27.73046875" style="1465" customWidth="1"/>
    <col min="1031" max="1031" width="22.265625" style="1465" customWidth="1"/>
    <col min="1032" max="1032" width="28.265625" style="1465" customWidth="1"/>
    <col min="1033" max="1033" width="23.265625" style="1465" customWidth="1"/>
    <col min="1034" max="1034" width="25" style="1465" customWidth="1"/>
    <col min="1035" max="1035" width="16.73046875" style="1465" customWidth="1"/>
    <col min="1036" max="1036" width="13.265625" style="1465" customWidth="1"/>
    <col min="1037" max="1037" width="9.863281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58.73046875" style="1465" customWidth="1"/>
    <col min="1282" max="1282" width="23" style="1465" customWidth="1"/>
    <col min="1283" max="1283" width="17.265625" style="1465" customWidth="1"/>
    <col min="1284" max="1284" width="29.86328125" style="1465" customWidth="1"/>
    <col min="1285" max="1285" width="29" style="1465" customWidth="1"/>
    <col min="1286" max="1286" width="27.73046875" style="1465" customWidth="1"/>
    <col min="1287" max="1287" width="22.265625" style="1465" customWidth="1"/>
    <col min="1288" max="1288" width="28.265625" style="1465" customWidth="1"/>
    <col min="1289" max="1289" width="23.265625" style="1465" customWidth="1"/>
    <col min="1290" max="1290" width="25" style="1465" customWidth="1"/>
    <col min="1291" max="1291" width="16.73046875" style="1465" customWidth="1"/>
    <col min="1292" max="1292" width="13.265625" style="1465" customWidth="1"/>
    <col min="1293" max="1293" width="9.863281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58.73046875" style="1465" customWidth="1"/>
    <col min="1538" max="1538" width="23" style="1465" customWidth="1"/>
    <col min="1539" max="1539" width="17.265625" style="1465" customWidth="1"/>
    <col min="1540" max="1540" width="29.86328125" style="1465" customWidth="1"/>
    <col min="1541" max="1541" width="29" style="1465" customWidth="1"/>
    <col min="1542" max="1542" width="27.73046875" style="1465" customWidth="1"/>
    <col min="1543" max="1543" width="22.265625" style="1465" customWidth="1"/>
    <col min="1544" max="1544" width="28.265625" style="1465" customWidth="1"/>
    <col min="1545" max="1545" width="23.265625" style="1465" customWidth="1"/>
    <col min="1546" max="1546" width="25" style="1465" customWidth="1"/>
    <col min="1547" max="1547" width="16.73046875" style="1465" customWidth="1"/>
    <col min="1548" max="1548" width="13.265625" style="1465" customWidth="1"/>
    <col min="1549" max="1549" width="9.863281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58.73046875" style="1465" customWidth="1"/>
    <col min="1794" max="1794" width="23" style="1465" customWidth="1"/>
    <col min="1795" max="1795" width="17.265625" style="1465" customWidth="1"/>
    <col min="1796" max="1796" width="29.86328125" style="1465" customWidth="1"/>
    <col min="1797" max="1797" width="29" style="1465" customWidth="1"/>
    <col min="1798" max="1798" width="27.73046875" style="1465" customWidth="1"/>
    <col min="1799" max="1799" width="22.265625" style="1465" customWidth="1"/>
    <col min="1800" max="1800" width="28.265625" style="1465" customWidth="1"/>
    <col min="1801" max="1801" width="23.265625" style="1465" customWidth="1"/>
    <col min="1802" max="1802" width="25" style="1465" customWidth="1"/>
    <col min="1803" max="1803" width="16.73046875" style="1465" customWidth="1"/>
    <col min="1804" max="1804" width="13.265625" style="1465" customWidth="1"/>
    <col min="1805" max="1805" width="9.863281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58.73046875" style="1465" customWidth="1"/>
    <col min="2050" max="2050" width="23" style="1465" customWidth="1"/>
    <col min="2051" max="2051" width="17.265625" style="1465" customWidth="1"/>
    <col min="2052" max="2052" width="29.86328125" style="1465" customWidth="1"/>
    <col min="2053" max="2053" width="29" style="1465" customWidth="1"/>
    <col min="2054" max="2054" width="27.73046875" style="1465" customWidth="1"/>
    <col min="2055" max="2055" width="22.265625" style="1465" customWidth="1"/>
    <col min="2056" max="2056" width="28.265625" style="1465" customWidth="1"/>
    <col min="2057" max="2057" width="23.265625" style="1465" customWidth="1"/>
    <col min="2058" max="2058" width="25" style="1465" customWidth="1"/>
    <col min="2059" max="2059" width="16.73046875" style="1465" customWidth="1"/>
    <col min="2060" max="2060" width="13.265625" style="1465" customWidth="1"/>
    <col min="2061" max="2061" width="9.863281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58.73046875" style="1465" customWidth="1"/>
    <col min="2306" max="2306" width="23" style="1465" customWidth="1"/>
    <col min="2307" max="2307" width="17.265625" style="1465" customWidth="1"/>
    <col min="2308" max="2308" width="29.86328125" style="1465" customWidth="1"/>
    <col min="2309" max="2309" width="29" style="1465" customWidth="1"/>
    <col min="2310" max="2310" width="27.73046875" style="1465" customWidth="1"/>
    <col min="2311" max="2311" width="22.265625" style="1465" customWidth="1"/>
    <col min="2312" max="2312" width="28.265625" style="1465" customWidth="1"/>
    <col min="2313" max="2313" width="23.265625" style="1465" customWidth="1"/>
    <col min="2314" max="2314" width="25" style="1465" customWidth="1"/>
    <col min="2315" max="2315" width="16.73046875" style="1465" customWidth="1"/>
    <col min="2316" max="2316" width="13.265625" style="1465" customWidth="1"/>
    <col min="2317" max="2317" width="9.863281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58.73046875" style="1465" customWidth="1"/>
    <col min="2562" max="2562" width="23" style="1465" customWidth="1"/>
    <col min="2563" max="2563" width="17.265625" style="1465" customWidth="1"/>
    <col min="2564" max="2564" width="29.86328125" style="1465" customWidth="1"/>
    <col min="2565" max="2565" width="29" style="1465" customWidth="1"/>
    <col min="2566" max="2566" width="27.73046875" style="1465" customWidth="1"/>
    <col min="2567" max="2567" width="22.265625" style="1465" customWidth="1"/>
    <col min="2568" max="2568" width="28.265625" style="1465" customWidth="1"/>
    <col min="2569" max="2569" width="23.265625" style="1465" customWidth="1"/>
    <col min="2570" max="2570" width="25" style="1465" customWidth="1"/>
    <col min="2571" max="2571" width="16.73046875" style="1465" customWidth="1"/>
    <col min="2572" max="2572" width="13.265625" style="1465" customWidth="1"/>
    <col min="2573" max="2573" width="9.863281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58.73046875" style="1465" customWidth="1"/>
    <col min="2818" max="2818" width="23" style="1465" customWidth="1"/>
    <col min="2819" max="2819" width="17.265625" style="1465" customWidth="1"/>
    <col min="2820" max="2820" width="29.86328125" style="1465" customWidth="1"/>
    <col min="2821" max="2821" width="29" style="1465" customWidth="1"/>
    <col min="2822" max="2822" width="27.73046875" style="1465" customWidth="1"/>
    <col min="2823" max="2823" width="22.265625" style="1465" customWidth="1"/>
    <col min="2824" max="2824" width="28.265625" style="1465" customWidth="1"/>
    <col min="2825" max="2825" width="23.265625" style="1465" customWidth="1"/>
    <col min="2826" max="2826" width="25" style="1465" customWidth="1"/>
    <col min="2827" max="2827" width="16.73046875" style="1465" customWidth="1"/>
    <col min="2828" max="2828" width="13.265625" style="1465" customWidth="1"/>
    <col min="2829" max="2829" width="9.863281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58.73046875" style="1465" customWidth="1"/>
    <col min="3074" max="3074" width="23" style="1465" customWidth="1"/>
    <col min="3075" max="3075" width="17.265625" style="1465" customWidth="1"/>
    <col min="3076" max="3076" width="29.86328125" style="1465" customWidth="1"/>
    <col min="3077" max="3077" width="29" style="1465" customWidth="1"/>
    <col min="3078" max="3078" width="27.73046875" style="1465" customWidth="1"/>
    <col min="3079" max="3079" width="22.265625" style="1465" customWidth="1"/>
    <col min="3080" max="3080" width="28.265625" style="1465" customWidth="1"/>
    <col min="3081" max="3081" width="23.265625" style="1465" customWidth="1"/>
    <col min="3082" max="3082" width="25" style="1465" customWidth="1"/>
    <col min="3083" max="3083" width="16.73046875" style="1465" customWidth="1"/>
    <col min="3084" max="3084" width="13.265625" style="1465" customWidth="1"/>
    <col min="3085" max="3085" width="9.863281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58.73046875" style="1465" customWidth="1"/>
    <col min="3330" max="3330" width="23" style="1465" customWidth="1"/>
    <col min="3331" max="3331" width="17.265625" style="1465" customWidth="1"/>
    <col min="3332" max="3332" width="29.86328125" style="1465" customWidth="1"/>
    <col min="3333" max="3333" width="29" style="1465" customWidth="1"/>
    <col min="3334" max="3334" width="27.73046875" style="1465" customWidth="1"/>
    <col min="3335" max="3335" width="22.265625" style="1465" customWidth="1"/>
    <col min="3336" max="3336" width="28.265625" style="1465" customWidth="1"/>
    <col min="3337" max="3337" width="23.265625" style="1465" customWidth="1"/>
    <col min="3338" max="3338" width="25" style="1465" customWidth="1"/>
    <col min="3339" max="3339" width="16.73046875" style="1465" customWidth="1"/>
    <col min="3340" max="3340" width="13.265625" style="1465" customWidth="1"/>
    <col min="3341" max="3341" width="9.863281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58.73046875" style="1465" customWidth="1"/>
    <col min="3586" max="3586" width="23" style="1465" customWidth="1"/>
    <col min="3587" max="3587" width="17.265625" style="1465" customWidth="1"/>
    <col min="3588" max="3588" width="29.86328125" style="1465" customWidth="1"/>
    <col min="3589" max="3589" width="29" style="1465" customWidth="1"/>
    <col min="3590" max="3590" width="27.73046875" style="1465" customWidth="1"/>
    <col min="3591" max="3591" width="22.265625" style="1465" customWidth="1"/>
    <col min="3592" max="3592" width="28.265625" style="1465" customWidth="1"/>
    <col min="3593" max="3593" width="23.265625" style="1465" customWidth="1"/>
    <col min="3594" max="3594" width="25" style="1465" customWidth="1"/>
    <col min="3595" max="3595" width="16.73046875" style="1465" customWidth="1"/>
    <col min="3596" max="3596" width="13.265625" style="1465" customWidth="1"/>
    <col min="3597" max="3597" width="9.863281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58.73046875" style="1465" customWidth="1"/>
    <col min="3842" max="3842" width="23" style="1465" customWidth="1"/>
    <col min="3843" max="3843" width="17.265625" style="1465" customWidth="1"/>
    <col min="3844" max="3844" width="29.86328125" style="1465" customWidth="1"/>
    <col min="3845" max="3845" width="29" style="1465" customWidth="1"/>
    <col min="3846" max="3846" width="27.73046875" style="1465" customWidth="1"/>
    <col min="3847" max="3847" width="22.265625" style="1465" customWidth="1"/>
    <col min="3848" max="3848" width="28.265625" style="1465" customWidth="1"/>
    <col min="3849" max="3849" width="23.265625" style="1465" customWidth="1"/>
    <col min="3850" max="3850" width="25" style="1465" customWidth="1"/>
    <col min="3851" max="3851" width="16.73046875" style="1465" customWidth="1"/>
    <col min="3852" max="3852" width="13.265625" style="1465" customWidth="1"/>
    <col min="3853" max="3853" width="9.863281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58.73046875" style="1465" customWidth="1"/>
    <col min="4098" max="4098" width="23" style="1465" customWidth="1"/>
    <col min="4099" max="4099" width="17.265625" style="1465" customWidth="1"/>
    <col min="4100" max="4100" width="29.86328125" style="1465" customWidth="1"/>
    <col min="4101" max="4101" width="29" style="1465" customWidth="1"/>
    <col min="4102" max="4102" width="27.73046875" style="1465" customWidth="1"/>
    <col min="4103" max="4103" width="22.265625" style="1465" customWidth="1"/>
    <col min="4104" max="4104" width="28.265625" style="1465" customWidth="1"/>
    <col min="4105" max="4105" width="23.265625" style="1465" customWidth="1"/>
    <col min="4106" max="4106" width="25" style="1465" customWidth="1"/>
    <col min="4107" max="4107" width="16.73046875" style="1465" customWidth="1"/>
    <col min="4108" max="4108" width="13.265625" style="1465" customWidth="1"/>
    <col min="4109" max="4109" width="9.863281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58.73046875" style="1465" customWidth="1"/>
    <col min="4354" max="4354" width="23" style="1465" customWidth="1"/>
    <col min="4355" max="4355" width="17.265625" style="1465" customWidth="1"/>
    <col min="4356" max="4356" width="29.86328125" style="1465" customWidth="1"/>
    <col min="4357" max="4357" width="29" style="1465" customWidth="1"/>
    <col min="4358" max="4358" width="27.73046875" style="1465" customWidth="1"/>
    <col min="4359" max="4359" width="22.265625" style="1465" customWidth="1"/>
    <col min="4360" max="4360" width="28.265625" style="1465" customWidth="1"/>
    <col min="4361" max="4361" width="23.265625" style="1465" customWidth="1"/>
    <col min="4362" max="4362" width="25" style="1465" customWidth="1"/>
    <col min="4363" max="4363" width="16.73046875" style="1465" customWidth="1"/>
    <col min="4364" max="4364" width="13.265625" style="1465" customWidth="1"/>
    <col min="4365" max="4365" width="9.863281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58.73046875" style="1465" customWidth="1"/>
    <col min="4610" max="4610" width="23" style="1465" customWidth="1"/>
    <col min="4611" max="4611" width="17.265625" style="1465" customWidth="1"/>
    <col min="4612" max="4612" width="29.86328125" style="1465" customWidth="1"/>
    <col min="4613" max="4613" width="29" style="1465" customWidth="1"/>
    <col min="4614" max="4614" width="27.73046875" style="1465" customWidth="1"/>
    <col min="4615" max="4615" width="22.265625" style="1465" customWidth="1"/>
    <col min="4616" max="4616" width="28.265625" style="1465" customWidth="1"/>
    <col min="4617" max="4617" width="23.265625" style="1465" customWidth="1"/>
    <col min="4618" max="4618" width="25" style="1465" customWidth="1"/>
    <col min="4619" max="4619" width="16.73046875" style="1465" customWidth="1"/>
    <col min="4620" max="4620" width="13.265625" style="1465" customWidth="1"/>
    <col min="4621" max="4621" width="9.863281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58.73046875" style="1465" customWidth="1"/>
    <col min="4866" max="4866" width="23" style="1465" customWidth="1"/>
    <col min="4867" max="4867" width="17.265625" style="1465" customWidth="1"/>
    <col min="4868" max="4868" width="29.86328125" style="1465" customWidth="1"/>
    <col min="4869" max="4869" width="29" style="1465" customWidth="1"/>
    <col min="4870" max="4870" width="27.73046875" style="1465" customWidth="1"/>
    <col min="4871" max="4871" width="22.265625" style="1465" customWidth="1"/>
    <col min="4872" max="4872" width="28.265625" style="1465" customWidth="1"/>
    <col min="4873" max="4873" width="23.265625" style="1465" customWidth="1"/>
    <col min="4874" max="4874" width="25" style="1465" customWidth="1"/>
    <col min="4875" max="4875" width="16.73046875" style="1465" customWidth="1"/>
    <col min="4876" max="4876" width="13.265625" style="1465" customWidth="1"/>
    <col min="4877" max="4877" width="9.863281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58.73046875" style="1465" customWidth="1"/>
    <col min="5122" max="5122" width="23" style="1465" customWidth="1"/>
    <col min="5123" max="5123" width="17.265625" style="1465" customWidth="1"/>
    <col min="5124" max="5124" width="29.86328125" style="1465" customWidth="1"/>
    <col min="5125" max="5125" width="29" style="1465" customWidth="1"/>
    <col min="5126" max="5126" width="27.73046875" style="1465" customWidth="1"/>
    <col min="5127" max="5127" width="22.265625" style="1465" customWidth="1"/>
    <col min="5128" max="5128" width="28.265625" style="1465" customWidth="1"/>
    <col min="5129" max="5129" width="23.265625" style="1465" customWidth="1"/>
    <col min="5130" max="5130" width="25" style="1465" customWidth="1"/>
    <col min="5131" max="5131" width="16.73046875" style="1465" customWidth="1"/>
    <col min="5132" max="5132" width="13.265625" style="1465" customWidth="1"/>
    <col min="5133" max="5133" width="9.863281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58.73046875" style="1465" customWidth="1"/>
    <col min="5378" max="5378" width="23" style="1465" customWidth="1"/>
    <col min="5379" max="5379" width="17.265625" style="1465" customWidth="1"/>
    <col min="5380" max="5380" width="29.86328125" style="1465" customWidth="1"/>
    <col min="5381" max="5381" width="29" style="1465" customWidth="1"/>
    <col min="5382" max="5382" width="27.73046875" style="1465" customWidth="1"/>
    <col min="5383" max="5383" width="22.265625" style="1465" customWidth="1"/>
    <col min="5384" max="5384" width="28.265625" style="1465" customWidth="1"/>
    <col min="5385" max="5385" width="23.265625" style="1465" customWidth="1"/>
    <col min="5386" max="5386" width="25" style="1465" customWidth="1"/>
    <col min="5387" max="5387" width="16.73046875" style="1465" customWidth="1"/>
    <col min="5388" max="5388" width="13.265625" style="1465" customWidth="1"/>
    <col min="5389" max="5389" width="9.863281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58.73046875" style="1465" customWidth="1"/>
    <col min="5634" max="5634" width="23" style="1465" customWidth="1"/>
    <col min="5635" max="5635" width="17.265625" style="1465" customWidth="1"/>
    <col min="5636" max="5636" width="29.86328125" style="1465" customWidth="1"/>
    <col min="5637" max="5637" width="29" style="1465" customWidth="1"/>
    <col min="5638" max="5638" width="27.73046875" style="1465" customWidth="1"/>
    <col min="5639" max="5639" width="22.265625" style="1465" customWidth="1"/>
    <col min="5640" max="5640" width="28.265625" style="1465" customWidth="1"/>
    <col min="5641" max="5641" width="23.265625" style="1465" customWidth="1"/>
    <col min="5642" max="5642" width="25" style="1465" customWidth="1"/>
    <col min="5643" max="5643" width="16.73046875" style="1465" customWidth="1"/>
    <col min="5644" max="5644" width="13.265625" style="1465" customWidth="1"/>
    <col min="5645" max="5645" width="9.863281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58.73046875" style="1465" customWidth="1"/>
    <col min="5890" max="5890" width="23" style="1465" customWidth="1"/>
    <col min="5891" max="5891" width="17.265625" style="1465" customWidth="1"/>
    <col min="5892" max="5892" width="29.86328125" style="1465" customWidth="1"/>
    <col min="5893" max="5893" width="29" style="1465" customWidth="1"/>
    <col min="5894" max="5894" width="27.73046875" style="1465" customWidth="1"/>
    <col min="5895" max="5895" width="22.265625" style="1465" customWidth="1"/>
    <col min="5896" max="5896" width="28.265625" style="1465" customWidth="1"/>
    <col min="5897" max="5897" width="23.265625" style="1465" customWidth="1"/>
    <col min="5898" max="5898" width="25" style="1465" customWidth="1"/>
    <col min="5899" max="5899" width="16.73046875" style="1465" customWidth="1"/>
    <col min="5900" max="5900" width="13.265625" style="1465" customWidth="1"/>
    <col min="5901" max="5901" width="9.863281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58.73046875" style="1465" customWidth="1"/>
    <col min="6146" max="6146" width="23" style="1465" customWidth="1"/>
    <col min="6147" max="6147" width="17.265625" style="1465" customWidth="1"/>
    <col min="6148" max="6148" width="29.86328125" style="1465" customWidth="1"/>
    <col min="6149" max="6149" width="29" style="1465" customWidth="1"/>
    <col min="6150" max="6150" width="27.73046875" style="1465" customWidth="1"/>
    <col min="6151" max="6151" width="22.265625" style="1465" customWidth="1"/>
    <col min="6152" max="6152" width="28.265625" style="1465" customWidth="1"/>
    <col min="6153" max="6153" width="23.265625" style="1465" customWidth="1"/>
    <col min="6154" max="6154" width="25" style="1465" customWidth="1"/>
    <col min="6155" max="6155" width="16.73046875" style="1465" customWidth="1"/>
    <col min="6156" max="6156" width="13.265625" style="1465" customWidth="1"/>
    <col min="6157" max="6157" width="9.863281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58.73046875" style="1465" customWidth="1"/>
    <col min="6402" max="6402" width="23" style="1465" customWidth="1"/>
    <col min="6403" max="6403" width="17.265625" style="1465" customWidth="1"/>
    <col min="6404" max="6404" width="29.86328125" style="1465" customWidth="1"/>
    <col min="6405" max="6405" width="29" style="1465" customWidth="1"/>
    <col min="6406" max="6406" width="27.73046875" style="1465" customWidth="1"/>
    <col min="6407" max="6407" width="22.265625" style="1465" customWidth="1"/>
    <col min="6408" max="6408" width="28.265625" style="1465" customWidth="1"/>
    <col min="6409" max="6409" width="23.265625" style="1465" customWidth="1"/>
    <col min="6410" max="6410" width="25" style="1465" customWidth="1"/>
    <col min="6411" max="6411" width="16.73046875" style="1465" customWidth="1"/>
    <col min="6412" max="6412" width="13.265625" style="1465" customWidth="1"/>
    <col min="6413" max="6413" width="9.863281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58.73046875" style="1465" customWidth="1"/>
    <col min="6658" max="6658" width="23" style="1465" customWidth="1"/>
    <col min="6659" max="6659" width="17.265625" style="1465" customWidth="1"/>
    <col min="6660" max="6660" width="29.86328125" style="1465" customWidth="1"/>
    <col min="6661" max="6661" width="29" style="1465" customWidth="1"/>
    <col min="6662" max="6662" width="27.73046875" style="1465" customWidth="1"/>
    <col min="6663" max="6663" width="22.265625" style="1465" customWidth="1"/>
    <col min="6664" max="6664" width="28.265625" style="1465" customWidth="1"/>
    <col min="6665" max="6665" width="23.265625" style="1465" customWidth="1"/>
    <col min="6666" max="6666" width="25" style="1465" customWidth="1"/>
    <col min="6667" max="6667" width="16.73046875" style="1465" customWidth="1"/>
    <col min="6668" max="6668" width="13.265625" style="1465" customWidth="1"/>
    <col min="6669" max="6669" width="9.863281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58.73046875" style="1465" customWidth="1"/>
    <col min="6914" max="6914" width="23" style="1465" customWidth="1"/>
    <col min="6915" max="6915" width="17.265625" style="1465" customWidth="1"/>
    <col min="6916" max="6916" width="29.86328125" style="1465" customWidth="1"/>
    <col min="6917" max="6917" width="29" style="1465" customWidth="1"/>
    <col min="6918" max="6918" width="27.73046875" style="1465" customWidth="1"/>
    <col min="6919" max="6919" width="22.265625" style="1465" customWidth="1"/>
    <col min="6920" max="6920" width="28.265625" style="1465" customWidth="1"/>
    <col min="6921" max="6921" width="23.265625" style="1465" customWidth="1"/>
    <col min="6922" max="6922" width="25" style="1465" customWidth="1"/>
    <col min="6923" max="6923" width="16.73046875" style="1465" customWidth="1"/>
    <col min="6924" max="6924" width="13.265625" style="1465" customWidth="1"/>
    <col min="6925" max="6925" width="9.863281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58.73046875" style="1465" customWidth="1"/>
    <col min="7170" max="7170" width="23" style="1465" customWidth="1"/>
    <col min="7171" max="7171" width="17.265625" style="1465" customWidth="1"/>
    <col min="7172" max="7172" width="29.86328125" style="1465" customWidth="1"/>
    <col min="7173" max="7173" width="29" style="1465" customWidth="1"/>
    <col min="7174" max="7174" width="27.73046875" style="1465" customWidth="1"/>
    <col min="7175" max="7175" width="22.265625" style="1465" customWidth="1"/>
    <col min="7176" max="7176" width="28.265625" style="1465" customWidth="1"/>
    <col min="7177" max="7177" width="23.265625" style="1465" customWidth="1"/>
    <col min="7178" max="7178" width="25" style="1465" customWidth="1"/>
    <col min="7179" max="7179" width="16.73046875" style="1465" customWidth="1"/>
    <col min="7180" max="7180" width="13.265625" style="1465" customWidth="1"/>
    <col min="7181" max="7181" width="9.863281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58.73046875" style="1465" customWidth="1"/>
    <col min="7426" max="7426" width="23" style="1465" customWidth="1"/>
    <col min="7427" max="7427" width="17.265625" style="1465" customWidth="1"/>
    <col min="7428" max="7428" width="29.86328125" style="1465" customWidth="1"/>
    <col min="7429" max="7429" width="29" style="1465" customWidth="1"/>
    <col min="7430" max="7430" width="27.73046875" style="1465" customWidth="1"/>
    <col min="7431" max="7431" width="22.265625" style="1465" customWidth="1"/>
    <col min="7432" max="7432" width="28.265625" style="1465" customWidth="1"/>
    <col min="7433" max="7433" width="23.265625" style="1465" customWidth="1"/>
    <col min="7434" max="7434" width="25" style="1465" customWidth="1"/>
    <col min="7435" max="7435" width="16.73046875" style="1465" customWidth="1"/>
    <col min="7436" max="7436" width="13.265625" style="1465" customWidth="1"/>
    <col min="7437" max="7437" width="9.863281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58.73046875" style="1465" customWidth="1"/>
    <col min="7682" max="7682" width="23" style="1465" customWidth="1"/>
    <col min="7683" max="7683" width="17.265625" style="1465" customWidth="1"/>
    <col min="7684" max="7684" width="29.86328125" style="1465" customWidth="1"/>
    <col min="7685" max="7685" width="29" style="1465" customWidth="1"/>
    <col min="7686" max="7686" width="27.73046875" style="1465" customWidth="1"/>
    <col min="7687" max="7687" width="22.265625" style="1465" customWidth="1"/>
    <col min="7688" max="7688" width="28.265625" style="1465" customWidth="1"/>
    <col min="7689" max="7689" width="23.265625" style="1465" customWidth="1"/>
    <col min="7690" max="7690" width="25" style="1465" customWidth="1"/>
    <col min="7691" max="7691" width="16.73046875" style="1465" customWidth="1"/>
    <col min="7692" max="7692" width="13.265625" style="1465" customWidth="1"/>
    <col min="7693" max="7693" width="9.863281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58.73046875" style="1465" customWidth="1"/>
    <col min="7938" max="7938" width="23" style="1465" customWidth="1"/>
    <col min="7939" max="7939" width="17.265625" style="1465" customWidth="1"/>
    <col min="7940" max="7940" width="29.86328125" style="1465" customWidth="1"/>
    <col min="7941" max="7941" width="29" style="1465" customWidth="1"/>
    <col min="7942" max="7942" width="27.73046875" style="1465" customWidth="1"/>
    <col min="7943" max="7943" width="22.265625" style="1465" customWidth="1"/>
    <col min="7944" max="7944" width="28.265625" style="1465" customWidth="1"/>
    <col min="7945" max="7945" width="23.265625" style="1465" customWidth="1"/>
    <col min="7946" max="7946" width="25" style="1465" customWidth="1"/>
    <col min="7947" max="7947" width="16.73046875" style="1465" customWidth="1"/>
    <col min="7948" max="7948" width="13.265625" style="1465" customWidth="1"/>
    <col min="7949" max="7949" width="9.863281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58.73046875" style="1465" customWidth="1"/>
    <col min="8194" max="8194" width="23" style="1465" customWidth="1"/>
    <col min="8195" max="8195" width="17.265625" style="1465" customWidth="1"/>
    <col min="8196" max="8196" width="29.86328125" style="1465" customWidth="1"/>
    <col min="8197" max="8197" width="29" style="1465" customWidth="1"/>
    <col min="8198" max="8198" width="27.73046875" style="1465" customWidth="1"/>
    <col min="8199" max="8199" width="22.265625" style="1465" customWidth="1"/>
    <col min="8200" max="8200" width="28.265625" style="1465" customWidth="1"/>
    <col min="8201" max="8201" width="23.265625" style="1465" customWidth="1"/>
    <col min="8202" max="8202" width="25" style="1465" customWidth="1"/>
    <col min="8203" max="8203" width="16.73046875" style="1465" customWidth="1"/>
    <col min="8204" max="8204" width="13.265625" style="1465" customWidth="1"/>
    <col min="8205" max="8205" width="9.863281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58.73046875" style="1465" customWidth="1"/>
    <col min="8450" max="8450" width="23" style="1465" customWidth="1"/>
    <col min="8451" max="8451" width="17.265625" style="1465" customWidth="1"/>
    <col min="8452" max="8452" width="29.86328125" style="1465" customWidth="1"/>
    <col min="8453" max="8453" width="29" style="1465" customWidth="1"/>
    <col min="8454" max="8454" width="27.73046875" style="1465" customWidth="1"/>
    <col min="8455" max="8455" width="22.265625" style="1465" customWidth="1"/>
    <col min="8456" max="8456" width="28.265625" style="1465" customWidth="1"/>
    <col min="8457" max="8457" width="23.265625" style="1465" customWidth="1"/>
    <col min="8458" max="8458" width="25" style="1465" customWidth="1"/>
    <col min="8459" max="8459" width="16.73046875" style="1465" customWidth="1"/>
    <col min="8460" max="8460" width="13.265625" style="1465" customWidth="1"/>
    <col min="8461" max="8461" width="9.863281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58.73046875" style="1465" customWidth="1"/>
    <col min="8706" max="8706" width="23" style="1465" customWidth="1"/>
    <col min="8707" max="8707" width="17.265625" style="1465" customWidth="1"/>
    <col min="8708" max="8708" width="29.86328125" style="1465" customWidth="1"/>
    <col min="8709" max="8709" width="29" style="1465" customWidth="1"/>
    <col min="8710" max="8710" width="27.73046875" style="1465" customWidth="1"/>
    <col min="8711" max="8711" width="22.265625" style="1465" customWidth="1"/>
    <col min="8712" max="8712" width="28.265625" style="1465" customWidth="1"/>
    <col min="8713" max="8713" width="23.265625" style="1465" customWidth="1"/>
    <col min="8714" max="8714" width="25" style="1465" customWidth="1"/>
    <col min="8715" max="8715" width="16.73046875" style="1465" customWidth="1"/>
    <col min="8716" max="8716" width="13.265625" style="1465" customWidth="1"/>
    <col min="8717" max="8717" width="9.863281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58.73046875" style="1465" customWidth="1"/>
    <col min="8962" max="8962" width="23" style="1465" customWidth="1"/>
    <col min="8963" max="8963" width="17.265625" style="1465" customWidth="1"/>
    <col min="8964" max="8964" width="29.86328125" style="1465" customWidth="1"/>
    <col min="8965" max="8965" width="29" style="1465" customWidth="1"/>
    <col min="8966" max="8966" width="27.73046875" style="1465" customWidth="1"/>
    <col min="8967" max="8967" width="22.265625" style="1465" customWidth="1"/>
    <col min="8968" max="8968" width="28.265625" style="1465" customWidth="1"/>
    <col min="8969" max="8969" width="23.265625" style="1465" customWidth="1"/>
    <col min="8970" max="8970" width="25" style="1465" customWidth="1"/>
    <col min="8971" max="8971" width="16.73046875" style="1465" customWidth="1"/>
    <col min="8972" max="8972" width="13.265625" style="1465" customWidth="1"/>
    <col min="8973" max="8973" width="9.863281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58.73046875" style="1465" customWidth="1"/>
    <col min="9218" max="9218" width="23" style="1465" customWidth="1"/>
    <col min="9219" max="9219" width="17.265625" style="1465" customWidth="1"/>
    <col min="9220" max="9220" width="29.86328125" style="1465" customWidth="1"/>
    <col min="9221" max="9221" width="29" style="1465" customWidth="1"/>
    <col min="9222" max="9222" width="27.73046875" style="1465" customWidth="1"/>
    <col min="9223" max="9223" width="22.265625" style="1465" customWidth="1"/>
    <col min="9224" max="9224" width="28.265625" style="1465" customWidth="1"/>
    <col min="9225" max="9225" width="23.265625" style="1465" customWidth="1"/>
    <col min="9226" max="9226" width="25" style="1465" customWidth="1"/>
    <col min="9227" max="9227" width="16.73046875" style="1465" customWidth="1"/>
    <col min="9228" max="9228" width="13.265625" style="1465" customWidth="1"/>
    <col min="9229" max="9229" width="9.863281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58.73046875" style="1465" customWidth="1"/>
    <col min="9474" max="9474" width="23" style="1465" customWidth="1"/>
    <col min="9475" max="9475" width="17.265625" style="1465" customWidth="1"/>
    <col min="9476" max="9476" width="29.86328125" style="1465" customWidth="1"/>
    <col min="9477" max="9477" width="29" style="1465" customWidth="1"/>
    <col min="9478" max="9478" width="27.73046875" style="1465" customWidth="1"/>
    <col min="9479" max="9479" width="22.265625" style="1465" customWidth="1"/>
    <col min="9480" max="9480" width="28.265625" style="1465" customWidth="1"/>
    <col min="9481" max="9481" width="23.265625" style="1465" customWidth="1"/>
    <col min="9482" max="9482" width="25" style="1465" customWidth="1"/>
    <col min="9483" max="9483" width="16.73046875" style="1465" customWidth="1"/>
    <col min="9484" max="9484" width="13.265625" style="1465" customWidth="1"/>
    <col min="9485" max="9485" width="9.863281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58.73046875" style="1465" customWidth="1"/>
    <col min="9730" max="9730" width="23" style="1465" customWidth="1"/>
    <col min="9731" max="9731" width="17.265625" style="1465" customWidth="1"/>
    <col min="9732" max="9732" width="29.86328125" style="1465" customWidth="1"/>
    <col min="9733" max="9733" width="29" style="1465" customWidth="1"/>
    <col min="9734" max="9734" width="27.73046875" style="1465" customWidth="1"/>
    <col min="9735" max="9735" width="22.265625" style="1465" customWidth="1"/>
    <col min="9736" max="9736" width="28.265625" style="1465" customWidth="1"/>
    <col min="9737" max="9737" width="23.265625" style="1465" customWidth="1"/>
    <col min="9738" max="9738" width="25" style="1465" customWidth="1"/>
    <col min="9739" max="9739" width="16.73046875" style="1465" customWidth="1"/>
    <col min="9740" max="9740" width="13.265625" style="1465" customWidth="1"/>
    <col min="9741" max="9741" width="9.863281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58.73046875" style="1465" customWidth="1"/>
    <col min="9986" max="9986" width="23" style="1465" customWidth="1"/>
    <col min="9987" max="9987" width="17.265625" style="1465" customWidth="1"/>
    <col min="9988" max="9988" width="29.86328125" style="1465" customWidth="1"/>
    <col min="9989" max="9989" width="29" style="1465" customWidth="1"/>
    <col min="9990" max="9990" width="27.73046875" style="1465" customWidth="1"/>
    <col min="9991" max="9991" width="22.265625" style="1465" customWidth="1"/>
    <col min="9992" max="9992" width="28.265625" style="1465" customWidth="1"/>
    <col min="9993" max="9993" width="23.265625" style="1465" customWidth="1"/>
    <col min="9994" max="9994" width="25" style="1465" customWidth="1"/>
    <col min="9995" max="9995" width="16.73046875" style="1465" customWidth="1"/>
    <col min="9996" max="9996" width="13.265625" style="1465" customWidth="1"/>
    <col min="9997" max="9997" width="9.863281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58.73046875" style="1465" customWidth="1"/>
    <col min="10242" max="10242" width="23" style="1465" customWidth="1"/>
    <col min="10243" max="10243" width="17.265625" style="1465" customWidth="1"/>
    <col min="10244" max="10244" width="29.86328125" style="1465" customWidth="1"/>
    <col min="10245" max="10245" width="29" style="1465" customWidth="1"/>
    <col min="10246" max="10246" width="27.73046875" style="1465" customWidth="1"/>
    <col min="10247" max="10247" width="22.265625" style="1465" customWidth="1"/>
    <col min="10248" max="10248" width="28.265625" style="1465" customWidth="1"/>
    <col min="10249" max="10249" width="23.265625" style="1465" customWidth="1"/>
    <col min="10250" max="10250" width="25" style="1465" customWidth="1"/>
    <col min="10251" max="10251" width="16.73046875" style="1465" customWidth="1"/>
    <col min="10252" max="10252" width="13.265625" style="1465" customWidth="1"/>
    <col min="10253" max="10253" width="9.863281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58.73046875" style="1465" customWidth="1"/>
    <col min="10498" max="10498" width="23" style="1465" customWidth="1"/>
    <col min="10499" max="10499" width="17.265625" style="1465" customWidth="1"/>
    <col min="10500" max="10500" width="29.86328125" style="1465" customWidth="1"/>
    <col min="10501" max="10501" width="29" style="1465" customWidth="1"/>
    <col min="10502" max="10502" width="27.73046875" style="1465" customWidth="1"/>
    <col min="10503" max="10503" width="22.265625" style="1465" customWidth="1"/>
    <col min="10504" max="10504" width="28.265625" style="1465" customWidth="1"/>
    <col min="10505" max="10505" width="23.265625" style="1465" customWidth="1"/>
    <col min="10506" max="10506" width="25" style="1465" customWidth="1"/>
    <col min="10507" max="10507" width="16.73046875" style="1465" customWidth="1"/>
    <col min="10508" max="10508" width="13.265625" style="1465" customWidth="1"/>
    <col min="10509" max="10509" width="9.863281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58.73046875" style="1465" customWidth="1"/>
    <col min="10754" max="10754" width="23" style="1465" customWidth="1"/>
    <col min="10755" max="10755" width="17.265625" style="1465" customWidth="1"/>
    <col min="10756" max="10756" width="29.86328125" style="1465" customWidth="1"/>
    <col min="10757" max="10757" width="29" style="1465" customWidth="1"/>
    <col min="10758" max="10758" width="27.73046875" style="1465" customWidth="1"/>
    <col min="10759" max="10759" width="22.265625" style="1465" customWidth="1"/>
    <col min="10760" max="10760" width="28.265625" style="1465" customWidth="1"/>
    <col min="10761" max="10761" width="23.265625" style="1465" customWidth="1"/>
    <col min="10762" max="10762" width="25" style="1465" customWidth="1"/>
    <col min="10763" max="10763" width="16.73046875" style="1465" customWidth="1"/>
    <col min="10764" max="10764" width="13.265625" style="1465" customWidth="1"/>
    <col min="10765" max="10765" width="9.863281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58.73046875" style="1465" customWidth="1"/>
    <col min="11010" max="11010" width="23" style="1465" customWidth="1"/>
    <col min="11011" max="11011" width="17.265625" style="1465" customWidth="1"/>
    <col min="11012" max="11012" width="29.86328125" style="1465" customWidth="1"/>
    <col min="11013" max="11013" width="29" style="1465" customWidth="1"/>
    <col min="11014" max="11014" width="27.73046875" style="1465" customWidth="1"/>
    <col min="11015" max="11015" width="22.265625" style="1465" customWidth="1"/>
    <col min="11016" max="11016" width="28.265625" style="1465" customWidth="1"/>
    <col min="11017" max="11017" width="23.265625" style="1465" customWidth="1"/>
    <col min="11018" max="11018" width="25" style="1465" customWidth="1"/>
    <col min="11019" max="11019" width="16.73046875" style="1465" customWidth="1"/>
    <col min="11020" max="11020" width="13.265625" style="1465" customWidth="1"/>
    <col min="11021" max="11021" width="9.863281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58.73046875" style="1465" customWidth="1"/>
    <col min="11266" max="11266" width="23" style="1465" customWidth="1"/>
    <col min="11267" max="11267" width="17.265625" style="1465" customWidth="1"/>
    <col min="11268" max="11268" width="29.86328125" style="1465" customWidth="1"/>
    <col min="11269" max="11269" width="29" style="1465" customWidth="1"/>
    <col min="11270" max="11270" width="27.73046875" style="1465" customWidth="1"/>
    <col min="11271" max="11271" width="22.265625" style="1465" customWidth="1"/>
    <col min="11272" max="11272" width="28.265625" style="1465" customWidth="1"/>
    <col min="11273" max="11273" width="23.265625" style="1465" customWidth="1"/>
    <col min="11274" max="11274" width="25" style="1465" customWidth="1"/>
    <col min="11275" max="11275" width="16.73046875" style="1465" customWidth="1"/>
    <col min="11276" max="11276" width="13.265625" style="1465" customWidth="1"/>
    <col min="11277" max="11277" width="9.863281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58.73046875" style="1465" customWidth="1"/>
    <col min="11522" max="11522" width="23" style="1465" customWidth="1"/>
    <col min="11523" max="11523" width="17.265625" style="1465" customWidth="1"/>
    <col min="11524" max="11524" width="29.86328125" style="1465" customWidth="1"/>
    <col min="11525" max="11525" width="29" style="1465" customWidth="1"/>
    <col min="11526" max="11526" width="27.73046875" style="1465" customWidth="1"/>
    <col min="11527" max="11527" width="22.265625" style="1465" customWidth="1"/>
    <col min="11528" max="11528" width="28.265625" style="1465" customWidth="1"/>
    <col min="11529" max="11529" width="23.265625" style="1465" customWidth="1"/>
    <col min="11530" max="11530" width="25" style="1465" customWidth="1"/>
    <col min="11531" max="11531" width="16.73046875" style="1465" customWidth="1"/>
    <col min="11532" max="11532" width="13.265625" style="1465" customWidth="1"/>
    <col min="11533" max="11533" width="9.863281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58.73046875" style="1465" customWidth="1"/>
    <col min="11778" max="11778" width="23" style="1465" customWidth="1"/>
    <col min="11779" max="11779" width="17.265625" style="1465" customWidth="1"/>
    <col min="11780" max="11780" width="29.86328125" style="1465" customWidth="1"/>
    <col min="11781" max="11781" width="29" style="1465" customWidth="1"/>
    <col min="11782" max="11782" width="27.73046875" style="1465" customWidth="1"/>
    <col min="11783" max="11783" width="22.265625" style="1465" customWidth="1"/>
    <col min="11784" max="11784" width="28.265625" style="1465" customWidth="1"/>
    <col min="11785" max="11785" width="23.265625" style="1465" customWidth="1"/>
    <col min="11786" max="11786" width="25" style="1465" customWidth="1"/>
    <col min="11787" max="11787" width="16.73046875" style="1465" customWidth="1"/>
    <col min="11788" max="11788" width="13.265625" style="1465" customWidth="1"/>
    <col min="11789" max="11789" width="9.863281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58.73046875" style="1465" customWidth="1"/>
    <col min="12034" max="12034" width="23" style="1465" customWidth="1"/>
    <col min="12035" max="12035" width="17.265625" style="1465" customWidth="1"/>
    <col min="12036" max="12036" width="29.86328125" style="1465" customWidth="1"/>
    <col min="12037" max="12037" width="29" style="1465" customWidth="1"/>
    <col min="12038" max="12038" width="27.73046875" style="1465" customWidth="1"/>
    <col min="12039" max="12039" width="22.265625" style="1465" customWidth="1"/>
    <col min="12040" max="12040" width="28.265625" style="1465" customWidth="1"/>
    <col min="12041" max="12041" width="23.265625" style="1465" customWidth="1"/>
    <col min="12042" max="12042" width="25" style="1465" customWidth="1"/>
    <col min="12043" max="12043" width="16.73046875" style="1465" customWidth="1"/>
    <col min="12044" max="12044" width="13.265625" style="1465" customWidth="1"/>
    <col min="12045" max="12045" width="9.863281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58.73046875" style="1465" customWidth="1"/>
    <col min="12290" max="12290" width="23" style="1465" customWidth="1"/>
    <col min="12291" max="12291" width="17.265625" style="1465" customWidth="1"/>
    <col min="12292" max="12292" width="29.86328125" style="1465" customWidth="1"/>
    <col min="12293" max="12293" width="29" style="1465" customWidth="1"/>
    <col min="12294" max="12294" width="27.73046875" style="1465" customWidth="1"/>
    <col min="12295" max="12295" width="22.265625" style="1465" customWidth="1"/>
    <col min="12296" max="12296" width="28.265625" style="1465" customWidth="1"/>
    <col min="12297" max="12297" width="23.265625" style="1465" customWidth="1"/>
    <col min="12298" max="12298" width="25" style="1465" customWidth="1"/>
    <col min="12299" max="12299" width="16.73046875" style="1465" customWidth="1"/>
    <col min="12300" max="12300" width="13.265625" style="1465" customWidth="1"/>
    <col min="12301" max="12301" width="9.863281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58.73046875" style="1465" customWidth="1"/>
    <col min="12546" max="12546" width="23" style="1465" customWidth="1"/>
    <col min="12547" max="12547" width="17.265625" style="1465" customWidth="1"/>
    <col min="12548" max="12548" width="29.86328125" style="1465" customWidth="1"/>
    <col min="12549" max="12549" width="29" style="1465" customWidth="1"/>
    <col min="12550" max="12550" width="27.73046875" style="1465" customWidth="1"/>
    <col min="12551" max="12551" width="22.265625" style="1465" customWidth="1"/>
    <col min="12552" max="12552" width="28.265625" style="1465" customWidth="1"/>
    <col min="12553" max="12553" width="23.265625" style="1465" customWidth="1"/>
    <col min="12554" max="12554" width="25" style="1465" customWidth="1"/>
    <col min="12555" max="12555" width="16.73046875" style="1465" customWidth="1"/>
    <col min="12556" max="12556" width="13.265625" style="1465" customWidth="1"/>
    <col min="12557" max="12557" width="9.863281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58.73046875" style="1465" customWidth="1"/>
    <col min="12802" max="12802" width="23" style="1465" customWidth="1"/>
    <col min="12803" max="12803" width="17.265625" style="1465" customWidth="1"/>
    <col min="12804" max="12804" width="29.86328125" style="1465" customWidth="1"/>
    <col min="12805" max="12805" width="29" style="1465" customWidth="1"/>
    <col min="12806" max="12806" width="27.73046875" style="1465" customWidth="1"/>
    <col min="12807" max="12807" width="22.265625" style="1465" customWidth="1"/>
    <col min="12808" max="12808" width="28.265625" style="1465" customWidth="1"/>
    <col min="12809" max="12809" width="23.265625" style="1465" customWidth="1"/>
    <col min="12810" max="12810" width="25" style="1465" customWidth="1"/>
    <col min="12811" max="12811" width="16.73046875" style="1465" customWidth="1"/>
    <col min="12812" max="12812" width="13.265625" style="1465" customWidth="1"/>
    <col min="12813" max="12813" width="9.863281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58.73046875" style="1465" customWidth="1"/>
    <col min="13058" max="13058" width="23" style="1465" customWidth="1"/>
    <col min="13059" max="13059" width="17.265625" style="1465" customWidth="1"/>
    <col min="13060" max="13060" width="29.86328125" style="1465" customWidth="1"/>
    <col min="13061" max="13061" width="29" style="1465" customWidth="1"/>
    <col min="13062" max="13062" width="27.73046875" style="1465" customWidth="1"/>
    <col min="13063" max="13063" width="22.265625" style="1465" customWidth="1"/>
    <col min="13064" max="13064" width="28.265625" style="1465" customWidth="1"/>
    <col min="13065" max="13065" width="23.265625" style="1465" customWidth="1"/>
    <col min="13066" max="13066" width="25" style="1465" customWidth="1"/>
    <col min="13067" max="13067" width="16.73046875" style="1465" customWidth="1"/>
    <col min="13068" max="13068" width="13.265625" style="1465" customWidth="1"/>
    <col min="13069" max="13069" width="9.863281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58.73046875" style="1465" customWidth="1"/>
    <col min="13314" max="13314" width="23" style="1465" customWidth="1"/>
    <col min="13315" max="13315" width="17.265625" style="1465" customWidth="1"/>
    <col min="13316" max="13316" width="29.86328125" style="1465" customWidth="1"/>
    <col min="13317" max="13317" width="29" style="1465" customWidth="1"/>
    <col min="13318" max="13318" width="27.73046875" style="1465" customWidth="1"/>
    <col min="13319" max="13319" width="22.265625" style="1465" customWidth="1"/>
    <col min="13320" max="13320" width="28.265625" style="1465" customWidth="1"/>
    <col min="13321" max="13321" width="23.265625" style="1465" customWidth="1"/>
    <col min="13322" max="13322" width="25" style="1465" customWidth="1"/>
    <col min="13323" max="13323" width="16.73046875" style="1465" customWidth="1"/>
    <col min="13324" max="13324" width="13.265625" style="1465" customWidth="1"/>
    <col min="13325" max="13325" width="9.863281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58.73046875" style="1465" customWidth="1"/>
    <col min="13570" max="13570" width="23" style="1465" customWidth="1"/>
    <col min="13571" max="13571" width="17.265625" style="1465" customWidth="1"/>
    <col min="13572" max="13572" width="29.86328125" style="1465" customWidth="1"/>
    <col min="13573" max="13573" width="29" style="1465" customWidth="1"/>
    <col min="13574" max="13574" width="27.73046875" style="1465" customWidth="1"/>
    <col min="13575" max="13575" width="22.265625" style="1465" customWidth="1"/>
    <col min="13576" max="13576" width="28.265625" style="1465" customWidth="1"/>
    <col min="13577" max="13577" width="23.265625" style="1465" customWidth="1"/>
    <col min="13578" max="13578" width="25" style="1465" customWidth="1"/>
    <col min="13579" max="13579" width="16.73046875" style="1465" customWidth="1"/>
    <col min="13580" max="13580" width="13.265625" style="1465" customWidth="1"/>
    <col min="13581" max="13581" width="9.863281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58.73046875" style="1465" customWidth="1"/>
    <col min="13826" max="13826" width="23" style="1465" customWidth="1"/>
    <col min="13827" max="13827" width="17.265625" style="1465" customWidth="1"/>
    <col min="13828" max="13828" width="29.86328125" style="1465" customWidth="1"/>
    <col min="13829" max="13829" width="29" style="1465" customWidth="1"/>
    <col min="13830" max="13830" width="27.73046875" style="1465" customWidth="1"/>
    <col min="13831" max="13831" width="22.265625" style="1465" customWidth="1"/>
    <col min="13832" max="13832" width="28.265625" style="1465" customWidth="1"/>
    <col min="13833" max="13833" width="23.265625" style="1465" customWidth="1"/>
    <col min="13834" max="13834" width="25" style="1465" customWidth="1"/>
    <col min="13835" max="13835" width="16.73046875" style="1465" customWidth="1"/>
    <col min="13836" max="13836" width="13.265625" style="1465" customWidth="1"/>
    <col min="13837" max="13837" width="9.863281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58.73046875" style="1465" customWidth="1"/>
    <col min="14082" max="14082" width="23" style="1465" customWidth="1"/>
    <col min="14083" max="14083" width="17.265625" style="1465" customWidth="1"/>
    <col min="14084" max="14084" width="29.86328125" style="1465" customWidth="1"/>
    <col min="14085" max="14085" width="29" style="1465" customWidth="1"/>
    <col min="14086" max="14086" width="27.73046875" style="1465" customWidth="1"/>
    <col min="14087" max="14087" width="22.265625" style="1465" customWidth="1"/>
    <col min="14088" max="14088" width="28.265625" style="1465" customWidth="1"/>
    <col min="14089" max="14089" width="23.265625" style="1465" customWidth="1"/>
    <col min="14090" max="14090" width="25" style="1465" customWidth="1"/>
    <col min="14091" max="14091" width="16.73046875" style="1465" customWidth="1"/>
    <col min="14092" max="14092" width="13.265625" style="1465" customWidth="1"/>
    <col min="14093" max="14093" width="9.863281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58.73046875" style="1465" customWidth="1"/>
    <col min="14338" max="14338" width="23" style="1465" customWidth="1"/>
    <col min="14339" max="14339" width="17.265625" style="1465" customWidth="1"/>
    <col min="14340" max="14340" width="29.86328125" style="1465" customWidth="1"/>
    <col min="14341" max="14341" width="29" style="1465" customWidth="1"/>
    <col min="14342" max="14342" width="27.73046875" style="1465" customWidth="1"/>
    <col min="14343" max="14343" width="22.265625" style="1465" customWidth="1"/>
    <col min="14344" max="14344" width="28.265625" style="1465" customWidth="1"/>
    <col min="14345" max="14345" width="23.265625" style="1465" customWidth="1"/>
    <col min="14346" max="14346" width="25" style="1465" customWidth="1"/>
    <col min="14347" max="14347" width="16.73046875" style="1465" customWidth="1"/>
    <col min="14348" max="14348" width="13.265625" style="1465" customWidth="1"/>
    <col min="14349" max="14349" width="9.863281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58.73046875" style="1465" customWidth="1"/>
    <col min="14594" max="14594" width="23" style="1465" customWidth="1"/>
    <col min="14595" max="14595" width="17.265625" style="1465" customWidth="1"/>
    <col min="14596" max="14596" width="29.86328125" style="1465" customWidth="1"/>
    <col min="14597" max="14597" width="29" style="1465" customWidth="1"/>
    <col min="14598" max="14598" width="27.73046875" style="1465" customWidth="1"/>
    <col min="14599" max="14599" width="22.265625" style="1465" customWidth="1"/>
    <col min="14600" max="14600" width="28.265625" style="1465" customWidth="1"/>
    <col min="14601" max="14601" width="23.265625" style="1465" customWidth="1"/>
    <col min="14602" max="14602" width="25" style="1465" customWidth="1"/>
    <col min="14603" max="14603" width="16.73046875" style="1465" customWidth="1"/>
    <col min="14604" max="14604" width="13.265625" style="1465" customWidth="1"/>
    <col min="14605" max="14605" width="9.863281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58.73046875" style="1465" customWidth="1"/>
    <col min="14850" max="14850" width="23" style="1465" customWidth="1"/>
    <col min="14851" max="14851" width="17.265625" style="1465" customWidth="1"/>
    <col min="14852" max="14852" width="29.86328125" style="1465" customWidth="1"/>
    <col min="14853" max="14853" width="29" style="1465" customWidth="1"/>
    <col min="14854" max="14854" width="27.73046875" style="1465" customWidth="1"/>
    <col min="14855" max="14855" width="22.265625" style="1465" customWidth="1"/>
    <col min="14856" max="14856" width="28.265625" style="1465" customWidth="1"/>
    <col min="14857" max="14857" width="23.265625" style="1465" customWidth="1"/>
    <col min="14858" max="14858" width="25" style="1465" customWidth="1"/>
    <col min="14859" max="14859" width="16.73046875" style="1465" customWidth="1"/>
    <col min="14860" max="14860" width="13.265625" style="1465" customWidth="1"/>
    <col min="14861" max="14861" width="9.863281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58.73046875" style="1465" customWidth="1"/>
    <col min="15106" max="15106" width="23" style="1465" customWidth="1"/>
    <col min="15107" max="15107" width="17.265625" style="1465" customWidth="1"/>
    <col min="15108" max="15108" width="29.86328125" style="1465" customWidth="1"/>
    <col min="15109" max="15109" width="29" style="1465" customWidth="1"/>
    <col min="15110" max="15110" width="27.73046875" style="1465" customWidth="1"/>
    <col min="15111" max="15111" width="22.265625" style="1465" customWidth="1"/>
    <col min="15112" max="15112" width="28.265625" style="1465" customWidth="1"/>
    <col min="15113" max="15113" width="23.265625" style="1465" customWidth="1"/>
    <col min="15114" max="15114" width="25" style="1465" customWidth="1"/>
    <col min="15115" max="15115" width="16.73046875" style="1465" customWidth="1"/>
    <col min="15116" max="15116" width="13.265625" style="1465" customWidth="1"/>
    <col min="15117" max="15117" width="9.863281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58.73046875" style="1465" customWidth="1"/>
    <col min="15362" max="15362" width="23" style="1465" customWidth="1"/>
    <col min="15363" max="15363" width="17.265625" style="1465" customWidth="1"/>
    <col min="15364" max="15364" width="29.86328125" style="1465" customWidth="1"/>
    <col min="15365" max="15365" width="29" style="1465" customWidth="1"/>
    <col min="15366" max="15366" width="27.73046875" style="1465" customWidth="1"/>
    <col min="15367" max="15367" width="22.265625" style="1465" customWidth="1"/>
    <col min="15368" max="15368" width="28.265625" style="1465" customWidth="1"/>
    <col min="15369" max="15369" width="23.265625" style="1465" customWidth="1"/>
    <col min="15370" max="15370" width="25" style="1465" customWidth="1"/>
    <col min="15371" max="15371" width="16.73046875" style="1465" customWidth="1"/>
    <col min="15372" max="15372" width="13.265625" style="1465" customWidth="1"/>
    <col min="15373" max="15373" width="9.863281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58.73046875" style="1465" customWidth="1"/>
    <col min="15618" max="15618" width="23" style="1465" customWidth="1"/>
    <col min="15619" max="15619" width="17.265625" style="1465" customWidth="1"/>
    <col min="15620" max="15620" width="29.86328125" style="1465" customWidth="1"/>
    <col min="15621" max="15621" width="29" style="1465" customWidth="1"/>
    <col min="15622" max="15622" width="27.73046875" style="1465" customWidth="1"/>
    <col min="15623" max="15623" width="22.265625" style="1465" customWidth="1"/>
    <col min="15624" max="15624" width="28.265625" style="1465" customWidth="1"/>
    <col min="15625" max="15625" width="23.265625" style="1465" customWidth="1"/>
    <col min="15626" max="15626" width="25" style="1465" customWidth="1"/>
    <col min="15627" max="15627" width="16.73046875" style="1465" customWidth="1"/>
    <col min="15628" max="15628" width="13.265625" style="1465" customWidth="1"/>
    <col min="15629" max="15629" width="9.863281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58.73046875" style="1465" customWidth="1"/>
    <col min="15874" max="15874" width="23" style="1465" customWidth="1"/>
    <col min="15875" max="15875" width="17.265625" style="1465" customWidth="1"/>
    <col min="15876" max="15876" width="29.86328125" style="1465" customWidth="1"/>
    <col min="15877" max="15877" width="29" style="1465" customWidth="1"/>
    <col min="15878" max="15878" width="27.73046875" style="1465" customWidth="1"/>
    <col min="15879" max="15879" width="22.265625" style="1465" customWidth="1"/>
    <col min="15880" max="15880" width="28.265625" style="1465" customWidth="1"/>
    <col min="15881" max="15881" width="23.265625" style="1465" customWidth="1"/>
    <col min="15882" max="15882" width="25" style="1465" customWidth="1"/>
    <col min="15883" max="15883" width="16.73046875" style="1465" customWidth="1"/>
    <col min="15884" max="15884" width="13.265625" style="1465" customWidth="1"/>
    <col min="15885" max="15885" width="9.863281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58.73046875" style="1465" customWidth="1"/>
    <col min="16130" max="16130" width="23" style="1465" customWidth="1"/>
    <col min="16131" max="16131" width="17.265625" style="1465" customWidth="1"/>
    <col min="16132" max="16132" width="29.86328125" style="1465" customWidth="1"/>
    <col min="16133" max="16133" width="29" style="1465" customWidth="1"/>
    <col min="16134" max="16134" width="27.73046875" style="1465" customWidth="1"/>
    <col min="16135" max="16135" width="22.265625" style="1465" customWidth="1"/>
    <col min="16136" max="16136" width="28.265625" style="1465" customWidth="1"/>
    <col min="16137" max="16137" width="23.265625" style="1465" customWidth="1"/>
    <col min="16138" max="16138" width="25" style="1465" customWidth="1"/>
    <col min="16139" max="16139" width="16.73046875" style="1465" customWidth="1"/>
    <col min="16140" max="16140" width="13.265625" style="1465" customWidth="1"/>
    <col min="16141" max="16141" width="9.863281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34" ht="36">
      <c r="A1" s="1464" t="s">
        <v>2654</v>
      </c>
    </row>
    <row r="2" spans="1:34">
      <c r="A2" s="1466" t="s">
        <v>2328</v>
      </c>
    </row>
    <row r="4" spans="1:34" ht="15">
      <c r="A4" s="1478" t="s">
        <v>364</v>
      </c>
    </row>
    <row r="5" spans="1:34" s="1468" customFormat="1" ht="14.65" thickBot="1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4.65" thickBot="1">
      <c r="A6" s="1479" t="s">
        <v>367</v>
      </c>
      <c r="B6" s="1471" t="s">
        <v>368</v>
      </c>
      <c r="C6" s="1471" t="s">
        <v>369</v>
      </c>
      <c r="D6" s="1471" t="s">
        <v>1872</v>
      </c>
      <c r="E6" s="1471" t="s">
        <v>1873</v>
      </c>
      <c r="F6" s="1471" t="s">
        <v>1874</v>
      </c>
      <c r="G6" s="1471" t="s">
        <v>1828</v>
      </c>
      <c r="H6" s="1471" t="s">
        <v>375</v>
      </c>
      <c r="I6" s="1489" t="s">
        <v>1875</v>
      </c>
      <c r="K6" s="1475"/>
    </row>
    <row r="7" spans="1:34" ht="14.25">
      <c r="A7" s="1490" t="s">
        <v>1876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385</v>
      </c>
      <c r="I7" s="1494" t="s">
        <v>1877</v>
      </c>
      <c r="K7" s="1475"/>
    </row>
    <row r="8" spans="1:34" ht="14.25">
      <c r="A8" s="1490" t="s">
        <v>1878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389</v>
      </c>
      <c r="I8" s="1494">
        <v>2018</v>
      </c>
      <c r="K8" s="1475"/>
    </row>
    <row r="9" spans="1:34" ht="14.25">
      <c r="A9" s="1490" t="s">
        <v>1879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389</v>
      </c>
      <c r="I9" s="1494">
        <v>2020</v>
      </c>
      <c r="K9" s="1475"/>
    </row>
    <row r="10" spans="1:34" ht="14.25">
      <c r="A10" s="1490" t="s">
        <v>1880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389</v>
      </c>
      <c r="I10" s="1494" t="s">
        <v>1881</v>
      </c>
      <c r="K10" s="1475"/>
    </row>
    <row r="11" spans="1:34" ht="14.25">
      <c r="A11" s="1490" t="s">
        <v>520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389</v>
      </c>
      <c r="I11" s="1494">
        <v>2021</v>
      </c>
      <c r="K11" s="1475"/>
    </row>
    <row r="12" spans="1:34" ht="14.25">
      <c r="A12" s="1490" t="s">
        <v>1882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389</v>
      </c>
      <c r="I12" s="1494">
        <v>2021</v>
      </c>
      <c r="K12" s="1475"/>
    </row>
    <row r="13" spans="1:34" ht="14.25">
      <c r="A13" s="1490" t="s">
        <v>1883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389</v>
      </c>
      <c r="I13" s="1494">
        <v>2021</v>
      </c>
      <c r="K13" s="1475"/>
    </row>
    <row r="14" spans="1:34" ht="14.25">
      <c r="A14" s="1490" t="s">
        <v>1884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389</v>
      </c>
      <c r="I14" s="1494">
        <v>2021</v>
      </c>
      <c r="K14" s="1475"/>
    </row>
    <row r="15" spans="1:34" ht="14.25">
      <c r="A15" s="1490" t="s">
        <v>518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389</v>
      </c>
      <c r="I15" s="1494">
        <v>2021</v>
      </c>
      <c r="K15" s="1475"/>
    </row>
    <row r="16" spans="1:34" ht="14.25">
      <c r="A16" s="1490" t="s">
        <v>413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389</v>
      </c>
      <c r="I16" s="1494">
        <v>2021</v>
      </c>
      <c r="K16" s="1475"/>
    </row>
    <row r="17" spans="1:11" ht="14.25">
      <c r="A17" s="1490" t="s">
        <v>514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389</v>
      </c>
      <c r="I17" s="1494">
        <v>2021</v>
      </c>
      <c r="K17" s="1475"/>
    </row>
    <row r="18" spans="1:11" ht="14.25">
      <c r="A18" s="1490" t="s">
        <v>521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389</v>
      </c>
      <c r="I18" s="1494">
        <v>2021</v>
      </c>
      <c r="K18" s="1475"/>
    </row>
    <row r="19" spans="1:11" ht="14.25">
      <c r="A19" s="1490" t="s">
        <v>522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389</v>
      </c>
      <c r="I19" s="1494">
        <v>2021</v>
      </c>
      <c r="K19" s="1475"/>
    </row>
    <row r="20" spans="1:11" ht="14.25">
      <c r="A20" s="1490" t="s">
        <v>519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389</v>
      </c>
      <c r="I20" s="1494">
        <v>2021</v>
      </c>
      <c r="K20" s="1475"/>
    </row>
    <row r="21" spans="1:11" ht="14.25">
      <c r="A21" s="1490" t="s">
        <v>404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389</v>
      </c>
      <c r="I21" s="1494">
        <v>2021</v>
      </c>
      <c r="K21" s="1475"/>
    </row>
    <row r="22" spans="1:11" ht="14.25">
      <c r="A22" s="1490" t="s">
        <v>407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389</v>
      </c>
      <c r="I22" s="1494">
        <v>2021</v>
      </c>
      <c r="K22" s="1475"/>
    </row>
    <row r="23" spans="1:11" ht="14.25">
      <c r="A23" s="1490" t="s">
        <v>513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389</v>
      </c>
      <c r="I23" s="1494">
        <v>2021</v>
      </c>
      <c r="K23" s="1475"/>
    </row>
    <row r="24" spans="1:11" ht="14.25">
      <c r="A24" s="1490" t="s">
        <v>515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389</v>
      </c>
      <c r="I24" s="1494">
        <v>2021</v>
      </c>
      <c r="K24" s="1475"/>
    </row>
    <row r="25" spans="1:11" ht="14.25">
      <c r="A25" s="1490" t="s">
        <v>516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389</v>
      </c>
      <c r="I25" s="1494">
        <v>2021</v>
      </c>
      <c r="K25" s="1475"/>
    </row>
    <row r="26" spans="1:11" ht="14.25">
      <c r="A26" s="1490" t="s">
        <v>1885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389</v>
      </c>
      <c r="I26" s="1494">
        <v>2020</v>
      </c>
      <c r="K26" s="1475"/>
    </row>
    <row r="27" spans="1:11" ht="15.75" customHeight="1">
      <c r="A27" s="1490" t="s">
        <v>1886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389</v>
      </c>
      <c r="I27" s="1494" t="s">
        <v>1887</v>
      </c>
      <c r="K27" s="1475"/>
    </row>
    <row r="28" spans="1:11" ht="14.25">
      <c r="A28" s="1490" t="s">
        <v>1888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389</v>
      </c>
      <c r="I28" s="1494">
        <v>2016</v>
      </c>
      <c r="K28" s="1475"/>
    </row>
    <row r="29" spans="1:11" ht="14.25">
      <c r="A29" s="1490" t="s">
        <v>1889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389</v>
      </c>
      <c r="I29" s="1494">
        <v>2016</v>
      </c>
      <c r="K29" s="1475"/>
    </row>
    <row r="30" spans="1:11" ht="14.25">
      <c r="A30" s="1490" t="s">
        <v>1890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389</v>
      </c>
      <c r="I30" s="1494">
        <v>2016</v>
      </c>
      <c r="K30" s="1475"/>
    </row>
    <row r="31" spans="1:11" ht="14.25">
      <c r="A31" s="1490" t="s">
        <v>1891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389</v>
      </c>
      <c r="I31" s="1494">
        <v>2016</v>
      </c>
      <c r="K31" s="1475"/>
    </row>
    <row r="32" spans="1:11" ht="14.25">
      <c r="A32" s="1490" t="s">
        <v>1892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389</v>
      </c>
      <c r="I32" s="1494">
        <v>2016</v>
      </c>
      <c r="K32" s="1475"/>
    </row>
    <row r="33" spans="1:11" ht="14.25">
      <c r="A33" s="1490" t="s">
        <v>1893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389</v>
      </c>
      <c r="I33" s="1494">
        <v>2016</v>
      </c>
      <c r="K33" s="1475"/>
    </row>
    <row r="34" spans="1:11" ht="14.25">
      <c r="A34" s="1490" t="s">
        <v>1894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389</v>
      </c>
      <c r="I34" s="1494">
        <v>2018</v>
      </c>
      <c r="K34" s="1475"/>
    </row>
    <row r="35" spans="1:11" ht="14.25">
      <c r="A35" s="1490" t="s">
        <v>1895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389</v>
      </c>
      <c r="I35" s="1494">
        <v>2018</v>
      </c>
      <c r="K35" s="1475"/>
    </row>
    <row r="36" spans="1:11" ht="14.25">
      <c r="A36" s="1490" t="s">
        <v>1896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389</v>
      </c>
      <c r="I36" s="1494">
        <v>2018</v>
      </c>
      <c r="K36" s="1475"/>
    </row>
    <row r="37" spans="1:11" ht="14.25">
      <c r="A37" s="1490" t="s">
        <v>1897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389</v>
      </c>
      <c r="I37" s="1494">
        <v>2018</v>
      </c>
      <c r="K37" s="1475"/>
    </row>
    <row r="38" spans="1:11" ht="14.25">
      <c r="A38" s="1496" t="s">
        <v>517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389</v>
      </c>
      <c r="I38" s="1494">
        <v>2017</v>
      </c>
      <c r="K38" s="1475"/>
    </row>
    <row r="39" spans="1:11" ht="14.25">
      <c r="A39" s="1496" t="s">
        <v>1898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389</v>
      </c>
      <c r="I39" s="1494">
        <v>2018</v>
      </c>
      <c r="K39" s="1475"/>
    </row>
    <row r="40" spans="1:11" ht="14.25" customHeight="1">
      <c r="A40" s="1490" t="s">
        <v>1899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385</v>
      </c>
      <c r="I40" s="1494">
        <v>2019</v>
      </c>
      <c r="K40" s="1475"/>
    </row>
    <row r="41" spans="1:11" ht="16.5" customHeight="1">
      <c r="A41" s="1498" t="s">
        <v>388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389</v>
      </c>
      <c r="I41" s="1500">
        <v>2018</v>
      </c>
      <c r="K41" s="1475"/>
    </row>
    <row r="42" spans="1:11" ht="14.25">
      <c r="A42" s="1498" t="s">
        <v>404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405</v>
      </c>
      <c r="I42" s="1500">
        <v>2016</v>
      </c>
      <c r="K42" s="1475"/>
    </row>
    <row r="43" spans="1:11">
      <c r="A43" s="1498" t="s">
        <v>1900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389</v>
      </c>
      <c r="I43" s="1500">
        <v>2016</v>
      </c>
    </row>
    <row r="44" spans="1:11">
      <c r="A44" s="1498" t="s">
        <v>1901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1902</v>
      </c>
      <c r="I44" s="1500">
        <v>2016</v>
      </c>
    </row>
    <row r="45" spans="1:11">
      <c r="A45" s="1498" t="s">
        <v>1903</v>
      </c>
      <c r="B45" s="1499">
        <v>550</v>
      </c>
      <c r="C45" s="1499">
        <v>1</v>
      </c>
      <c r="D45" s="3234">
        <v>28000000</v>
      </c>
      <c r="E45" s="3234">
        <v>22000000</v>
      </c>
      <c r="F45" s="3234">
        <v>22000000</v>
      </c>
      <c r="G45" s="1492">
        <v>0</v>
      </c>
      <c r="H45" s="1495" t="s">
        <v>389</v>
      </c>
      <c r="I45" s="1500">
        <v>2017</v>
      </c>
    </row>
    <row r="46" spans="1:11">
      <c r="A46" s="1498" t="s">
        <v>1904</v>
      </c>
      <c r="B46" s="1499">
        <v>195</v>
      </c>
      <c r="C46" s="1499">
        <v>12</v>
      </c>
      <c r="D46" s="3235"/>
      <c r="E46" s="3235"/>
      <c r="F46" s="3235"/>
      <c r="G46" s="1492">
        <v>0</v>
      </c>
      <c r="H46" s="1495" t="s">
        <v>389</v>
      </c>
      <c r="I46" s="1500">
        <v>2017</v>
      </c>
    </row>
    <row r="47" spans="1:11">
      <c r="A47" s="1498" t="s">
        <v>1899</v>
      </c>
      <c r="B47" s="1499">
        <v>475</v>
      </c>
      <c r="C47" s="1499">
        <v>1</v>
      </c>
      <c r="D47" s="3235"/>
      <c r="E47" s="3235"/>
      <c r="F47" s="3235"/>
      <c r="G47" s="1492">
        <v>0</v>
      </c>
      <c r="H47" s="1495" t="s">
        <v>389</v>
      </c>
      <c r="I47" s="1500">
        <v>2017</v>
      </c>
    </row>
    <row r="48" spans="1:11">
      <c r="A48" s="1498" t="s">
        <v>1905</v>
      </c>
      <c r="B48" s="1499">
        <v>115</v>
      </c>
      <c r="C48" s="1499">
        <v>1</v>
      </c>
      <c r="D48" s="3235"/>
      <c r="E48" s="3235"/>
      <c r="F48" s="3235"/>
      <c r="G48" s="1492">
        <v>0</v>
      </c>
      <c r="H48" s="1495" t="s">
        <v>389</v>
      </c>
      <c r="I48" s="1500">
        <v>2017</v>
      </c>
    </row>
    <row r="49" spans="1:9">
      <c r="A49" s="1498" t="s">
        <v>1906</v>
      </c>
      <c r="B49" s="1499">
        <v>600</v>
      </c>
      <c r="C49" s="1499">
        <v>4</v>
      </c>
      <c r="D49" s="3236"/>
      <c r="E49" s="3236"/>
      <c r="F49" s="3236"/>
      <c r="G49" s="1492">
        <v>0</v>
      </c>
      <c r="H49" s="1495" t="s">
        <v>389</v>
      </c>
      <c r="I49" s="1500">
        <v>2017</v>
      </c>
    </row>
    <row r="50" spans="1:9">
      <c r="A50" s="1498" t="s">
        <v>1907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389</v>
      </c>
      <c r="I50" s="1500">
        <v>2017</v>
      </c>
    </row>
    <row r="51" spans="1:9">
      <c r="A51" s="1498" t="s">
        <v>1908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524</v>
      </c>
      <c r="I51" s="1500">
        <v>2018</v>
      </c>
    </row>
    <row r="52" spans="1:9">
      <c r="A52" s="1498" t="s">
        <v>1909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1910</v>
      </c>
      <c r="I52" s="1500">
        <v>2017</v>
      </c>
    </row>
    <row r="53" spans="1:9">
      <c r="A53" s="1498" t="s">
        <v>1889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389</v>
      </c>
      <c r="I53" s="1500">
        <v>2017</v>
      </c>
    </row>
    <row r="54" spans="1:9">
      <c r="A54" s="1498" t="s">
        <v>1911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389</v>
      </c>
      <c r="I54" s="1500">
        <v>2017</v>
      </c>
    </row>
    <row r="55" spans="1:9">
      <c r="A55" s="1498" t="s">
        <v>1912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389</v>
      </c>
      <c r="I55" s="1500">
        <v>2017</v>
      </c>
    </row>
    <row r="56" spans="1:9">
      <c r="A56" s="1498" t="s">
        <v>1913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389</v>
      </c>
      <c r="I56" s="1500">
        <v>2017</v>
      </c>
    </row>
    <row r="57" spans="1:9">
      <c r="A57" s="2944" t="s">
        <v>2655</v>
      </c>
      <c r="B57" s="2945"/>
      <c r="C57" s="2945"/>
      <c r="D57" s="2946">
        <v>1000000</v>
      </c>
      <c r="E57" s="2946">
        <v>1000000</v>
      </c>
      <c r="F57" s="2947">
        <f t="shared" si="2"/>
        <v>0</v>
      </c>
      <c r="G57" s="2947">
        <f t="shared" si="0"/>
        <v>1000000</v>
      </c>
      <c r="H57" s="2948" t="s">
        <v>389</v>
      </c>
      <c r="I57" s="2949">
        <v>2023</v>
      </c>
    </row>
    <row r="58" spans="1:9">
      <c r="A58" s="2944" t="s">
        <v>1914</v>
      </c>
      <c r="B58" s="2945">
        <v>98</v>
      </c>
      <c r="C58" s="2945">
        <v>12</v>
      </c>
      <c r="D58" s="2946">
        <v>1500000</v>
      </c>
      <c r="E58" s="2946">
        <v>420000</v>
      </c>
      <c r="F58" s="2946">
        <f>0*E58</f>
        <v>0</v>
      </c>
      <c r="G58" s="2946">
        <f t="shared" si="0"/>
        <v>420000</v>
      </c>
      <c r="H58" s="2948" t="s">
        <v>389</v>
      </c>
      <c r="I58" s="2949">
        <v>2017</v>
      </c>
    </row>
    <row r="59" spans="1:9">
      <c r="A59" s="1495" t="s">
        <v>403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389</v>
      </c>
      <c r="I59" s="2950">
        <v>2024</v>
      </c>
    </row>
    <row r="60" spans="1:9">
      <c r="A60" s="1495" t="s">
        <v>1960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389</v>
      </c>
      <c r="I60" s="2950">
        <v>2024</v>
      </c>
    </row>
    <row r="62" spans="1:9" ht="14.25">
      <c r="A62" s="1474" t="s">
        <v>416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15" thickBot="1">
      <c r="B63"/>
    </row>
    <row r="64" spans="1:9" ht="14.65" thickBot="1">
      <c r="A64" s="1479" t="s">
        <v>526</v>
      </c>
      <c r="B64" s="1473" t="s">
        <v>368</v>
      </c>
      <c r="D64" s="1479" t="s">
        <v>370</v>
      </c>
      <c r="E64" s="1471" t="s">
        <v>1873</v>
      </c>
      <c r="F64" s="1471" t="s">
        <v>1915</v>
      </c>
      <c r="G64" s="1471" t="s">
        <v>1828</v>
      </c>
      <c r="H64" s="1473" t="s">
        <v>375</v>
      </c>
      <c r="I64" s="1473" t="s">
        <v>361</v>
      </c>
    </row>
    <row r="65" spans="1:13">
      <c r="A65" s="1490" t="s">
        <v>527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389</v>
      </c>
      <c r="I65" s="1500">
        <v>2017</v>
      </c>
    </row>
    <row r="66" spans="1:13">
      <c r="A66" s="1490" t="s">
        <v>528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389</v>
      </c>
      <c r="I66" s="1500">
        <v>2018</v>
      </c>
    </row>
    <row r="67" spans="1:13">
      <c r="A67" s="1490" t="s">
        <v>1916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389</v>
      </c>
      <c r="I67" s="1500">
        <v>2020</v>
      </c>
      <c r="J67" s="1465" t="s">
        <v>387</v>
      </c>
      <c r="K67" s="1465" t="s">
        <v>387</v>
      </c>
      <c r="L67" s="1465" t="s">
        <v>387</v>
      </c>
      <c r="M67" s="1465">
        <v>2020</v>
      </c>
    </row>
    <row r="68" spans="1:13">
      <c r="A68" s="1490" t="s">
        <v>421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389</v>
      </c>
      <c r="I68" s="1500">
        <v>2017</v>
      </c>
    </row>
    <row r="69" spans="1:13" ht="13.15" thickBot="1">
      <c r="A69" s="1501" t="s">
        <v>530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389</v>
      </c>
      <c r="I69" s="1504">
        <v>2019</v>
      </c>
    </row>
    <row r="71" spans="1:13" ht="14.25">
      <c r="A71" s="1474" t="s">
        <v>416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5.4" thickBot="1">
      <c r="A73" s="1478" t="s">
        <v>436</v>
      </c>
      <c r="E73" s="1477"/>
    </row>
    <row r="74" spans="1:13" ht="14.65" thickBot="1">
      <c r="A74" s="1480"/>
      <c r="D74" s="1479" t="s">
        <v>370</v>
      </c>
      <c r="E74" s="1481" t="s">
        <v>1873</v>
      </c>
      <c r="F74" s="1471" t="s">
        <v>1915</v>
      </c>
      <c r="G74" s="1471" t="s">
        <v>1828</v>
      </c>
      <c r="H74" s="1473" t="s">
        <v>375</v>
      </c>
      <c r="I74" s="1473" t="s">
        <v>361</v>
      </c>
      <c r="J74" s="1489" t="s">
        <v>1917</v>
      </c>
    </row>
    <row r="75" spans="1:13" ht="18" customHeight="1">
      <c r="A75" s="1512" t="s">
        <v>532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389</v>
      </c>
      <c r="I75" s="1500">
        <v>2018</v>
      </c>
      <c r="J75" s="1514" t="s">
        <v>1918</v>
      </c>
    </row>
    <row r="76" spans="1:13">
      <c r="A76" s="1512" t="s">
        <v>438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389</v>
      </c>
      <c r="I76" s="1500">
        <v>2018</v>
      </c>
      <c r="J76" s="1500"/>
    </row>
    <row r="77" spans="1:13">
      <c r="A77" s="1512" t="s">
        <v>1919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389</v>
      </c>
      <c r="I77" s="1500">
        <v>2020</v>
      </c>
      <c r="J77" s="1500"/>
    </row>
    <row r="78" spans="1:13">
      <c r="A78" s="1512" t="s">
        <v>485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389</v>
      </c>
      <c r="I78" s="1500">
        <v>2020</v>
      </c>
      <c r="J78" s="1500"/>
    </row>
    <row r="79" spans="1:13" ht="17.25" customHeight="1">
      <c r="A79" s="2951" t="s">
        <v>533</v>
      </c>
      <c r="D79" s="2952">
        <v>30250000</v>
      </c>
      <c r="E79" s="2953">
        <v>31446800</v>
      </c>
      <c r="F79" s="2952">
        <v>0</v>
      </c>
      <c r="G79" s="2947">
        <f t="shared" si="3"/>
        <v>31446800</v>
      </c>
      <c r="H79" s="2954" t="s">
        <v>389</v>
      </c>
      <c r="I79" s="2949" t="s">
        <v>1887</v>
      </c>
      <c r="J79" s="2955" t="s">
        <v>1920</v>
      </c>
    </row>
    <row r="80" spans="1:13" ht="17.25" customHeight="1">
      <c r="A80" s="1495" t="s">
        <v>1969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389</v>
      </c>
      <c r="I80" s="2950" t="s">
        <v>2332</v>
      </c>
      <c r="J80" s="1514"/>
    </row>
    <row r="81" spans="1:12" ht="17.25" customHeight="1" thickBot="1">
      <c r="A81" s="1493" t="s">
        <v>2656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389</v>
      </c>
      <c r="I81" s="2956" t="s">
        <v>2332</v>
      </c>
      <c r="J81" s="1516"/>
    </row>
    <row r="82" spans="1:12">
      <c r="D82" s="1477"/>
      <c r="E82" s="1477"/>
      <c r="F82" s="1477"/>
      <c r="G82" s="1477"/>
      <c r="H82" s="1477"/>
    </row>
    <row r="83" spans="1:12" ht="14.25">
      <c r="A83" s="1474" t="s">
        <v>416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4.25">
      <c r="A84" s="1474"/>
      <c r="D84" s="1477"/>
      <c r="E84" s="1477"/>
      <c r="F84" s="1477"/>
      <c r="G84" s="1477"/>
      <c r="H84" s="1477"/>
      <c r="I84" s="1477"/>
    </row>
    <row r="85" spans="1:12" ht="15.4" thickBot="1">
      <c r="A85" s="1478" t="s">
        <v>426</v>
      </c>
      <c r="E85" s="1477"/>
    </row>
    <row r="86" spans="1:12" ht="14.65" thickBot="1">
      <c r="A86" s="1480"/>
      <c r="D86" s="1479" t="s">
        <v>370</v>
      </c>
      <c r="E86" s="1481" t="s">
        <v>1873</v>
      </c>
      <c r="F86" s="1471" t="s">
        <v>375</v>
      </c>
      <c r="G86" s="1471" t="s">
        <v>379</v>
      </c>
      <c r="H86" s="1471" t="s">
        <v>380</v>
      </c>
      <c r="I86" s="1471" t="s">
        <v>381</v>
      </c>
      <c r="J86" s="1471" t="s">
        <v>382</v>
      </c>
      <c r="K86" s="1473" t="s">
        <v>139</v>
      </c>
      <c r="L86" s="1473" t="s">
        <v>1829</v>
      </c>
    </row>
    <row r="87" spans="1:12">
      <c r="A87" s="1512" t="s">
        <v>433</v>
      </c>
      <c r="D87" s="1517">
        <v>4100000</v>
      </c>
      <c r="E87" s="1513">
        <v>4100000</v>
      </c>
      <c r="F87" s="1493" t="s">
        <v>389</v>
      </c>
      <c r="G87" s="1493" t="s">
        <v>1844</v>
      </c>
      <c r="H87" s="1495" t="s">
        <v>387</v>
      </c>
      <c r="I87" s="1495" t="s">
        <v>387</v>
      </c>
      <c r="J87" s="1495" t="s">
        <v>387</v>
      </c>
      <c r="K87" s="1495" t="s">
        <v>387</v>
      </c>
      <c r="L87" s="1507">
        <v>2021</v>
      </c>
    </row>
    <row r="88" spans="1:12">
      <c r="A88" s="1512" t="s">
        <v>1921</v>
      </c>
      <c r="D88" s="1517">
        <v>25000000</v>
      </c>
      <c r="E88" s="1513">
        <v>25000000</v>
      </c>
      <c r="F88" s="1493" t="s">
        <v>389</v>
      </c>
      <c r="G88" s="1493" t="s">
        <v>1844</v>
      </c>
      <c r="H88" s="1495" t="s">
        <v>387</v>
      </c>
      <c r="I88" s="1495" t="s">
        <v>387</v>
      </c>
      <c r="J88" s="1495" t="s">
        <v>387</v>
      </c>
      <c r="K88" s="1495" t="s">
        <v>387</v>
      </c>
      <c r="L88" s="1507">
        <v>2021</v>
      </c>
    </row>
    <row r="89" spans="1:12">
      <c r="A89" s="1512" t="s">
        <v>434</v>
      </c>
      <c r="D89" s="1517">
        <v>2900000</v>
      </c>
      <c r="E89" s="1513">
        <v>2900000</v>
      </c>
      <c r="F89" s="1493" t="s">
        <v>389</v>
      </c>
      <c r="G89" s="1493" t="s">
        <v>1844</v>
      </c>
      <c r="H89" s="1495" t="s">
        <v>387</v>
      </c>
      <c r="I89" s="1495" t="s">
        <v>387</v>
      </c>
      <c r="J89" s="1495" t="s">
        <v>387</v>
      </c>
      <c r="K89" s="1495" t="s">
        <v>387</v>
      </c>
      <c r="L89" s="1507">
        <v>2021</v>
      </c>
    </row>
    <row r="90" spans="1:12" ht="13.15" thickBot="1">
      <c r="A90" s="1518" t="s">
        <v>435</v>
      </c>
      <c r="D90" s="1510">
        <v>2900000</v>
      </c>
      <c r="E90" s="1519">
        <v>2550000</v>
      </c>
      <c r="F90" s="1503" t="s">
        <v>389</v>
      </c>
      <c r="G90" s="1520" t="s">
        <v>1844</v>
      </c>
      <c r="H90" s="1503" t="s">
        <v>387</v>
      </c>
      <c r="I90" s="1503" t="s">
        <v>387</v>
      </c>
      <c r="J90" s="1503" t="s">
        <v>387</v>
      </c>
      <c r="K90" s="1503" t="s">
        <v>387</v>
      </c>
      <c r="L90" s="1515">
        <v>2021</v>
      </c>
    </row>
    <row r="91" spans="1:12">
      <c r="D91" s="1477"/>
      <c r="E91" s="1477"/>
    </row>
    <row r="92" spans="1:12" ht="14.25">
      <c r="A92" s="1474" t="s">
        <v>416</v>
      </c>
      <c r="D92" s="1477">
        <f>SUM(D87:D90)</f>
        <v>34900000</v>
      </c>
      <c r="E92" s="1477">
        <v>34550000</v>
      </c>
      <c r="F92" s="1477"/>
      <c r="G92" s="1477"/>
    </row>
    <row r="93" spans="1:12" ht="15.4" thickBot="1">
      <c r="A93" s="1478" t="s">
        <v>441</v>
      </c>
      <c r="E93" s="1477"/>
    </row>
    <row r="94" spans="1:12" ht="14.65" thickBot="1">
      <c r="A94" s="1480"/>
      <c r="D94" s="1479" t="s">
        <v>370</v>
      </c>
      <c r="E94" s="1481" t="s">
        <v>1873</v>
      </c>
      <c r="F94" s="1471" t="s">
        <v>1915</v>
      </c>
      <c r="G94" s="1471" t="s">
        <v>418</v>
      </c>
      <c r="H94" s="1473" t="s">
        <v>375</v>
      </c>
      <c r="I94" s="1473" t="s">
        <v>361</v>
      </c>
      <c r="J94" s="1489" t="s">
        <v>1917</v>
      </c>
    </row>
    <row r="95" spans="1:12">
      <c r="A95" s="1512" t="s">
        <v>1922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389</v>
      </c>
      <c r="I95" s="1500">
        <v>2017</v>
      </c>
      <c r="J95" s="1500"/>
    </row>
    <row r="96" spans="1:12">
      <c r="A96" s="1512" t="s">
        <v>1923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389</v>
      </c>
      <c r="I96" s="1500">
        <v>2018</v>
      </c>
      <c r="J96" s="1500"/>
    </row>
    <row r="97" spans="1:10">
      <c r="A97" s="1512" t="s">
        <v>1924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389</v>
      </c>
      <c r="I97" s="1500" t="s">
        <v>1877</v>
      </c>
      <c r="J97" s="1500"/>
    </row>
    <row r="98" spans="1:10">
      <c r="A98" s="1512" t="s">
        <v>443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389</v>
      </c>
      <c r="I98" s="1500">
        <v>2020</v>
      </c>
      <c r="J98" s="1500"/>
    </row>
    <row r="99" spans="1:10">
      <c r="A99" s="1512" t="s">
        <v>1940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>
      <c r="A100" s="1521" t="s">
        <v>1925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389</v>
      </c>
      <c r="I100" s="1523">
        <v>2018</v>
      </c>
      <c r="J100" s="1523"/>
    </row>
    <row r="101" spans="1:10" ht="14.25">
      <c r="A101" s="2957" t="s">
        <v>1846</v>
      </c>
      <c r="B101" s="1582"/>
      <c r="C101" s="1582"/>
      <c r="D101" s="2958">
        <v>32000000</v>
      </c>
      <c r="E101" s="2959">
        <v>33349182.579999998</v>
      </c>
      <c r="F101" s="2960">
        <v>15505276</v>
      </c>
      <c r="G101" s="2961">
        <f t="shared" si="4"/>
        <v>17843906.579999998</v>
      </c>
      <c r="H101" s="2962" t="s">
        <v>389</v>
      </c>
      <c r="I101" s="2963">
        <v>2023</v>
      </c>
      <c r="J101" s="2964"/>
    </row>
    <row r="102" spans="1:10" ht="14.25">
      <c r="A102" s="2957" t="s">
        <v>445</v>
      </c>
      <c r="B102" s="1582"/>
      <c r="C102" s="1582"/>
      <c r="D102" s="2965">
        <v>20400000</v>
      </c>
      <c r="E102" s="2959">
        <v>20879368.190000001</v>
      </c>
      <c r="F102" s="2960">
        <v>7500000</v>
      </c>
      <c r="G102" s="2966">
        <f>SUM(E102-F102)</f>
        <v>13379368.190000001</v>
      </c>
      <c r="H102" s="2962" t="s">
        <v>389</v>
      </c>
      <c r="I102" s="2967">
        <v>2023</v>
      </c>
      <c r="J102" s="2957"/>
    </row>
    <row r="103" spans="1:10" ht="14.25">
      <c r="A103" s="2968" t="s">
        <v>1976</v>
      </c>
      <c r="B103" s="1582"/>
      <c r="C103" s="1582"/>
      <c r="D103" s="2969">
        <v>2500000</v>
      </c>
      <c r="E103" s="2970">
        <v>2463608</v>
      </c>
      <c r="F103" s="2970">
        <v>0</v>
      </c>
      <c r="G103" s="2971">
        <f>SUM(E103-F103)</f>
        <v>2463608</v>
      </c>
      <c r="H103" s="2972" t="s">
        <v>389</v>
      </c>
      <c r="I103" s="2967">
        <v>2023</v>
      </c>
      <c r="J103" s="2957"/>
    </row>
    <row r="104" spans="1:10" ht="25.5">
      <c r="A104" s="2973" t="s">
        <v>1926</v>
      </c>
      <c r="C104" s="2974"/>
      <c r="D104" s="2975">
        <v>7078500</v>
      </c>
      <c r="E104" s="2976">
        <v>6814692</v>
      </c>
      <c r="F104" s="2976">
        <v>6282020</v>
      </c>
      <c r="G104" s="2946">
        <f t="shared" si="4"/>
        <v>532672</v>
      </c>
      <c r="H104" s="2977" t="s">
        <v>389</v>
      </c>
      <c r="I104" s="2949">
        <v>2019</v>
      </c>
      <c r="J104" s="2949"/>
    </row>
    <row r="105" spans="1:10">
      <c r="A105" s="2978" t="s">
        <v>2657</v>
      </c>
      <c r="D105" s="1497">
        <v>4500000</v>
      </c>
      <c r="E105" s="1497">
        <v>3900000</v>
      </c>
      <c r="F105" s="1497"/>
      <c r="G105" s="1497">
        <v>3900000</v>
      </c>
      <c r="H105" s="1495" t="s">
        <v>389</v>
      </c>
      <c r="I105" s="2950">
        <v>2024</v>
      </c>
      <c r="J105" s="2950"/>
    </row>
    <row r="106" spans="1:10">
      <c r="A106" s="2978" t="s">
        <v>2658</v>
      </c>
      <c r="D106" s="1497">
        <v>2300000</v>
      </c>
      <c r="E106" s="1497">
        <v>2100000</v>
      </c>
      <c r="F106" s="1497"/>
      <c r="G106" s="1497">
        <v>2100000</v>
      </c>
      <c r="H106" s="1495" t="s">
        <v>389</v>
      </c>
      <c r="I106" s="2950">
        <v>2024</v>
      </c>
      <c r="J106" s="2950"/>
    </row>
    <row r="107" spans="1:10">
      <c r="A107" s="2978" t="s">
        <v>2659</v>
      </c>
      <c r="D107" s="1497">
        <v>2100000</v>
      </c>
      <c r="E107" s="1497">
        <v>2100000</v>
      </c>
      <c r="F107" s="1497"/>
      <c r="G107" s="1497">
        <v>2100000</v>
      </c>
      <c r="H107" s="1495" t="s">
        <v>389</v>
      </c>
      <c r="I107" s="2950">
        <v>2024</v>
      </c>
      <c r="J107" s="2950"/>
    </row>
    <row r="108" spans="1:10" ht="28.5" customHeight="1">
      <c r="A108" s="1474" t="s">
        <v>416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4.2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/>
  </sheetViews>
  <sheetFormatPr defaultRowHeight="12.75" outlineLevelCol="1"/>
  <cols>
    <col min="1" max="1" width="18" customWidth="1"/>
    <col min="2" max="2" width="8" style="3054" bestFit="1" customWidth="1"/>
    <col min="3" max="3" width="36.73046875" customWidth="1"/>
    <col min="4" max="4" width="3.265625" bestFit="1" customWidth="1"/>
    <col min="5" max="5" width="3.86328125" bestFit="1" customWidth="1"/>
    <col min="6" max="6" width="5.59765625" bestFit="1" customWidth="1"/>
    <col min="7" max="8" width="10" bestFit="1" customWidth="1" outlineLevel="1"/>
    <col min="9" max="9" width="9" bestFit="1" customWidth="1" outlineLevel="1"/>
    <col min="10" max="11" width="8.265625" bestFit="1" customWidth="1" outlineLevel="1"/>
    <col min="12" max="12" width="9.265625" bestFit="1" customWidth="1" outlineLevel="1"/>
    <col min="13" max="13" width="6.59765625" bestFit="1" customWidth="1" outlineLevel="1"/>
    <col min="14" max="14" width="10.265625" bestFit="1" customWidth="1"/>
    <col min="15" max="15" width="12.59765625" style="3041" hidden="1" customWidth="1"/>
  </cols>
  <sheetData>
    <row r="1" spans="1:16" ht="27" customHeight="1">
      <c r="A1" s="3027" t="s">
        <v>2742</v>
      </c>
      <c r="B1" s="3027" t="s">
        <v>2743</v>
      </c>
      <c r="C1" s="3028" t="s">
        <v>2744</v>
      </c>
      <c r="D1" s="3028" t="s">
        <v>2745</v>
      </c>
      <c r="E1" s="3028" t="s">
        <v>2746</v>
      </c>
      <c r="F1" s="3028" t="s">
        <v>2747</v>
      </c>
      <c r="G1" s="3028" t="s">
        <v>2748</v>
      </c>
      <c r="H1" s="3028" t="s">
        <v>2749</v>
      </c>
      <c r="I1" s="3028" t="s">
        <v>152</v>
      </c>
      <c r="J1" s="3028" t="s">
        <v>2750</v>
      </c>
      <c r="K1" s="3028" t="s">
        <v>2751</v>
      </c>
      <c r="L1" s="3028" t="s">
        <v>2752</v>
      </c>
      <c r="M1" s="3028" t="s">
        <v>2753</v>
      </c>
      <c r="N1" s="3028" t="s">
        <v>864</v>
      </c>
      <c r="O1" s="3029" t="s">
        <v>2754</v>
      </c>
    </row>
    <row r="2" spans="1:16" ht="23.25">
      <c r="A2" s="3030" t="s">
        <v>2755</v>
      </c>
      <c r="B2" s="3031" t="s">
        <v>2756</v>
      </c>
      <c r="C2" s="3032" t="s">
        <v>2757</v>
      </c>
      <c r="D2" s="3033">
        <v>118</v>
      </c>
      <c r="E2" s="3034">
        <v>6</v>
      </c>
      <c r="F2" s="3035">
        <v>708</v>
      </c>
      <c r="G2" s="3036">
        <v>1600000</v>
      </c>
      <c r="H2" s="3036">
        <v>700000</v>
      </c>
      <c r="I2" s="3037"/>
      <c r="J2" s="3037"/>
      <c r="K2" s="3038"/>
      <c r="L2" s="3038"/>
      <c r="M2" s="3039" t="s">
        <v>2758</v>
      </c>
      <c r="N2" s="3040">
        <f>SUM(G2:M2)</f>
        <v>2300000</v>
      </c>
    </row>
    <row r="3" spans="1:16">
      <c r="A3" s="3030" t="s">
        <v>2755</v>
      </c>
      <c r="B3" s="3031" t="s">
        <v>2756</v>
      </c>
      <c r="C3" s="3032" t="s">
        <v>2759</v>
      </c>
      <c r="D3" s="3033">
        <v>108</v>
      </c>
      <c r="E3" s="3034">
        <v>6</v>
      </c>
      <c r="F3" s="3035">
        <v>648</v>
      </c>
      <c r="G3" s="3036">
        <v>1480000</v>
      </c>
      <c r="H3" s="3036">
        <v>498000</v>
      </c>
      <c r="I3" s="3037"/>
      <c r="J3" s="3037"/>
      <c r="K3" s="3038"/>
      <c r="L3" s="3038"/>
      <c r="M3" s="3039"/>
      <c r="N3" s="3040">
        <f>SUM(G3:M3)</f>
        <v>1978000</v>
      </c>
    </row>
    <row r="4" spans="1:16" ht="23.25">
      <c r="A4" s="3030" t="s">
        <v>2755</v>
      </c>
      <c r="B4" s="3031" t="s">
        <v>2756</v>
      </c>
      <c r="C4" s="3032" t="s">
        <v>2760</v>
      </c>
      <c r="D4" s="3033">
        <v>145</v>
      </c>
      <c r="E4" s="3034">
        <v>6</v>
      </c>
      <c r="F4" s="3035">
        <v>870</v>
      </c>
      <c r="G4" s="3036">
        <v>1950000</v>
      </c>
      <c r="H4" s="3036">
        <v>1465000</v>
      </c>
      <c r="I4" s="3037"/>
      <c r="J4" s="3037"/>
      <c r="K4" s="3038"/>
      <c r="L4" s="3038"/>
      <c r="M4" s="3039"/>
      <c r="N4" s="3040">
        <f t="shared" ref="N4:N25" si="0">SUM(G4:M4)</f>
        <v>3415000</v>
      </c>
    </row>
    <row r="5" spans="1:16" ht="23.25">
      <c r="A5" s="3042" t="s">
        <v>413</v>
      </c>
      <c r="B5" s="3043">
        <v>2025</v>
      </c>
      <c r="C5" s="3032" t="s">
        <v>2761</v>
      </c>
      <c r="D5" s="3033">
        <v>330</v>
      </c>
      <c r="E5" s="3034">
        <v>7</v>
      </c>
      <c r="F5" s="3035">
        <f>D5*E5</f>
        <v>2310</v>
      </c>
      <c r="G5" s="3036">
        <v>4770000</v>
      </c>
      <c r="H5" s="3036"/>
      <c r="I5" s="3039"/>
      <c r="J5" s="3039"/>
      <c r="K5" s="3039"/>
      <c r="L5" s="3039"/>
      <c r="M5" s="3039"/>
      <c r="N5" s="3040">
        <f t="shared" si="0"/>
        <v>4770000</v>
      </c>
      <c r="O5" s="3041">
        <f>N5/F5</f>
        <v>2064.9350649350649</v>
      </c>
    </row>
    <row r="6" spans="1:16" ht="23.25">
      <c r="A6" s="3044" t="s">
        <v>2762</v>
      </c>
      <c r="B6" s="3045" t="s">
        <v>400</v>
      </c>
      <c r="C6" s="3032" t="s">
        <v>2763</v>
      </c>
      <c r="D6" s="3033">
        <v>80</v>
      </c>
      <c r="E6" s="3034">
        <v>4</v>
      </c>
      <c r="F6" s="3035">
        <v>320</v>
      </c>
      <c r="G6" s="3036">
        <v>650000</v>
      </c>
      <c r="H6" s="3036" t="s">
        <v>2764</v>
      </c>
      <c r="I6" s="3039" t="s">
        <v>2765</v>
      </c>
      <c r="J6" s="3039" t="s">
        <v>2766</v>
      </c>
      <c r="K6" s="3039" t="s">
        <v>2766</v>
      </c>
      <c r="L6" s="3039"/>
      <c r="M6" s="3039" t="s">
        <v>2758</v>
      </c>
      <c r="N6" s="3040">
        <f t="shared" si="0"/>
        <v>650000</v>
      </c>
      <c r="O6" s="3041">
        <f t="shared" ref="O6:O25" si="1">N6/F6</f>
        <v>2031.25</v>
      </c>
    </row>
    <row r="7" spans="1:16" ht="22.5">
      <c r="A7" s="3044" t="s">
        <v>2767</v>
      </c>
      <c r="B7" s="3045" t="s">
        <v>2768</v>
      </c>
      <c r="C7" s="3032" t="s">
        <v>2769</v>
      </c>
      <c r="D7" s="3033">
        <v>200</v>
      </c>
      <c r="E7" s="3034"/>
      <c r="F7" s="3035">
        <v>5</v>
      </c>
      <c r="G7" s="3036" t="s">
        <v>2770</v>
      </c>
      <c r="H7" s="3036" t="s">
        <v>2764</v>
      </c>
      <c r="I7" s="3039">
        <v>170000</v>
      </c>
      <c r="J7" s="3039" t="s">
        <v>2766</v>
      </c>
      <c r="K7" s="3039" t="s">
        <v>2766</v>
      </c>
      <c r="L7" s="3039"/>
      <c r="M7" s="3039" t="s">
        <v>2758</v>
      </c>
      <c r="N7" s="3040">
        <f t="shared" si="0"/>
        <v>170000</v>
      </c>
      <c r="O7" s="3041">
        <f t="shared" si="1"/>
        <v>34000</v>
      </c>
      <c r="P7" t="s">
        <v>2771</v>
      </c>
    </row>
    <row r="8" spans="1:16" ht="24" hidden="1">
      <c r="A8" s="3044" t="s">
        <v>2772</v>
      </c>
      <c r="B8" s="3045"/>
      <c r="C8" s="3032" t="s">
        <v>2773</v>
      </c>
      <c r="D8" s="3033">
        <v>160</v>
      </c>
      <c r="E8" s="3034">
        <v>1</v>
      </c>
      <c r="F8" s="3035">
        <v>160</v>
      </c>
      <c r="G8" s="3036"/>
      <c r="H8" s="3036" t="s">
        <v>2770</v>
      </c>
      <c r="I8" s="3039" t="s">
        <v>2765</v>
      </c>
      <c r="J8" s="3039" t="s">
        <v>2766</v>
      </c>
      <c r="K8" s="3039" t="s">
        <v>2766</v>
      </c>
      <c r="L8" s="3039" t="s">
        <v>2774</v>
      </c>
      <c r="M8" s="3039" t="s">
        <v>2765</v>
      </c>
      <c r="N8" s="3040">
        <f t="shared" si="0"/>
        <v>0</v>
      </c>
      <c r="O8" s="3041">
        <f t="shared" si="1"/>
        <v>0</v>
      </c>
    </row>
    <row r="9" spans="1:16" ht="22.5" hidden="1">
      <c r="A9" s="3044" t="s">
        <v>2775</v>
      </c>
      <c r="B9" s="3045"/>
      <c r="C9" s="3032" t="s">
        <v>2776</v>
      </c>
      <c r="D9" s="3033">
        <v>30</v>
      </c>
      <c r="E9" s="3034">
        <v>2</v>
      </c>
      <c r="F9" s="3035">
        <v>60</v>
      </c>
      <c r="G9" s="3036"/>
      <c r="H9" s="3036"/>
      <c r="I9" s="3039"/>
      <c r="J9" s="3039" t="s">
        <v>2777</v>
      </c>
      <c r="K9" s="3039" t="s">
        <v>2778</v>
      </c>
      <c r="L9" s="3039"/>
      <c r="M9" s="3039"/>
      <c r="N9" s="3040">
        <f t="shared" si="0"/>
        <v>0</v>
      </c>
      <c r="O9" s="3041">
        <f t="shared" si="1"/>
        <v>0</v>
      </c>
    </row>
    <row r="10" spans="1:16">
      <c r="A10" s="3042" t="s">
        <v>2779</v>
      </c>
      <c r="B10" s="3043">
        <v>2025</v>
      </c>
      <c r="C10" s="3032" t="s">
        <v>2780</v>
      </c>
      <c r="D10" s="3046"/>
      <c r="E10" s="3046"/>
      <c r="F10" s="3035">
        <v>560</v>
      </c>
      <c r="G10" s="3036">
        <v>1210000</v>
      </c>
      <c r="H10" s="3036"/>
      <c r="I10" s="3039"/>
      <c r="J10" s="3039"/>
      <c r="K10" s="3039"/>
      <c r="L10" s="3039"/>
      <c r="M10" s="3039"/>
      <c r="N10" s="3040">
        <f t="shared" si="0"/>
        <v>1210000</v>
      </c>
      <c r="O10" s="3041">
        <f t="shared" si="1"/>
        <v>2160.7142857142858</v>
      </c>
    </row>
    <row r="11" spans="1:16" ht="23.25">
      <c r="A11" s="3042" t="s">
        <v>2781</v>
      </c>
      <c r="B11" s="3043">
        <v>2025</v>
      </c>
      <c r="C11" s="3032" t="s">
        <v>2782</v>
      </c>
      <c r="D11" s="3046"/>
      <c r="E11" s="3046"/>
      <c r="F11" s="3035">
        <v>325</v>
      </c>
      <c r="G11" s="3036">
        <v>650000</v>
      </c>
      <c r="H11" s="3036"/>
      <c r="I11" s="3039"/>
      <c r="J11" s="3039">
        <v>50000</v>
      </c>
      <c r="K11" s="3039">
        <v>40000</v>
      </c>
      <c r="L11" s="3039"/>
      <c r="M11" s="3039"/>
      <c r="N11" s="3040">
        <f t="shared" si="0"/>
        <v>740000</v>
      </c>
      <c r="O11" s="3041">
        <f t="shared" si="1"/>
        <v>2276.9230769230771</v>
      </c>
    </row>
    <row r="12" spans="1:16">
      <c r="A12" s="3044" t="s">
        <v>2783</v>
      </c>
      <c r="B12" s="3045" t="s">
        <v>2756</v>
      </c>
      <c r="C12" s="3047" t="s">
        <v>2784</v>
      </c>
      <c r="D12" s="3033">
        <v>218</v>
      </c>
      <c r="E12" s="3034">
        <v>3.5</v>
      </c>
      <c r="F12" s="3048">
        <f t="shared" ref="F12:F13" si="2">D12*E12</f>
        <v>763</v>
      </c>
      <c r="G12" s="3036">
        <v>655000</v>
      </c>
      <c r="H12" s="3036"/>
      <c r="I12" s="3039"/>
      <c r="J12" s="3039"/>
      <c r="K12" s="3039"/>
      <c r="L12" s="3039"/>
      <c r="M12" s="3039"/>
      <c r="N12" s="3040">
        <f t="shared" si="0"/>
        <v>655000</v>
      </c>
      <c r="O12" s="3041">
        <f t="shared" si="1"/>
        <v>858.45347313237221</v>
      </c>
    </row>
    <row r="13" spans="1:16">
      <c r="A13" s="3044" t="s">
        <v>2785</v>
      </c>
      <c r="B13" s="3045" t="s">
        <v>2756</v>
      </c>
      <c r="C13" s="3047" t="s">
        <v>2784</v>
      </c>
      <c r="D13" s="3033">
        <v>120</v>
      </c>
      <c r="E13" s="3034">
        <v>4</v>
      </c>
      <c r="F13" s="3048">
        <f t="shared" si="2"/>
        <v>480</v>
      </c>
      <c r="G13" s="3036">
        <v>490000</v>
      </c>
      <c r="H13" s="3036"/>
      <c r="I13" s="3039"/>
      <c r="J13" s="3039"/>
      <c r="K13" s="3039"/>
      <c r="L13" s="3039"/>
      <c r="M13" s="3039"/>
      <c r="N13" s="3040">
        <f t="shared" si="0"/>
        <v>490000</v>
      </c>
      <c r="O13" s="3041">
        <f t="shared" si="1"/>
        <v>1020.8333333333334</v>
      </c>
    </row>
    <row r="14" spans="1:16" ht="23.25">
      <c r="A14" s="3042" t="s">
        <v>414</v>
      </c>
      <c r="B14" s="3043">
        <v>2025</v>
      </c>
      <c r="C14" s="3049" t="s">
        <v>2786</v>
      </c>
      <c r="D14" s="3046">
        <v>160</v>
      </c>
      <c r="E14" s="3046">
        <v>5</v>
      </c>
      <c r="F14" s="3048">
        <f>D14*E14</f>
        <v>800</v>
      </c>
      <c r="G14" s="3036">
        <v>2100000</v>
      </c>
      <c r="H14" s="3036"/>
      <c r="I14" s="3039"/>
      <c r="J14" s="3039"/>
      <c r="K14" s="3039"/>
      <c r="L14" s="3039"/>
      <c r="M14" s="3039"/>
      <c r="N14" s="3040">
        <f t="shared" si="0"/>
        <v>2100000</v>
      </c>
      <c r="O14" s="3041">
        <f t="shared" si="1"/>
        <v>2625</v>
      </c>
    </row>
    <row r="15" spans="1:16">
      <c r="A15" s="3044" t="s">
        <v>514</v>
      </c>
      <c r="B15" s="3045">
        <v>2025</v>
      </c>
      <c r="C15" s="3047" t="s">
        <v>2787</v>
      </c>
      <c r="D15" s="3046">
        <v>700</v>
      </c>
      <c r="E15" s="3046"/>
      <c r="F15" s="3048">
        <v>20</v>
      </c>
      <c r="G15" s="3036"/>
      <c r="H15" s="3036"/>
      <c r="I15" s="3039">
        <v>450000</v>
      </c>
      <c r="J15" s="3039"/>
      <c r="K15" s="3039"/>
      <c r="L15" s="3039"/>
      <c r="M15" s="3039"/>
      <c r="N15" s="3040">
        <f t="shared" si="0"/>
        <v>450000</v>
      </c>
      <c r="O15" s="3041">
        <f t="shared" si="1"/>
        <v>22500</v>
      </c>
    </row>
    <row r="16" spans="1:16" ht="23.25">
      <c r="A16" s="3044" t="s">
        <v>2788</v>
      </c>
      <c r="B16" s="3045">
        <v>2025</v>
      </c>
      <c r="C16" s="3049" t="s">
        <v>2789</v>
      </c>
      <c r="D16" s="3046">
        <v>30</v>
      </c>
      <c r="E16" s="3046"/>
      <c r="F16" s="3048">
        <v>35</v>
      </c>
      <c r="G16" s="3036"/>
      <c r="H16" s="3036"/>
      <c r="I16" s="3039"/>
      <c r="J16" s="3039"/>
      <c r="K16" s="3039"/>
      <c r="L16" s="3039">
        <v>110000</v>
      </c>
      <c r="M16" s="3039"/>
      <c r="N16" s="3040">
        <f t="shared" si="0"/>
        <v>110000</v>
      </c>
      <c r="O16" s="3041">
        <f t="shared" si="1"/>
        <v>3142.8571428571427</v>
      </c>
    </row>
    <row r="17" spans="1:16">
      <c r="A17" s="3044" t="s">
        <v>2790</v>
      </c>
      <c r="B17" s="3045">
        <v>2025</v>
      </c>
      <c r="C17" s="3047" t="s">
        <v>2791</v>
      </c>
      <c r="D17" s="3046"/>
      <c r="E17" s="3046"/>
      <c r="F17" s="3048"/>
      <c r="G17" s="3036">
        <v>3600000</v>
      </c>
      <c r="H17" s="3050"/>
      <c r="I17" s="3050"/>
      <c r="J17" s="3050"/>
      <c r="K17" s="3050"/>
      <c r="L17" s="3050"/>
      <c r="M17" s="3050"/>
      <c r="N17" s="3040">
        <f t="shared" si="0"/>
        <v>3600000</v>
      </c>
    </row>
    <row r="18" spans="1:16">
      <c r="A18" s="3044" t="s">
        <v>2792</v>
      </c>
      <c r="B18" s="3045"/>
      <c r="C18" s="3047"/>
      <c r="D18" s="3046"/>
      <c r="E18" s="3046"/>
      <c r="F18" s="3048">
        <v>820</v>
      </c>
      <c r="G18" s="3036"/>
      <c r="H18" s="3050"/>
      <c r="I18" s="3050"/>
      <c r="J18" s="3050"/>
      <c r="K18" s="3050"/>
      <c r="L18" s="3050">
        <v>730000</v>
      </c>
      <c r="M18" s="3050"/>
      <c r="N18" s="3040">
        <f t="shared" si="0"/>
        <v>730000</v>
      </c>
      <c r="O18" s="3041">
        <f t="shared" si="1"/>
        <v>890.2439024390244</v>
      </c>
    </row>
    <row r="19" spans="1:16" ht="23.25">
      <c r="A19" s="3044" t="s">
        <v>2793</v>
      </c>
      <c r="B19" s="3045">
        <v>2025</v>
      </c>
      <c r="C19" s="3049" t="s">
        <v>2794</v>
      </c>
      <c r="D19" s="3046">
        <v>58</v>
      </c>
      <c r="E19" s="3046">
        <v>0.33</v>
      </c>
      <c r="F19" s="3048">
        <f>D19*E19</f>
        <v>19.14</v>
      </c>
      <c r="G19" s="3036"/>
      <c r="H19" s="3050"/>
      <c r="I19" s="3050"/>
      <c r="J19" s="3050"/>
      <c r="K19" s="3050"/>
      <c r="L19" s="3050">
        <v>39500</v>
      </c>
      <c r="M19" s="3050"/>
      <c r="N19" s="3040">
        <f t="shared" si="0"/>
        <v>39500</v>
      </c>
      <c r="O19" s="3041">
        <f t="shared" si="1"/>
        <v>2063.7408568443052</v>
      </c>
    </row>
    <row r="20" spans="1:16">
      <c r="A20" s="3044" t="s">
        <v>2795</v>
      </c>
      <c r="B20" s="3045">
        <v>2025</v>
      </c>
      <c r="C20" s="3049" t="s">
        <v>2796</v>
      </c>
      <c r="D20" s="3046"/>
      <c r="E20" s="3046"/>
      <c r="F20" s="3048">
        <v>104</v>
      </c>
      <c r="G20" s="3036"/>
      <c r="H20" s="3050">
        <v>184840</v>
      </c>
      <c r="I20" s="3050"/>
      <c r="J20" s="3050"/>
      <c r="K20" s="3050"/>
      <c r="L20" s="3050"/>
      <c r="M20" s="3050"/>
      <c r="N20" s="3040">
        <f t="shared" si="0"/>
        <v>184840</v>
      </c>
      <c r="O20" s="3041">
        <f t="shared" si="1"/>
        <v>1777.3076923076924</v>
      </c>
    </row>
    <row r="21" spans="1:16">
      <c r="A21" s="3044" t="s">
        <v>2797</v>
      </c>
      <c r="B21" s="3045">
        <v>2025</v>
      </c>
      <c r="C21" s="3049" t="s">
        <v>2798</v>
      </c>
      <c r="D21" s="3046"/>
      <c r="E21" s="3046"/>
      <c r="F21" s="3048">
        <f>160+35</f>
        <v>195</v>
      </c>
      <c r="G21" s="3036"/>
      <c r="H21" s="3050"/>
      <c r="I21" s="3050"/>
      <c r="J21" s="3050"/>
      <c r="K21" s="3050"/>
      <c r="L21" s="3050"/>
      <c r="M21" s="3050"/>
      <c r="N21" s="3040">
        <v>280000</v>
      </c>
      <c r="O21" s="3041">
        <f t="shared" si="1"/>
        <v>1435.8974358974358</v>
      </c>
    </row>
    <row r="22" spans="1:16">
      <c r="A22" s="3044" t="s">
        <v>2799</v>
      </c>
      <c r="B22" s="3045">
        <v>2025</v>
      </c>
      <c r="C22" s="3047" t="s">
        <v>2800</v>
      </c>
      <c r="D22" s="3046"/>
      <c r="E22" s="3046"/>
      <c r="F22" s="3048">
        <v>170</v>
      </c>
      <c r="G22" s="3036"/>
      <c r="H22" s="3050">
        <f>F22*P22</f>
        <v>297500</v>
      </c>
      <c r="I22" s="3050"/>
      <c r="J22" s="3050"/>
      <c r="K22" s="3050"/>
      <c r="L22" s="3050"/>
      <c r="M22" s="3050"/>
      <c r="N22" s="3040">
        <f t="shared" si="0"/>
        <v>297500</v>
      </c>
      <c r="O22" s="3041">
        <f t="shared" si="1"/>
        <v>1750</v>
      </c>
      <c r="P22" s="3051">
        <v>1750</v>
      </c>
    </row>
    <row r="23" spans="1:16" ht="25.5" customHeight="1">
      <c r="A23" s="3042" t="s">
        <v>2801</v>
      </c>
      <c r="B23" s="3043" t="s">
        <v>2756</v>
      </c>
      <c r="C23" s="3049" t="s">
        <v>2802</v>
      </c>
      <c r="D23" s="3046"/>
      <c r="E23" s="3052"/>
      <c r="F23" s="3048">
        <v>2124</v>
      </c>
      <c r="G23" s="3036">
        <v>2100000</v>
      </c>
      <c r="H23" s="3036">
        <v>2362000</v>
      </c>
      <c r="I23" s="3050"/>
      <c r="J23" s="3050"/>
      <c r="K23" s="3050"/>
      <c r="L23" s="3050"/>
      <c r="M23" s="3050"/>
      <c r="N23" s="3040">
        <f t="shared" si="0"/>
        <v>4462000</v>
      </c>
      <c r="O23" s="3041">
        <f t="shared" si="1"/>
        <v>2100.75329566855</v>
      </c>
    </row>
    <row r="24" spans="1:16" ht="25.5" customHeight="1">
      <c r="A24" s="3042" t="s">
        <v>2803</v>
      </c>
      <c r="B24" s="3043">
        <v>2025</v>
      </c>
      <c r="C24" s="3049"/>
      <c r="D24" s="3046"/>
      <c r="E24" s="3052"/>
      <c r="F24" s="3048"/>
      <c r="G24" s="3036">
        <v>900000</v>
      </c>
      <c r="H24" s="3036"/>
      <c r="I24" s="3050"/>
      <c r="J24" s="3050"/>
      <c r="K24" s="3050"/>
      <c r="L24" s="3050"/>
      <c r="M24" s="3050"/>
      <c r="N24" s="3040">
        <f t="shared" si="0"/>
        <v>900000</v>
      </c>
    </row>
    <row r="25" spans="1:16" ht="25.5" customHeight="1">
      <c r="A25" s="3042" t="s">
        <v>2804</v>
      </c>
      <c r="B25" s="3043">
        <v>2025</v>
      </c>
      <c r="C25" s="3049" t="s">
        <v>2805</v>
      </c>
      <c r="D25" s="3046"/>
      <c r="E25" s="3052"/>
      <c r="F25" s="3048">
        <v>130</v>
      </c>
      <c r="G25" s="3036"/>
      <c r="H25" s="3036"/>
      <c r="I25" s="3050"/>
      <c r="J25" s="3050"/>
      <c r="K25" s="3050"/>
      <c r="L25" s="3050">
        <v>395000</v>
      </c>
      <c r="M25" s="3050"/>
      <c r="N25" s="3040">
        <f t="shared" si="0"/>
        <v>395000</v>
      </c>
      <c r="O25" s="3041">
        <f t="shared" si="1"/>
        <v>3038.4615384615386</v>
      </c>
    </row>
    <row r="26" spans="1:16" ht="13.15">
      <c r="A26" s="3053"/>
    </row>
    <row r="27" spans="1:16" ht="13.15">
      <c r="A27" s="3053"/>
      <c r="C27" s="3055" t="s">
        <v>2806</v>
      </c>
    </row>
    <row r="28" spans="1:16" ht="13.15">
      <c r="A28" s="3053"/>
      <c r="C28" s="640"/>
      <c r="L28" s="3237" t="s">
        <v>599</v>
      </c>
      <c r="M28" s="3237"/>
      <c r="N28" s="3056">
        <f>SUM(N2:N27)</f>
        <v>29926840</v>
      </c>
    </row>
    <row r="29" spans="1:16" ht="13.15">
      <c r="A29" s="3053"/>
      <c r="C29" s="3057" t="s">
        <v>2807</v>
      </c>
    </row>
    <row r="30" spans="1:16" ht="13.15">
      <c r="A30" s="3053"/>
      <c r="C30" s="640"/>
      <c r="L30" s="3238" t="s">
        <v>2808</v>
      </c>
      <c r="M30" s="3239"/>
      <c r="N30" s="3058">
        <f>N22+N19+N18+N14+N11+N10+N5+N15+N21+N25+N24+N23</f>
        <v>16374000</v>
      </c>
    </row>
    <row r="31" spans="1:16" ht="13.15">
      <c r="A31" s="3053"/>
      <c r="C31" s="3059" t="s">
        <v>2809</v>
      </c>
    </row>
    <row r="32" spans="1:16" ht="13.15">
      <c r="A32" s="3053"/>
    </row>
    <row r="33" spans="1:1" ht="13.15">
      <c r="A33" s="3053"/>
    </row>
    <row r="34" spans="1:1" ht="13.15">
      <c r="A34" s="3053"/>
    </row>
    <row r="35" spans="1:1" ht="13.15">
      <c r="A35" s="3053"/>
    </row>
    <row r="36" spans="1:1" ht="13.15">
      <c r="A36" s="3053"/>
    </row>
    <row r="37" spans="1:1" ht="13.15">
      <c r="A37" s="3053"/>
    </row>
    <row r="38" spans="1:1" ht="13.15">
      <c r="A38" s="3053"/>
    </row>
    <row r="39" spans="1:1" ht="13.15">
      <c r="A39" s="3053"/>
    </row>
    <row r="40" spans="1:1" ht="13.15">
      <c r="A40" s="3053"/>
    </row>
    <row r="41" spans="1:1" ht="13.15">
      <c r="A41" s="3053"/>
    </row>
    <row r="42" spans="1:1" ht="13.15">
      <c r="A42" s="3053"/>
    </row>
    <row r="43" spans="1:1" ht="13.15">
      <c r="A43" s="3053"/>
    </row>
    <row r="44" spans="1:1" ht="13.15">
      <c r="A44" s="3053"/>
    </row>
    <row r="45" spans="1:1" ht="13.15">
      <c r="A45" s="3053"/>
    </row>
    <row r="46" spans="1:1" ht="13.15">
      <c r="A46" s="3053"/>
    </row>
    <row r="47" spans="1:1" ht="13.15">
      <c r="A47" s="3053"/>
    </row>
    <row r="48" spans="1:1" ht="13.15">
      <c r="A48" s="3053"/>
    </row>
    <row r="49" spans="1:1" ht="13.15">
      <c r="A49" s="3053"/>
    </row>
    <row r="50" spans="1:1" ht="13.15">
      <c r="A50" s="3053"/>
    </row>
    <row r="51" spans="1:1" ht="13.15">
      <c r="A51" s="3053"/>
    </row>
    <row r="52" spans="1:1" ht="13.15">
      <c r="A52" s="3053"/>
    </row>
    <row r="53" spans="1:1" ht="13.15">
      <c r="A53" s="3053"/>
    </row>
    <row r="54" spans="1:1" ht="13.15">
      <c r="A54" s="3053"/>
    </row>
    <row r="55" spans="1:1" ht="13.15">
      <c r="A55" s="3053"/>
    </row>
    <row r="56" spans="1:1" ht="13.15">
      <c r="A56" s="3053"/>
    </row>
    <row r="57" spans="1:1" ht="13.15">
      <c r="A57" s="3053"/>
    </row>
    <row r="58" spans="1:1" ht="13.15">
      <c r="A58" s="3053"/>
    </row>
    <row r="59" spans="1:1" ht="13.15">
      <c r="A59" s="3053"/>
    </row>
    <row r="60" spans="1:1" ht="13.15">
      <c r="A60" s="3053"/>
    </row>
    <row r="61" spans="1:1" ht="13.15">
      <c r="A61" s="3053"/>
    </row>
    <row r="62" spans="1:1" ht="13.15">
      <c r="A62" s="3053"/>
    </row>
    <row r="63" spans="1:1" ht="13.15">
      <c r="A63" s="3053"/>
    </row>
    <row r="64" spans="1:1" ht="13.15">
      <c r="A64" s="3053"/>
    </row>
    <row r="65" spans="1:1" ht="13.15">
      <c r="A65" s="3053"/>
    </row>
    <row r="66" spans="1:1" ht="13.15">
      <c r="A66" s="3053"/>
    </row>
    <row r="67" spans="1:1" ht="13.15">
      <c r="A67" s="3053"/>
    </row>
    <row r="68" spans="1:1" ht="13.15">
      <c r="A68" s="3053"/>
    </row>
    <row r="69" spans="1:1" ht="13.15">
      <c r="A69" s="3053"/>
    </row>
    <row r="70" spans="1:1" ht="13.15">
      <c r="A70" s="3053"/>
    </row>
    <row r="71" spans="1:1" ht="13.15">
      <c r="A71" s="3053"/>
    </row>
    <row r="72" spans="1:1" ht="13.15">
      <c r="A72" s="3053"/>
    </row>
    <row r="73" spans="1:1" ht="13.15">
      <c r="A73" s="3053"/>
    </row>
    <row r="74" spans="1:1" ht="13.15">
      <c r="A74" s="3053"/>
    </row>
    <row r="75" spans="1:1" ht="13.15">
      <c r="A75" s="3053"/>
    </row>
    <row r="76" spans="1:1" ht="13.15">
      <c r="A76" s="3053"/>
    </row>
    <row r="77" spans="1:1" ht="13.15">
      <c r="A77" s="3053"/>
    </row>
    <row r="78" spans="1:1" ht="13.15">
      <c r="A78" s="3053"/>
    </row>
    <row r="79" spans="1:1" ht="13.15">
      <c r="A79" s="3053"/>
    </row>
    <row r="80" spans="1:1" ht="13.15">
      <c r="A80" s="3053"/>
    </row>
    <row r="81" spans="1:1" ht="13.15">
      <c r="A81" s="3053"/>
    </row>
    <row r="82" spans="1:1" ht="13.15">
      <c r="A82" s="3053"/>
    </row>
    <row r="83" spans="1:1" ht="13.15">
      <c r="A83" s="3053"/>
    </row>
    <row r="84" spans="1:1" ht="13.15">
      <c r="A84" s="3053"/>
    </row>
    <row r="85" spans="1:1" ht="13.15">
      <c r="A85" s="3053"/>
    </row>
    <row r="86" spans="1:1" ht="13.15">
      <c r="A86" s="3053"/>
    </row>
    <row r="87" spans="1:1" ht="13.15">
      <c r="A87" s="3053"/>
    </row>
    <row r="88" spans="1:1" ht="13.15">
      <c r="A88" s="3053"/>
    </row>
    <row r="89" spans="1:1" ht="13.15">
      <c r="A89" s="3053"/>
    </row>
    <row r="90" spans="1:1" ht="13.15">
      <c r="A90" s="3053"/>
    </row>
    <row r="91" spans="1:1" ht="13.15">
      <c r="A91" s="3053"/>
    </row>
    <row r="92" spans="1:1" ht="13.15">
      <c r="A92" s="3053"/>
    </row>
    <row r="93" spans="1:1" ht="13.15">
      <c r="A93" s="3053"/>
    </row>
    <row r="94" spans="1:1" ht="13.15">
      <c r="A94" s="3053"/>
    </row>
    <row r="95" spans="1:1" ht="13.15">
      <c r="A95" s="3053"/>
    </row>
    <row r="96" spans="1:1" ht="13.15">
      <c r="A96" s="3053"/>
    </row>
    <row r="97" spans="1:1" ht="13.15">
      <c r="A97" s="3053"/>
    </row>
    <row r="98" spans="1:1" ht="13.15">
      <c r="A98" s="3053"/>
    </row>
    <row r="99" spans="1:1" ht="13.15">
      <c r="A99" s="3053"/>
    </row>
    <row r="100" spans="1:1" ht="13.15">
      <c r="A100" s="3053"/>
    </row>
    <row r="101" spans="1:1" ht="13.15">
      <c r="A101" s="3053"/>
    </row>
    <row r="102" spans="1:1" ht="13.15">
      <c r="A102" s="3053"/>
    </row>
    <row r="103" spans="1:1" ht="13.15">
      <c r="A103" s="3053"/>
    </row>
    <row r="104" spans="1:1" ht="13.15">
      <c r="A104" s="3053"/>
    </row>
    <row r="105" spans="1:1" ht="13.15">
      <c r="A105" s="3053"/>
    </row>
    <row r="106" spans="1:1" ht="13.15">
      <c r="A106" s="3053"/>
    </row>
    <row r="107" spans="1:1" ht="13.15">
      <c r="A107" s="3053"/>
    </row>
    <row r="108" spans="1:1" ht="13.15">
      <c r="A108" s="3053"/>
    </row>
    <row r="109" spans="1:1" ht="13.15">
      <c r="A109" s="3053"/>
    </row>
    <row r="110" spans="1:1" ht="13.15">
      <c r="A110" s="3053"/>
    </row>
    <row r="111" spans="1:1" ht="13.15">
      <c r="A111" s="3053"/>
    </row>
    <row r="112" spans="1:1" ht="13.15">
      <c r="A112" s="3053"/>
    </row>
    <row r="113" spans="1:1" ht="13.15">
      <c r="A113" s="3053"/>
    </row>
    <row r="114" spans="1:1" ht="13.15">
      <c r="A114" s="3053"/>
    </row>
    <row r="115" spans="1:1" ht="13.15">
      <c r="A115" s="3053"/>
    </row>
    <row r="116" spans="1:1" ht="13.15">
      <c r="A116" s="3053"/>
    </row>
    <row r="117" spans="1:1" ht="13.15">
      <c r="A117" s="3053"/>
    </row>
    <row r="118" spans="1:1" ht="13.15">
      <c r="A118" s="3053"/>
    </row>
    <row r="119" spans="1:1" ht="13.15">
      <c r="A119" s="3053"/>
    </row>
    <row r="120" spans="1:1" ht="13.15">
      <c r="A120" s="3053"/>
    </row>
    <row r="121" spans="1:1" ht="13.15">
      <c r="A121" s="3053"/>
    </row>
    <row r="122" spans="1:1" ht="13.15">
      <c r="A122" s="3053"/>
    </row>
    <row r="123" spans="1:1" ht="13.15">
      <c r="A123" s="3053"/>
    </row>
    <row r="124" spans="1:1" ht="13.15">
      <c r="A124" s="3053"/>
    </row>
    <row r="125" spans="1:1" ht="13.15">
      <c r="A125" s="3053"/>
    </row>
    <row r="126" spans="1:1" ht="13.15">
      <c r="A126" s="3053"/>
    </row>
    <row r="127" spans="1:1" ht="13.15">
      <c r="A127" s="3053"/>
    </row>
    <row r="128" spans="1:1" ht="13.15">
      <c r="A128" s="3053"/>
    </row>
    <row r="129" spans="1:1" ht="13.15">
      <c r="A129" s="3053"/>
    </row>
    <row r="130" spans="1:1" ht="13.15">
      <c r="A130" s="3053"/>
    </row>
    <row r="131" spans="1:1" ht="13.15">
      <c r="A131" s="3053"/>
    </row>
    <row r="132" spans="1:1" ht="13.15">
      <c r="A132" s="3053"/>
    </row>
    <row r="133" spans="1:1" ht="13.15">
      <c r="A133" s="3053"/>
    </row>
    <row r="134" spans="1:1" ht="13.15">
      <c r="A134" s="3053"/>
    </row>
    <row r="135" spans="1:1" ht="13.15">
      <c r="A135" s="3053"/>
    </row>
    <row r="136" spans="1:1" ht="13.15">
      <c r="A136" s="3053"/>
    </row>
    <row r="137" spans="1:1" ht="13.15">
      <c r="A137" s="3053"/>
    </row>
    <row r="138" spans="1:1" ht="13.15">
      <c r="A138" s="3053"/>
    </row>
    <row r="139" spans="1:1" ht="13.15">
      <c r="A139" s="3053"/>
    </row>
    <row r="140" spans="1:1" ht="13.15">
      <c r="A140" s="3053"/>
    </row>
    <row r="141" spans="1:1" ht="13.15">
      <c r="A141" s="3053"/>
    </row>
    <row r="142" spans="1:1" ht="13.15">
      <c r="A142" s="3053"/>
    </row>
    <row r="143" spans="1:1" ht="13.15">
      <c r="A143" s="3053"/>
    </row>
    <row r="144" spans="1:1" ht="13.15">
      <c r="A144" s="3053"/>
    </row>
    <row r="145" spans="1:1" ht="13.15">
      <c r="A145" s="3053"/>
    </row>
    <row r="146" spans="1:1" ht="13.15">
      <c r="A146" s="3053"/>
    </row>
    <row r="147" spans="1:1" ht="13.15">
      <c r="A147" s="3053"/>
    </row>
    <row r="148" spans="1:1" ht="13.15">
      <c r="A148" s="3053"/>
    </row>
    <row r="149" spans="1:1" ht="13.15">
      <c r="A149" s="3053"/>
    </row>
    <row r="150" spans="1:1" ht="13.15">
      <c r="A150" s="3053"/>
    </row>
    <row r="151" spans="1:1" ht="13.15">
      <c r="A151" s="3053"/>
    </row>
    <row r="152" spans="1:1" ht="13.15">
      <c r="A152" s="3053"/>
    </row>
    <row r="153" spans="1:1" ht="13.15">
      <c r="A153" s="3053"/>
    </row>
    <row r="154" spans="1:1" ht="13.15">
      <c r="A154" s="3053"/>
    </row>
    <row r="155" spans="1:1" ht="13.15">
      <c r="A155" s="3053"/>
    </row>
    <row r="156" spans="1:1" ht="13.15">
      <c r="A156" s="3053"/>
    </row>
    <row r="157" spans="1:1" ht="13.15">
      <c r="A157" s="3053"/>
    </row>
    <row r="158" spans="1:1" ht="13.15">
      <c r="A158" s="3053"/>
    </row>
    <row r="159" spans="1:1" ht="13.15">
      <c r="A159" s="3053"/>
    </row>
    <row r="160" spans="1:1" ht="13.15">
      <c r="A160" s="3053"/>
    </row>
    <row r="161" spans="1:1" ht="13.15">
      <c r="A161" s="3053"/>
    </row>
    <row r="162" spans="1:1" ht="13.15">
      <c r="A162" s="3053"/>
    </row>
    <row r="163" spans="1:1" ht="13.15">
      <c r="A163" s="3053"/>
    </row>
    <row r="164" spans="1:1" ht="13.15">
      <c r="A164" s="3053"/>
    </row>
    <row r="165" spans="1:1" ht="13.15">
      <c r="A165" s="3053"/>
    </row>
    <row r="166" spans="1:1" ht="13.15">
      <c r="A166" s="3053"/>
    </row>
    <row r="167" spans="1:1" ht="13.15">
      <c r="A167" s="3053"/>
    </row>
    <row r="168" spans="1:1" ht="13.15">
      <c r="A168" s="3053"/>
    </row>
    <row r="169" spans="1:1" ht="13.15">
      <c r="A169" s="3053"/>
    </row>
    <row r="170" spans="1:1" ht="13.15">
      <c r="A170" s="3053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61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222</v>
      </c>
      <c r="C4" s="586">
        <f>+'Souhrn příjmů a výdajů 2025'!J6</f>
        <v>191588330</v>
      </c>
    </row>
    <row r="5" spans="2:3" ht="13.5" thickBot="1">
      <c r="B5" s="585" t="s">
        <v>224</v>
      </c>
      <c r="C5" s="586">
        <f>'Souhrn příjmů a výdajů 2025'!J30</f>
        <v>30997235</v>
      </c>
    </row>
    <row r="6" spans="2:3" ht="13.5" thickBot="1">
      <c r="B6" s="585" t="s">
        <v>227</v>
      </c>
      <c r="C6" s="586">
        <f>'Souhrn příjmů a výdajů 2025'!J80</f>
        <v>13519038</v>
      </c>
    </row>
    <row r="7" spans="2:3" ht="13.5" thickBot="1">
      <c r="B7" s="585" t="s">
        <v>231</v>
      </c>
      <c r="C7" s="586">
        <f>'Souhrn příjmů a výdajů 2025'!J86</f>
        <v>67601821</v>
      </c>
    </row>
    <row r="8" spans="2:3" ht="13.5" thickBot="1">
      <c r="B8" s="585" t="s">
        <v>233</v>
      </c>
      <c r="C8" s="586">
        <f>'Souhrn příjmů a výdajů 2025'!J116</f>
        <v>131788654</v>
      </c>
    </row>
    <row r="9" spans="2:3">
      <c r="C9" s="9">
        <f>SUM(C4:C8)</f>
        <v>435495078</v>
      </c>
    </row>
    <row r="36" spans="2:3" ht="13.5" thickBot="1">
      <c r="B36" s="587" t="s">
        <v>239</v>
      </c>
      <c r="C36" s="586">
        <f>'Souhrn příjmů a výdajů 2025'!J127</f>
        <v>240125786.9982</v>
      </c>
    </row>
    <row r="37" spans="2:3" ht="13.5" thickBot="1">
      <c r="B37" s="588" t="s">
        <v>242</v>
      </c>
      <c r="C37" s="586">
        <f>'Souhrn příjmů a výdajů 2025'!J176</f>
        <v>169262974</v>
      </c>
    </row>
    <row r="38" spans="2:3" ht="13.5" thickBot="1">
      <c r="B38" s="588" t="s">
        <v>233</v>
      </c>
      <c r="C38" s="586">
        <f>'Souhrn příjmů a výdajů 2025'!J189</f>
        <v>26106317.001800001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J122"/>
  <sheetViews>
    <sheetView workbookViewId="0">
      <selection activeCell="A5" sqref="A5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77" style="316" bestFit="1" customWidth="1"/>
    <col min="4" max="4" width="8.59765625" style="317" bestFit="1" customWidth="1"/>
    <col min="5" max="5" width="16" style="318" hidden="1" customWidth="1"/>
    <col min="6" max="6" width="15.73046875" style="318" hidden="1" customWidth="1"/>
    <col min="7" max="7" width="14" style="318" hidden="1" customWidth="1"/>
    <col min="8" max="8" width="14" style="316" hidden="1" customWidth="1"/>
    <col min="9" max="10" width="13.265625" style="316" bestFit="1" customWidth="1"/>
    <col min="11" max="16384" width="9" style="316"/>
  </cols>
  <sheetData>
    <row r="1" spans="2:10" ht="12" customHeight="1">
      <c r="B1" s="2337" t="s">
        <v>2371</v>
      </c>
      <c r="C1" s="2337"/>
      <c r="D1" s="2338"/>
      <c r="E1" s="2338"/>
      <c r="F1" s="2338"/>
      <c r="G1" s="2338"/>
      <c r="H1" s="2338"/>
      <c r="I1" s="2338"/>
      <c r="J1" s="2338"/>
    </row>
    <row r="2" spans="2:10" ht="12" customHeight="1">
      <c r="B2" s="2341"/>
      <c r="C2" s="2341"/>
      <c r="D2" s="2338"/>
      <c r="E2" s="2338"/>
      <c r="F2" s="2338"/>
      <c r="G2" s="2338"/>
      <c r="H2" s="2338"/>
      <c r="I2" s="2338"/>
      <c r="J2" s="2338"/>
    </row>
    <row r="3" spans="2:10" s="432" customFormat="1" ht="29.65" thickBot="1">
      <c r="B3" s="2344" t="s">
        <v>220</v>
      </c>
      <c r="C3" s="2345"/>
      <c r="D3" s="2346" t="s">
        <v>63</v>
      </c>
      <c r="E3" s="2347" t="s">
        <v>2128</v>
      </c>
      <c r="F3" s="2347" t="s">
        <v>2372</v>
      </c>
      <c r="G3" s="2347" t="s">
        <v>1953</v>
      </c>
      <c r="H3" s="2347" t="s">
        <v>2687</v>
      </c>
      <c r="I3" s="2347" t="s">
        <v>2810</v>
      </c>
      <c r="J3" s="2347" t="s">
        <v>2128</v>
      </c>
    </row>
    <row r="4" spans="2:10" ht="12" customHeight="1" thickBot="1">
      <c r="B4" s="2170"/>
      <c r="C4" s="2170"/>
      <c r="D4" s="2349"/>
      <c r="E4" s="2350"/>
      <c r="F4" s="2350"/>
      <c r="G4" s="2350"/>
      <c r="H4" s="2350"/>
      <c r="I4" s="2350"/>
      <c r="J4" s="2350"/>
    </row>
    <row r="5" spans="2:10" s="432" customFormat="1" ht="15" customHeight="1" thickBot="1">
      <c r="B5" s="2352" t="s">
        <v>221</v>
      </c>
      <c r="C5" s="2353" t="s">
        <v>222</v>
      </c>
      <c r="D5" s="2354"/>
      <c r="E5" s="2355">
        <v>170345711</v>
      </c>
      <c r="F5" s="2355">
        <v>175911229</v>
      </c>
      <c r="G5" s="2355">
        <v>191588330</v>
      </c>
      <c r="H5" s="2355">
        <v>191588330</v>
      </c>
      <c r="I5" s="2355">
        <v>191588330</v>
      </c>
      <c r="J5" s="2356">
        <v>191588330</v>
      </c>
    </row>
    <row r="6" spans="2:10" s="323" customFormat="1" ht="18" customHeight="1" outlineLevel="1" thickTop="1">
      <c r="B6" s="2358"/>
      <c r="C6" s="2359" t="s">
        <v>1150</v>
      </c>
      <c r="D6" s="2360">
        <v>1111</v>
      </c>
      <c r="E6" s="2211">
        <v>24855312</v>
      </c>
      <c r="F6" s="2211">
        <v>27863123</v>
      </c>
      <c r="G6" s="2211">
        <v>27863123</v>
      </c>
      <c r="H6" s="2211">
        <v>27863123</v>
      </c>
      <c r="I6" s="2211">
        <v>27863123</v>
      </c>
      <c r="J6" s="2361">
        <v>27863123</v>
      </c>
    </row>
    <row r="7" spans="2:10" s="323" customFormat="1" ht="18" customHeight="1" outlineLevel="1">
      <c r="B7" s="2358"/>
      <c r="C7" s="2363" t="s">
        <v>1152</v>
      </c>
      <c r="D7" s="2364">
        <v>1112</v>
      </c>
      <c r="E7" s="2221">
        <v>1716548</v>
      </c>
      <c r="F7" s="2221">
        <v>2369138</v>
      </c>
      <c r="G7" s="2221">
        <v>2369138</v>
      </c>
      <c r="H7" s="2221">
        <v>2369138</v>
      </c>
      <c r="I7" s="2221">
        <v>2369138</v>
      </c>
      <c r="J7" s="2365">
        <v>2369138</v>
      </c>
    </row>
    <row r="8" spans="2:10" s="323" customFormat="1" ht="18" customHeight="1" outlineLevel="1">
      <c r="B8" s="2358"/>
      <c r="C8" s="2363" t="s">
        <v>1151</v>
      </c>
      <c r="D8" s="2364">
        <v>1113</v>
      </c>
      <c r="E8" s="2221">
        <v>4953190</v>
      </c>
      <c r="F8" s="2221">
        <v>4995791</v>
      </c>
      <c r="G8" s="2221">
        <v>4995791</v>
      </c>
      <c r="H8" s="2221">
        <v>4995791</v>
      </c>
      <c r="I8" s="2221">
        <v>4995791</v>
      </c>
      <c r="J8" s="2365">
        <v>4995791</v>
      </c>
    </row>
    <row r="9" spans="2:10" s="323" customFormat="1" ht="18" customHeight="1" outlineLevel="1">
      <c r="B9" s="2358"/>
      <c r="C9" s="2363" t="s">
        <v>1153</v>
      </c>
      <c r="D9" s="2364">
        <v>1111</v>
      </c>
      <c r="E9" s="2221">
        <v>771800</v>
      </c>
      <c r="F9" s="2221">
        <v>1094834</v>
      </c>
      <c r="G9" s="2221">
        <v>1094834</v>
      </c>
      <c r="H9" s="2221">
        <v>1094834</v>
      </c>
      <c r="I9" s="2221">
        <v>1094834</v>
      </c>
      <c r="J9" s="2365">
        <v>1094834</v>
      </c>
    </row>
    <row r="10" spans="2:10" s="323" customFormat="1" ht="18" hidden="1" customHeight="1" outlineLevel="1">
      <c r="B10" s="2358"/>
      <c r="C10" s="2363" t="s">
        <v>2355</v>
      </c>
      <c r="D10" s="2364">
        <v>1122</v>
      </c>
      <c r="E10" s="2221">
        <v>2118860</v>
      </c>
      <c r="F10" s="2221"/>
      <c r="G10" s="2221"/>
      <c r="H10" s="2221"/>
      <c r="I10" s="2221"/>
      <c r="J10" s="2365"/>
    </row>
    <row r="11" spans="2:10" s="323" customFormat="1" ht="18" customHeight="1" outlineLevel="1">
      <c r="B11" s="2358"/>
      <c r="C11" s="2363" t="s">
        <v>15</v>
      </c>
      <c r="D11" s="2364">
        <v>1121</v>
      </c>
      <c r="E11" s="2221">
        <v>35922921</v>
      </c>
      <c r="F11" s="2221">
        <v>39502801</v>
      </c>
      <c r="G11" s="2221">
        <v>39502801</v>
      </c>
      <c r="H11" s="2221">
        <v>39502801</v>
      </c>
      <c r="I11" s="2221">
        <v>39502801</v>
      </c>
      <c r="J11" s="2365">
        <v>39502801</v>
      </c>
    </row>
    <row r="12" spans="2:10" ht="18" hidden="1" customHeight="1" outlineLevel="1">
      <c r="B12" s="2358"/>
      <c r="C12" s="2363" t="s">
        <v>16</v>
      </c>
      <c r="D12" s="2364">
        <v>1122</v>
      </c>
      <c r="E12" s="2221">
        <v>80505412</v>
      </c>
      <c r="F12" s="2221"/>
      <c r="G12" s="2221"/>
      <c r="H12" s="2221"/>
      <c r="I12" s="2221"/>
      <c r="J12" s="2365"/>
    </row>
    <row r="13" spans="2:10" s="433" customFormat="1" ht="18" customHeight="1" outlineLevel="1">
      <c r="B13" s="2358"/>
      <c r="C13" s="2363" t="s">
        <v>16</v>
      </c>
      <c r="D13" s="2364">
        <v>1211</v>
      </c>
      <c r="E13" s="2221">
        <v>80505412</v>
      </c>
      <c r="F13" s="2221">
        <v>77563518</v>
      </c>
      <c r="G13" s="2221">
        <v>77563518</v>
      </c>
      <c r="H13" s="2221">
        <v>77563518</v>
      </c>
      <c r="I13" s="2221">
        <v>77563518</v>
      </c>
      <c r="J13" s="2365">
        <v>77563518</v>
      </c>
    </row>
    <row r="14" spans="2:10" ht="18" customHeight="1" outlineLevel="1">
      <c r="B14" s="2366"/>
      <c r="C14" s="2367" t="s">
        <v>1951</v>
      </c>
      <c r="D14" s="2368" t="s">
        <v>17</v>
      </c>
      <c r="E14" s="2283">
        <v>26000</v>
      </c>
      <c r="F14" s="2283">
        <v>26000</v>
      </c>
      <c r="G14" s="2283">
        <v>26000</v>
      </c>
      <c r="H14" s="2283">
        <v>26000</v>
      </c>
      <c r="I14" s="2283">
        <v>26000</v>
      </c>
      <c r="J14" s="2369">
        <v>26000</v>
      </c>
    </row>
    <row r="15" spans="2:10" ht="18" customHeight="1" outlineLevel="1">
      <c r="B15" s="2370"/>
      <c r="C15" s="2371" t="s">
        <v>20</v>
      </c>
      <c r="D15" s="2372" t="s">
        <v>19</v>
      </c>
      <c r="E15" s="2373">
        <v>7326528</v>
      </c>
      <c r="F15" s="2373">
        <v>7924224</v>
      </c>
      <c r="G15" s="2373">
        <v>7924224</v>
      </c>
      <c r="H15" s="2373">
        <v>7924224</v>
      </c>
      <c r="I15" s="2373">
        <v>7924224</v>
      </c>
      <c r="J15" s="2374">
        <v>7924224</v>
      </c>
    </row>
    <row r="16" spans="2:10" ht="18" customHeight="1" outlineLevel="1">
      <c r="B16" s="2366"/>
      <c r="C16" s="2367" t="s">
        <v>21</v>
      </c>
      <c r="D16" s="2368">
        <v>1341</v>
      </c>
      <c r="E16" s="2283">
        <v>260000</v>
      </c>
      <c r="F16" s="2283">
        <v>260000</v>
      </c>
      <c r="G16" s="2283">
        <v>260000</v>
      </c>
      <c r="H16" s="2283">
        <v>260000</v>
      </c>
      <c r="I16" s="2283">
        <v>260000</v>
      </c>
      <c r="J16" s="2369">
        <v>260000</v>
      </c>
    </row>
    <row r="17" spans="2:10" ht="18" customHeight="1" outlineLevel="1">
      <c r="B17" s="2366"/>
      <c r="C17" s="2367" t="s">
        <v>22</v>
      </c>
      <c r="D17" s="2368">
        <v>1343</v>
      </c>
      <c r="E17" s="2283">
        <v>75000</v>
      </c>
      <c r="F17" s="2283">
        <v>75000</v>
      </c>
      <c r="G17" s="2283">
        <v>75000</v>
      </c>
      <c r="H17" s="2283">
        <v>75000</v>
      </c>
      <c r="I17" s="2283">
        <v>75000</v>
      </c>
      <c r="J17" s="2369">
        <v>75000</v>
      </c>
    </row>
    <row r="18" spans="2:10" ht="18" customHeight="1" outlineLevel="1">
      <c r="B18" s="2366"/>
      <c r="C18" s="2367" t="s">
        <v>23</v>
      </c>
      <c r="D18" s="2368">
        <v>1344</v>
      </c>
      <c r="E18" s="2283">
        <v>3000</v>
      </c>
      <c r="F18" s="2283">
        <v>3000</v>
      </c>
      <c r="G18" s="2283">
        <v>3000</v>
      </c>
      <c r="H18" s="2283">
        <v>3000</v>
      </c>
      <c r="I18" s="2283">
        <v>3000</v>
      </c>
      <c r="J18" s="2369">
        <v>3000</v>
      </c>
    </row>
    <row r="19" spans="2:10" s="433" customFormat="1" ht="14.65" outlineLevel="1">
      <c r="B19" s="2366"/>
      <c r="C19" s="2367" t="s">
        <v>24</v>
      </c>
      <c r="D19" s="2368">
        <v>1345</v>
      </c>
      <c r="E19" s="2283">
        <v>20000</v>
      </c>
      <c r="F19" s="2283">
        <v>20000</v>
      </c>
      <c r="G19" s="2283">
        <v>20000</v>
      </c>
      <c r="H19" s="2283">
        <v>20000</v>
      </c>
      <c r="I19" s="2283">
        <v>20000</v>
      </c>
      <c r="J19" s="2369">
        <v>20000</v>
      </c>
    </row>
    <row r="20" spans="2:10" s="433" customFormat="1" ht="14.65" hidden="1" outlineLevel="1">
      <c r="B20" s="2366"/>
      <c r="C20" s="2367" t="s">
        <v>25</v>
      </c>
      <c r="D20" s="2368">
        <v>1347</v>
      </c>
      <c r="E20" s="2283">
        <v>0</v>
      </c>
      <c r="F20" s="2283">
        <v>0</v>
      </c>
      <c r="G20" s="2283">
        <v>0</v>
      </c>
      <c r="H20" s="2283">
        <v>0</v>
      </c>
      <c r="I20" s="2283">
        <v>0</v>
      </c>
      <c r="J20" s="2369">
        <v>0</v>
      </c>
    </row>
    <row r="21" spans="2:10" s="433" customFormat="1" ht="18" customHeight="1" outlineLevel="1">
      <c r="B21" s="2366"/>
      <c r="C21" s="2367" t="s">
        <v>27</v>
      </c>
      <c r="D21" s="2368" t="s">
        <v>26</v>
      </c>
      <c r="E21" s="2283">
        <v>2500000</v>
      </c>
      <c r="F21" s="2283">
        <v>2520000</v>
      </c>
      <c r="G21" s="2283">
        <v>2520000</v>
      </c>
      <c r="H21" s="2283">
        <v>2520000</v>
      </c>
      <c r="I21" s="2283">
        <v>2520000</v>
      </c>
      <c r="J21" s="2369">
        <v>2520000</v>
      </c>
    </row>
    <row r="22" spans="2:10" s="432" customFormat="1" ht="14.65">
      <c r="B22" s="2370"/>
      <c r="C22" s="2376" t="s">
        <v>480</v>
      </c>
      <c r="D22" s="2368" t="s">
        <v>26</v>
      </c>
      <c r="E22" s="2283">
        <v>5000000</v>
      </c>
      <c r="F22" s="2283">
        <v>0</v>
      </c>
      <c r="G22" s="2283">
        <v>13080000</v>
      </c>
      <c r="H22" s="2283">
        <v>13080000</v>
      </c>
      <c r="I22" s="2283">
        <v>13080000</v>
      </c>
      <c r="J22" s="2369">
        <v>13080000</v>
      </c>
    </row>
    <row r="23" spans="2:10" ht="17.25" customHeight="1" outlineLevel="1">
      <c r="B23" s="2370"/>
      <c r="C23" s="2367" t="s">
        <v>30</v>
      </c>
      <c r="D23" s="2368" t="s">
        <v>29</v>
      </c>
      <c r="E23" s="2283">
        <v>1500000</v>
      </c>
      <c r="F23" s="2283">
        <v>500000</v>
      </c>
      <c r="G23" s="2283">
        <v>500000</v>
      </c>
      <c r="H23" s="2283">
        <v>500000</v>
      </c>
      <c r="I23" s="2283">
        <v>500000</v>
      </c>
      <c r="J23" s="2369">
        <v>500000</v>
      </c>
    </row>
    <row r="24" spans="2:10" s="323" customFormat="1" ht="17.25" hidden="1" customHeight="1" outlineLevel="1">
      <c r="B24" s="2366"/>
      <c r="C24" s="2367" t="s">
        <v>28</v>
      </c>
      <c r="D24" s="2368">
        <v>1381</v>
      </c>
      <c r="E24" s="2283">
        <v>1000000</v>
      </c>
      <c r="F24" s="2283">
        <v>0</v>
      </c>
      <c r="G24" s="2283">
        <v>0</v>
      </c>
      <c r="H24" s="2283">
        <v>0</v>
      </c>
      <c r="I24" s="2283">
        <v>0</v>
      </c>
      <c r="J24" s="2369">
        <v>0</v>
      </c>
    </row>
    <row r="25" spans="2:10" s="323" customFormat="1" ht="17.25" hidden="1" customHeight="1" outlineLevel="1">
      <c r="B25" s="2366"/>
      <c r="C25" s="2367" t="s">
        <v>482</v>
      </c>
      <c r="D25" s="2368">
        <v>1385</v>
      </c>
      <c r="E25" s="2283">
        <v>3100000</v>
      </c>
      <c r="F25" s="2283">
        <v>0</v>
      </c>
      <c r="G25" s="2283">
        <v>0</v>
      </c>
      <c r="H25" s="2283">
        <v>0</v>
      </c>
      <c r="I25" s="2283">
        <v>0</v>
      </c>
      <c r="J25" s="2369">
        <v>0</v>
      </c>
    </row>
    <row r="26" spans="2:10" ht="17.25" customHeight="1" outlineLevel="1">
      <c r="B26" s="2370"/>
      <c r="C26" s="2363" t="s">
        <v>31</v>
      </c>
      <c r="D26" s="2364">
        <v>1511</v>
      </c>
      <c r="E26" s="2221">
        <v>7810000</v>
      </c>
      <c r="F26" s="2221">
        <v>11193800</v>
      </c>
      <c r="G26" s="2221">
        <v>13790901</v>
      </c>
      <c r="H26" s="2221">
        <v>13790901</v>
      </c>
      <c r="I26" s="2221">
        <v>13790901</v>
      </c>
      <c r="J26" s="2365">
        <v>13790901</v>
      </c>
    </row>
    <row r="27" spans="2:10" ht="17.25" hidden="1" customHeight="1" outlineLevel="1">
      <c r="B27" s="2370"/>
      <c r="C27" s="2363"/>
      <c r="D27" s="2377"/>
      <c r="E27" s="2252"/>
      <c r="F27" s="2252"/>
      <c r="G27" s="2252"/>
      <c r="H27" s="2252"/>
      <c r="I27" s="2252"/>
      <c r="J27" s="2378"/>
    </row>
    <row r="28" spans="2:10" ht="17.25" hidden="1" customHeight="1" outlineLevel="1">
      <c r="B28" s="2366"/>
      <c r="C28" s="2379"/>
      <c r="D28" s="2380"/>
      <c r="E28" s="2381"/>
      <c r="F28" s="2381"/>
      <c r="G28" s="2381"/>
      <c r="H28" s="2381"/>
      <c r="I28" s="2381"/>
      <c r="J28" s="2382"/>
    </row>
    <row r="29" spans="2:10" ht="17.25" customHeight="1" outlineLevel="1" thickBot="1">
      <c r="B29" s="2383" t="s">
        <v>223</v>
      </c>
      <c r="C29" s="2384" t="s">
        <v>224</v>
      </c>
      <c r="D29" s="2385"/>
      <c r="E29" s="2386">
        <v>28952967</v>
      </c>
      <c r="F29" s="2386">
        <v>28231954</v>
      </c>
      <c r="G29" s="2386">
        <v>30465922</v>
      </c>
      <c r="H29" s="2386">
        <v>30743135</v>
      </c>
      <c r="I29" s="2386">
        <v>30743135</v>
      </c>
      <c r="J29" s="2387">
        <v>30997235</v>
      </c>
    </row>
    <row r="30" spans="2:10" ht="17.25" customHeight="1" outlineLevel="1" thickTop="1">
      <c r="B30" s="2366"/>
      <c r="C30" s="2388" t="s">
        <v>33</v>
      </c>
      <c r="D30" s="2389" t="s">
        <v>32</v>
      </c>
      <c r="E30" s="2390">
        <v>0</v>
      </c>
      <c r="F30" s="2390">
        <v>0</v>
      </c>
      <c r="G30" s="2390">
        <v>0</v>
      </c>
      <c r="H30" s="2390">
        <v>0</v>
      </c>
      <c r="I30" s="2390">
        <v>0</v>
      </c>
      <c r="J30" s="2391">
        <v>0</v>
      </c>
    </row>
    <row r="31" spans="2:10" ht="17.25" customHeight="1" outlineLevel="1">
      <c r="B31" s="2366"/>
      <c r="C31" s="2392" t="s">
        <v>1537</v>
      </c>
      <c r="D31" s="2393">
        <v>2111</v>
      </c>
      <c r="E31" s="2394">
        <v>21950</v>
      </c>
      <c r="F31" s="2394">
        <v>21950</v>
      </c>
      <c r="G31" s="2394">
        <v>21950</v>
      </c>
      <c r="H31" s="2394">
        <v>21950</v>
      </c>
      <c r="I31" s="2394">
        <v>21950</v>
      </c>
      <c r="J31" s="2395">
        <v>21950</v>
      </c>
    </row>
    <row r="32" spans="2:10" ht="17.25" hidden="1" customHeight="1" outlineLevel="1">
      <c r="B32" s="2366"/>
      <c r="C32" s="2392" t="s">
        <v>1538</v>
      </c>
      <c r="D32" s="2393">
        <v>2322</v>
      </c>
      <c r="E32" s="2394">
        <v>0</v>
      </c>
      <c r="F32" s="2394">
        <v>0</v>
      </c>
      <c r="G32" s="2394">
        <v>0</v>
      </c>
      <c r="H32" s="2394">
        <v>0</v>
      </c>
      <c r="I32" s="2394">
        <v>0</v>
      </c>
      <c r="J32" s="2395">
        <v>0</v>
      </c>
    </row>
    <row r="33" spans="2:10" ht="17.25" customHeight="1" outlineLevel="1">
      <c r="B33" s="2358"/>
      <c r="C33" s="2363" t="s">
        <v>41</v>
      </c>
      <c r="D33" s="2364" t="s">
        <v>40</v>
      </c>
      <c r="E33" s="2221">
        <v>4806120</v>
      </c>
      <c r="F33" s="2221">
        <v>4806120</v>
      </c>
      <c r="G33" s="2221">
        <v>4806120</v>
      </c>
      <c r="H33" s="2221">
        <v>4806120</v>
      </c>
      <c r="I33" s="2221">
        <v>4806120</v>
      </c>
      <c r="J33" s="2365">
        <v>4806120</v>
      </c>
    </row>
    <row r="34" spans="2:10" ht="17.25" customHeight="1" outlineLevel="1">
      <c r="B34" s="2358"/>
      <c r="C34" s="2363" t="s">
        <v>43</v>
      </c>
      <c r="D34" s="2364" t="s">
        <v>40</v>
      </c>
      <c r="E34" s="2221">
        <v>8646660</v>
      </c>
      <c r="F34" s="2221">
        <v>8646660</v>
      </c>
      <c r="G34" s="2221">
        <v>8646660</v>
      </c>
      <c r="H34" s="2221">
        <v>8646660</v>
      </c>
      <c r="I34" s="2221">
        <v>8646660</v>
      </c>
      <c r="J34" s="2365">
        <v>8646660</v>
      </c>
    </row>
    <row r="35" spans="2:10" ht="17.25" customHeight="1" outlineLevel="1">
      <c r="B35" s="2366"/>
      <c r="C35" s="2392" t="s">
        <v>45</v>
      </c>
      <c r="D35" s="2393" t="s">
        <v>44</v>
      </c>
      <c r="E35" s="2283">
        <v>50000</v>
      </c>
      <c r="F35" s="2283">
        <v>50000</v>
      </c>
      <c r="G35" s="2283">
        <v>50000</v>
      </c>
      <c r="H35" s="2283">
        <v>50000</v>
      </c>
      <c r="I35" s="2283">
        <v>50000</v>
      </c>
      <c r="J35" s="2395">
        <v>50000</v>
      </c>
    </row>
    <row r="36" spans="2:10" ht="17.25" customHeight="1" outlineLevel="1">
      <c r="B36" s="2366"/>
      <c r="C36" s="2392" t="s">
        <v>46</v>
      </c>
      <c r="D36" s="2393" t="s">
        <v>40</v>
      </c>
      <c r="E36" s="2394">
        <v>249000</v>
      </c>
      <c r="F36" s="2394">
        <v>249000</v>
      </c>
      <c r="G36" s="2394">
        <v>249000</v>
      </c>
      <c r="H36" s="2394">
        <v>249000</v>
      </c>
      <c r="I36" s="2394">
        <v>249000</v>
      </c>
      <c r="J36" s="2395">
        <v>249000</v>
      </c>
    </row>
    <row r="37" spans="2:10" ht="17.25" customHeight="1" outlineLevel="1">
      <c r="B37" s="2366"/>
      <c r="C37" s="2392" t="s">
        <v>47</v>
      </c>
      <c r="D37" s="2393">
        <v>2111</v>
      </c>
      <c r="E37" s="2394">
        <v>50000</v>
      </c>
      <c r="F37" s="2394">
        <v>20000</v>
      </c>
      <c r="G37" s="2394">
        <v>20000</v>
      </c>
      <c r="H37" s="2394">
        <v>20000</v>
      </c>
      <c r="I37" s="2394">
        <v>20000</v>
      </c>
      <c r="J37" s="2395">
        <v>20000</v>
      </c>
    </row>
    <row r="38" spans="2:10" ht="17.25" hidden="1" customHeight="1" outlineLevel="1">
      <c r="B38" s="2366"/>
      <c r="C38" s="2392" t="s">
        <v>1539</v>
      </c>
      <c r="D38" s="2393">
        <v>2321</v>
      </c>
      <c r="E38" s="2394">
        <v>0</v>
      </c>
      <c r="F38" s="2394">
        <v>0</v>
      </c>
      <c r="G38" s="2394">
        <v>0</v>
      </c>
      <c r="H38" s="2394">
        <v>0</v>
      </c>
      <c r="I38" s="2394">
        <v>0</v>
      </c>
      <c r="J38" s="2395">
        <v>0</v>
      </c>
    </row>
    <row r="39" spans="2:10" ht="17.25" customHeight="1" outlineLevel="1">
      <c r="B39" s="2366"/>
      <c r="C39" s="2392" t="s">
        <v>48</v>
      </c>
      <c r="D39" s="2393">
        <v>2111</v>
      </c>
      <c r="E39" s="2394">
        <v>250000</v>
      </c>
      <c r="F39" s="2394">
        <v>250000</v>
      </c>
      <c r="G39" s="2394">
        <v>250000</v>
      </c>
      <c r="H39" s="2394">
        <v>250000</v>
      </c>
      <c r="I39" s="2394">
        <v>250000</v>
      </c>
      <c r="J39" s="2395">
        <v>250000</v>
      </c>
    </row>
    <row r="40" spans="2:10" ht="17.25" customHeight="1" outlineLevel="1">
      <c r="B40" s="2366"/>
      <c r="C40" s="2392" t="s">
        <v>49</v>
      </c>
      <c r="D40" s="2393" t="s">
        <v>44</v>
      </c>
      <c r="E40" s="2394">
        <v>70000</v>
      </c>
      <c r="F40" s="2394">
        <v>70000</v>
      </c>
      <c r="G40" s="2394">
        <v>70000</v>
      </c>
      <c r="H40" s="2394">
        <v>70000</v>
      </c>
      <c r="I40" s="2394">
        <v>70000</v>
      </c>
      <c r="J40" s="2395">
        <v>70000</v>
      </c>
    </row>
    <row r="41" spans="2:10" s="433" customFormat="1" ht="17.25" customHeight="1" outlineLevel="1">
      <c r="B41" s="2366"/>
      <c r="C41" s="2392" t="s">
        <v>50</v>
      </c>
      <c r="D41" s="2393">
        <v>2132</v>
      </c>
      <c r="E41" s="2394">
        <v>660010</v>
      </c>
      <c r="F41" s="2394">
        <v>330005</v>
      </c>
      <c r="G41" s="2394">
        <v>330005</v>
      </c>
      <c r="H41" s="2394">
        <v>330005</v>
      </c>
      <c r="I41" s="2394">
        <v>330005</v>
      </c>
      <c r="J41" s="2395">
        <v>330005</v>
      </c>
    </row>
    <row r="42" spans="2:10" ht="17.25" customHeight="1" outlineLevel="1">
      <c r="B42" s="2366"/>
      <c r="C42" s="2392" t="s">
        <v>2875</v>
      </c>
      <c r="D42" s="2393">
        <v>3121</v>
      </c>
      <c r="E42" s="2394"/>
      <c r="F42" s="2394"/>
      <c r="G42" s="2394"/>
      <c r="H42" s="2394"/>
      <c r="I42" s="2394">
        <v>0</v>
      </c>
      <c r="J42" s="2395">
        <v>254100</v>
      </c>
    </row>
    <row r="43" spans="2:10" ht="17.25" customHeight="1" outlineLevel="1">
      <c r="B43" s="2366"/>
      <c r="C43" s="2392" t="s">
        <v>51</v>
      </c>
      <c r="D43" s="2393">
        <v>2132</v>
      </c>
      <c r="E43" s="2394">
        <v>828800</v>
      </c>
      <c r="F43" s="2394">
        <v>828800</v>
      </c>
      <c r="G43" s="2394">
        <v>983600</v>
      </c>
      <c r="H43" s="2394">
        <v>983600</v>
      </c>
      <c r="I43" s="2394">
        <v>983600</v>
      </c>
      <c r="J43" s="2395">
        <v>983600</v>
      </c>
    </row>
    <row r="44" spans="2:10" ht="17.25" customHeight="1" outlineLevel="1">
      <c r="B44" s="2366"/>
      <c r="C44" s="2392" t="s">
        <v>52</v>
      </c>
      <c r="D44" s="2393">
        <v>2111</v>
      </c>
      <c r="E44" s="2394">
        <v>2950832</v>
      </c>
      <c r="F44" s="2394">
        <v>2950832</v>
      </c>
      <c r="G44" s="2394">
        <v>4230000</v>
      </c>
      <c r="H44" s="2394">
        <v>4230000</v>
      </c>
      <c r="I44" s="2394">
        <v>4230000</v>
      </c>
      <c r="J44" s="2395">
        <v>4230000</v>
      </c>
    </row>
    <row r="45" spans="2:10" ht="17.25" hidden="1" customHeight="1" outlineLevel="1">
      <c r="B45" s="2366"/>
      <c r="C45" s="2392" t="s">
        <v>53</v>
      </c>
      <c r="D45" s="2393">
        <v>2132</v>
      </c>
      <c r="E45" s="2394">
        <v>4800000</v>
      </c>
      <c r="F45" s="2394">
        <v>4800000</v>
      </c>
      <c r="G45" s="2394">
        <v>5600000</v>
      </c>
      <c r="H45" s="2394">
        <v>5801000</v>
      </c>
      <c r="I45" s="2394">
        <v>5801000</v>
      </c>
      <c r="J45" s="2395">
        <v>5801000</v>
      </c>
    </row>
    <row r="46" spans="2:10" ht="17.25" hidden="1" customHeight="1" outlineLevel="1">
      <c r="B46" s="2366"/>
      <c r="C46" s="2392" t="s">
        <v>1540</v>
      </c>
      <c r="D46" s="2393">
        <v>2322</v>
      </c>
      <c r="E46" s="2394">
        <v>0</v>
      </c>
      <c r="F46" s="2394">
        <v>0</v>
      </c>
      <c r="G46" s="2394">
        <v>0</v>
      </c>
      <c r="H46" s="2394">
        <v>0</v>
      </c>
      <c r="I46" s="2394">
        <v>0</v>
      </c>
      <c r="J46" s="2395">
        <v>0</v>
      </c>
    </row>
    <row r="47" spans="2:10" ht="17.25" customHeight="1" outlineLevel="1">
      <c r="B47" s="2366"/>
      <c r="C47" s="2392" t="s">
        <v>1236</v>
      </c>
      <c r="D47" s="2393">
        <v>3122</v>
      </c>
      <c r="E47" s="2394">
        <v>0</v>
      </c>
      <c r="F47" s="2394">
        <v>0</v>
      </c>
      <c r="G47" s="2394">
        <v>0</v>
      </c>
      <c r="H47" s="2394">
        <v>0</v>
      </c>
      <c r="I47" s="2394">
        <v>0</v>
      </c>
      <c r="J47" s="2395">
        <v>0</v>
      </c>
    </row>
    <row r="48" spans="2:10" ht="17.25" customHeight="1" outlineLevel="1">
      <c r="B48" s="2366"/>
      <c r="C48" s="2392" t="s">
        <v>2600</v>
      </c>
      <c r="D48" s="2393">
        <v>2132</v>
      </c>
      <c r="E48" s="2394"/>
      <c r="F48" s="2394">
        <v>231792</v>
      </c>
      <c r="G48" s="2394">
        <v>231792</v>
      </c>
      <c r="H48" s="2394">
        <v>231792</v>
      </c>
      <c r="I48" s="2394">
        <v>231792</v>
      </c>
      <c r="J48" s="2395">
        <v>231792</v>
      </c>
    </row>
    <row r="49" spans="2:10" ht="14.65" outlineLevel="1">
      <c r="B49" s="2366"/>
      <c r="C49" s="2392" t="s">
        <v>54</v>
      </c>
      <c r="D49" s="2393" t="s">
        <v>44</v>
      </c>
      <c r="E49" s="2394">
        <v>81000</v>
      </c>
      <c r="F49" s="2394">
        <v>81000</v>
      </c>
      <c r="G49" s="2394">
        <v>81000</v>
      </c>
      <c r="H49" s="2394">
        <v>81000</v>
      </c>
      <c r="I49" s="2394">
        <v>81000</v>
      </c>
      <c r="J49" s="2395">
        <v>81000</v>
      </c>
    </row>
    <row r="50" spans="2:10" s="432" customFormat="1" ht="14.65">
      <c r="B50" s="2366"/>
      <c r="C50" s="2392" t="s">
        <v>503</v>
      </c>
      <c r="D50" s="2393">
        <v>2132</v>
      </c>
      <c r="E50" s="2394">
        <v>179395</v>
      </c>
      <c r="F50" s="2394">
        <v>179395</v>
      </c>
      <c r="G50" s="2394">
        <v>179395</v>
      </c>
      <c r="H50" s="2394">
        <v>179395</v>
      </c>
      <c r="I50" s="2394">
        <v>179395</v>
      </c>
      <c r="J50" s="2395">
        <v>179395</v>
      </c>
    </row>
    <row r="51" spans="2:10" ht="16.5" customHeight="1" outlineLevel="1">
      <c r="B51" s="2366"/>
      <c r="C51" s="2392" t="s">
        <v>741</v>
      </c>
      <c r="D51" s="2393">
        <v>2111</v>
      </c>
      <c r="E51" s="2394">
        <v>78000</v>
      </c>
      <c r="F51" s="2394">
        <v>78000</v>
      </c>
      <c r="G51" s="2394">
        <v>78000</v>
      </c>
      <c r="H51" s="2394">
        <v>78000</v>
      </c>
      <c r="I51" s="2394">
        <v>78000</v>
      </c>
      <c r="J51" s="2395">
        <v>78000</v>
      </c>
    </row>
    <row r="52" spans="2:10" s="432" customFormat="1" ht="18.75" customHeight="1">
      <c r="B52" s="2366"/>
      <c r="C52" s="2392" t="s">
        <v>55</v>
      </c>
      <c r="D52" s="2393">
        <v>2132</v>
      </c>
      <c r="E52" s="2394">
        <v>400000</v>
      </c>
      <c r="F52" s="2394">
        <v>400000</v>
      </c>
      <c r="G52" s="2394">
        <v>400000</v>
      </c>
      <c r="H52" s="2394">
        <v>400000</v>
      </c>
      <c r="I52" s="2394">
        <v>400000</v>
      </c>
      <c r="J52" s="2395">
        <v>400000</v>
      </c>
    </row>
    <row r="53" spans="2:10" ht="19.5" customHeight="1" outlineLevel="1">
      <c r="B53" s="2366"/>
      <c r="C53" s="2392" t="s">
        <v>488</v>
      </c>
      <c r="D53" s="2393">
        <v>2132</v>
      </c>
      <c r="E53" s="2394">
        <v>1063000</v>
      </c>
      <c r="F53" s="2394">
        <v>1063000</v>
      </c>
      <c r="G53" s="2394">
        <v>1063000</v>
      </c>
      <c r="H53" s="2394">
        <v>1063000</v>
      </c>
      <c r="I53" s="2394">
        <v>1063000</v>
      </c>
      <c r="J53" s="2395">
        <v>1063000</v>
      </c>
    </row>
    <row r="54" spans="2:10" ht="19.5" hidden="1" customHeight="1" outlineLevel="1">
      <c r="B54" s="2370"/>
      <c r="C54" s="2367" t="s">
        <v>56</v>
      </c>
      <c r="D54" s="2368">
        <v>2111</v>
      </c>
      <c r="E54" s="2394">
        <v>250000</v>
      </c>
      <c r="F54" s="2394">
        <v>250000</v>
      </c>
      <c r="G54" s="2394">
        <v>250000</v>
      </c>
      <c r="H54" s="2394">
        <v>250000</v>
      </c>
      <c r="I54" s="2394">
        <v>250000</v>
      </c>
      <c r="J54" s="2395">
        <v>250000</v>
      </c>
    </row>
    <row r="55" spans="2:10" ht="19.5" hidden="1" customHeight="1" outlineLevel="1">
      <c r="B55" s="2370"/>
      <c r="C55" s="2367" t="s">
        <v>1541</v>
      </c>
      <c r="D55" s="2368">
        <v>2321</v>
      </c>
      <c r="E55" s="2394">
        <v>300000</v>
      </c>
      <c r="F55" s="2394">
        <v>0</v>
      </c>
      <c r="G55" s="2394">
        <v>0</v>
      </c>
      <c r="H55" s="2394">
        <v>0</v>
      </c>
      <c r="I55" s="2394">
        <v>0</v>
      </c>
      <c r="J55" s="2395">
        <v>0</v>
      </c>
    </row>
    <row r="56" spans="2:10" ht="19.5" customHeight="1" outlineLevel="1">
      <c r="B56" s="2370"/>
      <c r="C56" s="2367" t="s">
        <v>1540</v>
      </c>
      <c r="D56" s="2368">
        <v>2322</v>
      </c>
      <c r="E56" s="2394">
        <v>0</v>
      </c>
      <c r="F56" s="2394">
        <v>0</v>
      </c>
      <c r="G56" s="2394">
        <v>0</v>
      </c>
      <c r="H56" s="2394">
        <v>0</v>
      </c>
      <c r="I56" s="2394">
        <v>0</v>
      </c>
      <c r="J56" s="2395">
        <v>0</v>
      </c>
    </row>
    <row r="57" spans="2:10" ht="19.5" customHeight="1" outlineLevel="1">
      <c r="B57" s="2366"/>
      <c r="C57" s="2392" t="s">
        <v>964</v>
      </c>
      <c r="D57" s="2393" t="s">
        <v>44</v>
      </c>
      <c r="E57" s="2394">
        <v>1950000</v>
      </c>
      <c r="F57" s="2394">
        <v>1950000</v>
      </c>
      <c r="G57" s="2394">
        <v>1950000</v>
      </c>
      <c r="H57" s="2394">
        <v>1950000</v>
      </c>
      <c r="I57" s="2394">
        <v>1950000</v>
      </c>
      <c r="J57" s="2395">
        <v>1950000</v>
      </c>
    </row>
    <row r="58" spans="2:10" ht="19.5" customHeight="1" outlineLevel="1">
      <c r="B58" s="2366"/>
      <c r="C58" s="2392" t="s">
        <v>477</v>
      </c>
      <c r="D58" s="2393" t="s">
        <v>44</v>
      </c>
      <c r="E58" s="2394">
        <v>600000</v>
      </c>
      <c r="F58" s="2394">
        <v>600000</v>
      </c>
      <c r="G58" s="2394">
        <v>600000</v>
      </c>
      <c r="H58" s="2394">
        <v>600000</v>
      </c>
      <c r="I58" s="2394">
        <v>600000</v>
      </c>
      <c r="J58" s="2395">
        <v>600000</v>
      </c>
    </row>
    <row r="59" spans="2:10" ht="19.5" hidden="1" customHeight="1" outlineLevel="1">
      <c r="B59" s="2366"/>
      <c r="C59" s="2392" t="s">
        <v>742</v>
      </c>
      <c r="D59" s="2393">
        <v>2111</v>
      </c>
      <c r="E59" s="2394">
        <v>20000</v>
      </c>
      <c r="F59" s="2394">
        <v>20000</v>
      </c>
      <c r="G59" s="2394">
        <v>20000</v>
      </c>
      <c r="H59" s="2394">
        <v>20000</v>
      </c>
      <c r="I59" s="2394">
        <v>20000</v>
      </c>
      <c r="J59" s="2395">
        <v>20000</v>
      </c>
    </row>
    <row r="60" spans="2:10" ht="19.5" hidden="1" customHeight="1" outlineLevel="1">
      <c r="B60" s="2366"/>
      <c r="C60" s="2392" t="s">
        <v>2080</v>
      </c>
      <c r="D60" s="2393">
        <v>2324</v>
      </c>
      <c r="E60" s="2394">
        <v>0</v>
      </c>
      <c r="F60" s="2394">
        <v>0</v>
      </c>
      <c r="G60" s="2394">
        <v>0</v>
      </c>
      <c r="H60" s="2394">
        <v>0</v>
      </c>
      <c r="I60" s="2394">
        <v>0</v>
      </c>
      <c r="J60" s="2395">
        <v>0</v>
      </c>
    </row>
    <row r="61" spans="2:10" s="432" customFormat="1" ht="14.65" hidden="1">
      <c r="B61" s="2366"/>
      <c r="C61" s="2392" t="s">
        <v>1512</v>
      </c>
      <c r="D61" s="2393">
        <v>2321</v>
      </c>
      <c r="E61" s="2394">
        <v>0</v>
      </c>
      <c r="F61" s="2394">
        <v>0</v>
      </c>
      <c r="G61" s="2394">
        <v>0</v>
      </c>
      <c r="H61" s="2394">
        <v>0</v>
      </c>
      <c r="I61" s="2394">
        <v>0</v>
      </c>
      <c r="J61" s="2395">
        <v>0</v>
      </c>
    </row>
    <row r="62" spans="2:10" ht="17.25" customHeight="1">
      <c r="B62" s="2366"/>
      <c r="C62" s="2392" t="s">
        <v>2123</v>
      </c>
      <c r="D62" s="2393">
        <v>2324</v>
      </c>
      <c r="E62" s="2394">
        <v>292800</v>
      </c>
      <c r="F62" s="2394">
        <v>0</v>
      </c>
      <c r="G62" s="2394">
        <v>0</v>
      </c>
      <c r="H62" s="2394">
        <v>0</v>
      </c>
      <c r="I62" s="2394">
        <v>0</v>
      </c>
      <c r="J62" s="2395">
        <v>0</v>
      </c>
    </row>
    <row r="63" spans="2:10" ht="17.25" customHeight="1">
      <c r="B63" s="2366"/>
      <c r="C63" s="2392" t="s">
        <v>743</v>
      </c>
      <c r="D63" s="2393">
        <v>2132</v>
      </c>
      <c r="E63" s="2394">
        <v>24000</v>
      </c>
      <c r="F63" s="2394">
        <v>24000</v>
      </c>
      <c r="G63" s="2394">
        <v>24000</v>
      </c>
      <c r="H63" s="2394">
        <v>24000</v>
      </c>
      <c r="I63" s="2394">
        <v>24000</v>
      </c>
      <c r="J63" s="2395">
        <v>24000</v>
      </c>
    </row>
    <row r="64" spans="2:10" ht="14.65" hidden="1">
      <c r="B64" s="2366"/>
      <c r="C64" s="2392" t="s">
        <v>57</v>
      </c>
      <c r="D64" s="2393">
        <v>2111</v>
      </c>
      <c r="E64" s="2394">
        <v>17000</v>
      </c>
      <c r="F64" s="2394">
        <v>17000</v>
      </c>
      <c r="G64" s="2394">
        <v>17000</v>
      </c>
      <c r="H64" s="2394">
        <v>17000</v>
      </c>
      <c r="I64" s="2394">
        <v>17000</v>
      </c>
      <c r="J64" s="2395">
        <v>17000</v>
      </c>
    </row>
    <row r="65" spans="2:10" ht="14.65" hidden="1">
      <c r="B65" s="2366"/>
      <c r="C65" s="2392" t="s">
        <v>1237</v>
      </c>
      <c r="D65" s="2393">
        <v>2111</v>
      </c>
      <c r="E65" s="2394">
        <v>0</v>
      </c>
      <c r="F65" s="2394">
        <v>0</v>
      </c>
      <c r="G65" s="2394">
        <v>0</v>
      </c>
      <c r="H65" s="2394">
        <v>0</v>
      </c>
      <c r="I65" s="2394">
        <v>0</v>
      </c>
      <c r="J65" s="2395">
        <v>0</v>
      </c>
    </row>
    <row r="66" spans="2:10" s="432" customFormat="1" ht="14.65" hidden="1">
      <c r="B66" s="2366"/>
      <c r="C66" s="2392" t="s">
        <v>1943</v>
      </c>
      <c r="D66" s="2393">
        <v>2324</v>
      </c>
      <c r="E66" s="2394"/>
      <c r="F66" s="2394"/>
      <c r="G66" s="2394"/>
      <c r="H66" s="2394"/>
      <c r="I66" s="2394"/>
      <c r="J66" s="2395"/>
    </row>
    <row r="67" spans="2:10" ht="14.65" hidden="1">
      <c r="B67" s="2366"/>
      <c r="C67" s="2392" t="s">
        <v>553</v>
      </c>
      <c r="D67" s="2393">
        <v>2322</v>
      </c>
      <c r="E67" s="2394">
        <v>0</v>
      </c>
      <c r="F67" s="2394">
        <v>0</v>
      </c>
      <c r="G67" s="2394">
        <v>0</v>
      </c>
      <c r="H67" s="2394">
        <v>0</v>
      </c>
      <c r="I67" s="2394">
        <v>0</v>
      </c>
      <c r="J67" s="2395">
        <v>0</v>
      </c>
    </row>
    <row r="68" spans="2:10" ht="14.65" hidden="1">
      <c r="B68" s="2366"/>
      <c r="C68" s="2392" t="s">
        <v>1238</v>
      </c>
      <c r="D68" s="2393">
        <v>2321</v>
      </c>
      <c r="E68" s="2394">
        <v>0</v>
      </c>
      <c r="F68" s="2394">
        <v>0</v>
      </c>
      <c r="G68" s="2394">
        <v>0</v>
      </c>
      <c r="H68" s="2394">
        <v>0</v>
      </c>
      <c r="I68" s="2394">
        <v>0</v>
      </c>
      <c r="J68" s="2395">
        <v>0</v>
      </c>
    </row>
    <row r="69" spans="2:10" ht="14.65" hidden="1">
      <c r="B69" s="2366"/>
      <c r="C69" s="2392" t="s">
        <v>553</v>
      </c>
      <c r="D69" s="2393">
        <v>2322</v>
      </c>
      <c r="E69" s="2394">
        <v>0</v>
      </c>
      <c r="F69" s="2394">
        <v>0</v>
      </c>
      <c r="G69" s="2394">
        <v>0</v>
      </c>
      <c r="H69" s="2394">
        <v>0</v>
      </c>
      <c r="I69" s="2394">
        <v>0</v>
      </c>
      <c r="J69" s="2395">
        <v>0</v>
      </c>
    </row>
    <row r="70" spans="2:10" ht="14.65" hidden="1">
      <c r="B70" s="2366"/>
      <c r="C70" s="2392" t="s">
        <v>553</v>
      </c>
      <c r="D70" s="2393">
        <v>2322</v>
      </c>
      <c r="E70" s="2394">
        <v>0</v>
      </c>
      <c r="F70" s="2394">
        <v>0</v>
      </c>
      <c r="G70" s="2394">
        <v>0</v>
      </c>
      <c r="H70" s="2394">
        <v>0</v>
      </c>
      <c r="I70" s="2394">
        <v>0</v>
      </c>
      <c r="J70" s="2395">
        <v>0</v>
      </c>
    </row>
    <row r="71" spans="2:10" ht="14.65" hidden="1">
      <c r="B71" s="2366"/>
      <c r="C71" s="2392" t="s">
        <v>1239</v>
      </c>
      <c r="D71" s="2393">
        <v>2212</v>
      </c>
      <c r="E71" s="2394">
        <v>0</v>
      </c>
      <c r="F71" s="2394">
        <v>0</v>
      </c>
      <c r="G71" s="2394">
        <v>0</v>
      </c>
      <c r="H71" s="2394">
        <v>0</v>
      </c>
      <c r="I71" s="2394">
        <v>0</v>
      </c>
      <c r="J71" s="2395">
        <v>0</v>
      </c>
    </row>
    <row r="72" spans="2:10" ht="14.65" hidden="1">
      <c r="B72" s="2366"/>
      <c r="C72" s="2392" t="s">
        <v>225</v>
      </c>
      <c r="D72" s="2393">
        <v>2322</v>
      </c>
      <c r="E72" s="2394">
        <v>0</v>
      </c>
      <c r="F72" s="2394">
        <v>0</v>
      </c>
      <c r="G72" s="2394">
        <v>0</v>
      </c>
      <c r="H72" s="2394">
        <v>0</v>
      </c>
      <c r="I72" s="2394">
        <v>0</v>
      </c>
      <c r="J72" s="2395">
        <v>0</v>
      </c>
    </row>
    <row r="73" spans="2:10" ht="14.65">
      <c r="B73" s="2366"/>
      <c r="C73" s="2392" t="s">
        <v>1240</v>
      </c>
      <c r="D73" s="2393">
        <v>2212</v>
      </c>
      <c r="E73" s="2394">
        <v>0</v>
      </c>
      <c r="F73" s="2394">
        <v>0</v>
      </c>
      <c r="G73" s="2394">
        <v>0</v>
      </c>
      <c r="H73" s="2394">
        <v>0</v>
      </c>
      <c r="I73" s="2394">
        <v>0</v>
      </c>
      <c r="J73" s="2395">
        <v>0</v>
      </c>
    </row>
    <row r="74" spans="2:10" ht="14.65">
      <c r="B74" s="2366"/>
      <c r="C74" s="2392" t="s">
        <v>744</v>
      </c>
      <c r="D74" s="2393">
        <v>2141</v>
      </c>
      <c r="E74" s="2394">
        <v>10000</v>
      </c>
      <c r="F74" s="2394">
        <v>10000</v>
      </c>
      <c r="G74" s="2394">
        <v>10000</v>
      </c>
      <c r="H74" s="2394">
        <v>10000</v>
      </c>
      <c r="I74" s="2394">
        <v>10000</v>
      </c>
      <c r="J74" s="2395">
        <v>10000</v>
      </c>
    </row>
    <row r="75" spans="2:10" ht="14.65">
      <c r="B75" s="2366"/>
      <c r="C75" s="2392" t="s">
        <v>483</v>
      </c>
      <c r="D75" s="2393">
        <v>2132</v>
      </c>
      <c r="E75" s="2394">
        <v>4400</v>
      </c>
      <c r="F75" s="2394">
        <v>4400</v>
      </c>
      <c r="G75" s="2394">
        <v>4400</v>
      </c>
      <c r="H75" s="2394">
        <v>4400</v>
      </c>
      <c r="I75" s="2394">
        <v>4400</v>
      </c>
      <c r="J75" s="2395">
        <v>4400</v>
      </c>
    </row>
    <row r="76" spans="2:10" ht="14.65">
      <c r="B76" s="2366"/>
      <c r="C76" s="2392" t="s">
        <v>745</v>
      </c>
      <c r="D76" s="2393">
        <v>2119</v>
      </c>
      <c r="E76" s="2394">
        <v>300000</v>
      </c>
      <c r="F76" s="2394">
        <v>300000</v>
      </c>
      <c r="G76" s="2394">
        <v>300000</v>
      </c>
      <c r="H76" s="2394">
        <v>376213</v>
      </c>
      <c r="I76" s="2394">
        <v>376213</v>
      </c>
      <c r="J76" s="2395">
        <v>376213</v>
      </c>
    </row>
    <row r="77" spans="2:10" ht="14.65" hidden="1">
      <c r="B77" s="2366"/>
      <c r="C77" s="2396" t="s">
        <v>61</v>
      </c>
      <c r="D77" s="2380" t="s">
        <v>44</v>
      </c>
      <c r="E77" s="2394">
        <v>0</v>
      </c>
      <c r="F77" s="2394">
        <v>0</v>
      </c>
      <c r="G77" s="2394">
        <v>0</v>
      </c>
      <c r="H77" s="2394">
        <v>0</v>
      </c>
      <c r="I77" s="2394">
        <v>0</v>
      </c>
      <c r="J77" s="2395">
        <v>0</v>
      </c>
    </row>
    <row r="78" spans="2:10" ht="14.65">
      <c r="B78" s="2366"/>
      <c r="C78" s="2379"/>
      <c r="D78" s="2380"/>
      <c r="E78" s="2381"/>
      <c r="F78" s="2381"/>
      <c r="G78" s="2381"/>
      <c r="H78" s="2381"/>
      <c r="I78" s="2381"/>
      <c r="J78" s="2382"/>
    </row>
    <row r="79" spans="2:10" ht="15" thickBot="1">
      <c r="B79" s="2383" t="s">
        <v>226</v>
      </c>
      <c r="C79" s="2384" t="s">
        <v>227</v>
      </c>
      <c r="D79" s="2385"/>
      <c r="E79" s="2386">
        <v>65000</v>
      </c>
      <c r="F79" s="2386">
        <v>65000</v>
      </c>
      <c r="G79" s="2386">
        <v>65000</v>
      </c>
      <c r="H79" s="2386">
        <v>123478</v>
      </c>
      <c r="I79" s="2386">
        <v>123478</v>
      </c>
      <c r="J79" s="2387">
        <v>13519038</v>
      </c>
    </row>
    <row r="80" spans="2:10" ht="15" hidden="1" thickTop="1">
      <c r="B80" s="2366"/>
      <c r="C80" s="2388" t="s">
        <v>228</v>
      </c>
      <c r="D80" s="2389">
        <v>3111</v>
      </c>
      <c r="E80" s="2390">
        <v>0</v>
      </c>
      <c r="F80" s="2390">
        <v>0</v>
      </c>
      <c r="G80" s="2390">
        <v>0</v>
      </c>
      <c r="H80" s="2390">
        <v>0</v>
      </c>
      <c r="I80" s="2390">
        <v>0</v>
      </c>
      <c r="J80" s="2391">
        <v>0</v>
      </c>
    </row>
    <row r="81" spans="2:10" ht="15" thickTop="1">
      <c r="B81" s="2397"/>
      <c r="C81" s="2398" t="s">
        <v>2601</v>
      </c>
      <c r="D81" s="2399">
        <v>3111</v>
      </c>
      <c r="E81" s="2400"/>
      <c r="F81" s="2400"/>
      <c r="G81" s="2400"/>
      <c r="H81" s="2400"/>
      <c r="I81" s="2400"/>
      <c r="J81" s="2401">
        <v>13395560</v>
      </c>
    </row>
    <row r="82" spans="2:10" ht="14.65">
      <c r="B82" s="2366"/>
      <c r="C82" s="2392" t="s">
        <v>59</v>
      </c>
      <c r="D82" s="2393" t="s">
        <v>58</v>
      </c>
      <c r="E82" s="2394">
        <v>65000</v>
      </c>
      <c r="F82" s="2394">
        <v>65000</v>
      </c>
      <c r="G82" s="2394">
        <v>65000</v>
      </c>
      <c r="H82" s="2394">
        <v>123478</v>
      </c>
      <c r="I82" s="2394">
        <v>123478</v>
      </c>
      <c r="J82" s="2395">
        <v>123478</v>
      </c>
    </row>
    <row r="83" spans="2:10" ht="14.65" hidden="1">
      <c r="B83" s="2366"/>
      <c r="C83" s="2392" t="s">
        <v>229</v>
      </c>
      <c r="D83" s="2393">
        <v>2132</v>
      </c>
      <c r="E83" s="2394"/>
      <c r="F83" s="2394"/>
      <c r="G83" s="2394"/>
      <c r="H83" s="2394"/>
      <c r="I83" s="2394"/>
      <c r="J83" s="2395"/>
    </row>
    <row r="84" spans="2:10" ht="14.65">
      <c r="B84" s="2366"/>
      <c r="C84" s="2392"/>
      <c r="D84" s="2380"/>
      <c r="E84" s="2381"/>
      <c r="F84" s="2381"/>
      <c r="G84" s="2381"/>
      <c r="H84" s="2381"/>
      <c r="I84" s="2381"/>
      <c r="J84" s="2382"/>
    </row>
    <row r="85" spans="2:10" ht="15" hidden="1" thickBot="1">
      <c r="B85" s="2383" t="s">
        <v>230</v>
      </c>
      <c r="C85" s="2384" t="s">
        <v>231</v>
      </c>
      <c r="D85" s="2385"/>
      <c r="E85" s="2386">
        <v>29768876</v>
      </c>
      <c r="F85" s="2386">
        <v>78786021</v>
      </c>
      <c r="G85" s="2386">
        <v>78600821</v>
      </c>
      <c r="H85" s="2386">
        <v>78600821</v>
      </c>
      <c r="I85" s="2386">
        <v>78600821</v>
      </c>
      <c r="J85" s="2387">
        <v>67601821</v>
      </c>
    </row>
    <row r="86" spans="2:10" ht="14.65" hidden="1">
      <c r="B86" s="2366"/>
      <c r="C86" s="2392" t="s">
        <v>2106</v>
      </c>
      <c r="D86" s="2393">
        <v>4111</v>
      </c>
      <c r="E86" s="2394">
        <v>130800</v>
      </c>
      <c r="F86" s="2394">
        <v>0</v>
      </c>
      <c r="G86" s="2394">
        <v>0</v>
      </c>
      <c r="H86" s="2394">
        <v>0</v>
      </c>
      <c r="I86" s="2394">
        <v>0</v>
      </c>
      <c r="J86" s="2395">
        <v>0</v>
      </c>
    </row>
    <row r="87" spans="2:10" ht="14.65" hidden="1">
      <c r="B87" s="2366"/>
      <c r="C87" s="2392" t="s">
        <v>674</v>
      </c>
      <c r="D87" s="2393">
        <v>4116</v>
      </c>
      <c r="E87" s="2394">
        <v>60000</v>
      </c>
      <c r="F87" s="2394">
        <v>0</v>
      </c>
      <c r="G87" s="2394">
        <v>0</v>
      </c>
      <c r="H87" s="2394">
        <v>0</v>
      </c>
      <c r="I87" s="2394">
        <v>0</v>
      </c>
      <c r="J87" s="2395">
        <v>0</v>
      </c>
    </row>
    <row r="88" spans="2:10" ht="14.65" hidden="1">
      <c r="B88" s="2366"/>
      <c r="C88" s="2392" t="s">
        <v>2121</v>
      </c>
      <c r="D88" s="2389">
        <v>4121</v>
      </c>
      <c r="E88" s="2390">
        <v>0</v>
      </c>
      <c r="F88" s="2390">
        <v>0</v>
      </c>
      <c r="G88" s="2390">
        <v>0</v>
      </c>
      <c r="H88" s="2390">
        <v>0</v>
      </c>
      <c r="I88" s="2390">
        <v>0</v>
      </c>
      <c r="J88" s="2391">
        <v>0</v>
      </c>
    </row>
    <row r="89" spans="2:10" ht="14.65" hidden="1">
      <c r="B89" s="2366"/>
      <c r="C89" s="2402" t="s">
        <v>2081</v>
      </c>
      <c r="D89" s="2389" t="s">
        <v>34</v>
      </c>
      <c r="E89" s="2390"/>
      <c r="F89" s="2390"/>
      <c r="G89" s="2390"/>
      <c r="H89" s="2390"/>
      <c r="I89" s="2390"/>
      <c r="J89" s="2391"/>
    </row>
    <row r="90" spans="2:10" ht="14.65" hidden="1">
      <c r="B90" s="2366"/>
      <c r="C90" s="2392" t="s">
        <v>2082</v>
      </c>
      <c r="D90" s="2393">
        <v>4121</v>
      </c>
      <c r="E90" s="2394"/>
      <c r="F90" s="2394"/>
      <c r="G90" s="2394"/>
      <c r="H90" s="2394"/>
      <c r="I90" s="2394"/>
      <c r="J90" s="2395"/>
    </row>
    <row r="91" spans="2:10" ht="14.65" hidden="1">
      <c r="B91" s="2366"/>
      <c r="C91" s="2402" t="s">
        <v>2083</v>
      </c>
      <c r="D91" s="2389">
        <v>4121</v>
      </c>
      <c r="E91" s="2390"/>
      <c r="F91" s="2390"/>
      <c r="G91" s="2390"/>
      <c r="H91" s="2390"/>
      <c r="I91" s="2390"/>
      <c r="J91" s="2391"/>
    </row>
    <row r="92" spans="2:10" ht="14.65">
      <c r="B92" s="2366"/>
      <c r="C92" s="2402" t="s">
        <v>2084</v>
      </c>
      <c r="D92" s="2389">
        <v>4122</v>
      </c>
      <c r="E92" s="2390"/>
      <c r="F92" s="2390"/>
      <c r="G92" s="2390"/>
      <c r="H92" s="2390"/>
      <c r="I92" s="2390"/>
      <c r="J92" s="2391"/>
    </row>
    <row r="93" spans="2:10" ht="14.65" hidden="1">
      <c r="B93" s="2366"/>
      <c r="C93" s="2402" t="s">
        <v>35</v>
      </c>
      <c r="D93" s="2389">
        <v>4112</v>
      </c>
      <c r="E93" s="2390">
        <v>10108300</v>
      </c>
      <c r="F93" s="2390">
        <v>10108300</v>
      </c>
      <c r="G93" s="2390">
        <v>10095200</v>
      </c>
      <c r="H93" s="2390">
        <v>10095200</v>
      </c>
      <c r="I93" s="2390">
        <v>10095200</v>
      </c>
      <c r="J93" s="2391">
        <v>10095200</v>
      </c>
    </row>
    <row r="94" spans="2:10" ht="14.65">
      <c r="B94" s="2366"/>
      <c r="C94" s="2402" t="s">
        <v>2088</v>
      </c>
      <c r="D94" s="2389">
        <v>4222</v>
      </c>
      <c r="E94" s="2390"/>
      <c r="F94" s="2390"/>
      <c r="G94" s="2390"/>
      <c r="H94" s="2390"/>
      <c r="I94" s="2390"/>
      <c r="J94" s="2391"/>
    </row>
    <row r="95" spans="2:10" ht="14.65" hidden="1">
      <c r="B95" s="2366"/>
      <c r="C95" s="2402" t="s">
        <v>2130</v>
      </c>
      <c r="D95" s="2389">
        <v>4216</v>
      </c>
      <c r="E95" s="2390"/>
      <c r="F95" s="2390">
        <v>30398511</v>
      </c>
      <c r="G95" s="2390">
        <v>30398511</v>
      </c>
      <c r="H95" s="2390">
        <v>30398511</v>
      </c>
      <c r="I95" s="2390">
        <v>30398511</v>
      </c>
      <c r="J95" s="2391">
        <v>30398511</v>
      </c>
    </row>
    <row r="96" spans="2:10" ht="14.65" hidden="1">
      <c r="B96" s="2366"/>
      <c r="C96" s="2402" t="s">
        <v>2085</v>
      </c>
      <c r="D96" s="2389" t="s">
        <v>36</v>
      </c>
      <c r="E96" s="2394"/>
      <c r="F96" s="2394"/>
      <c r="G96" s="2394"/>
      <c r="H96" s="2394"/>
      <c r="I96" s="2394"/>
      <c r="J96" s="2395"/>
    </row>
    <row r="97" spans="2:10" ht="14.65" hidden="1">
      <c r="B97" s="2366"/>
      <c r="C97" s="2402" t="s">
        <v>2086</v>
      </c>
      <c r="D97" s="2389">
        <v>4216</v>
      </c>
      <c r="E97" s="2394"/>
      <c r="F97" s="2394"/>
      <c r="G97" s="2394"/>
      <c r="H97" s="2394"/>
      <c r="I97" s="2394"/>
      <c r="J97" s="2395"/>
    </row>
    <row r="98" spans="2:10" ht="14.65">
      <c r="B98" s="2366"/>
      <c r="C98" s="2392" t="s">
        <v>1932</v>
      </c>
      <c r="D98" s="2393">
        <v>4117</v>
      </c>
      <c r="E98" s="2394"/>
      <c r="F98" s="2394"/>
      <c r="G98" s="2394"/>
      <c r="H98" s="2394"/>
      <c r="I98" s="2394"/>
      <c r="J98" s="2395"/>
    </row>
    <row r="99" spans="2:10" ht="14.65">
      <c r="B99" s="2366"/>
      <c r="C99" s="2392" t="s">
        <v>349</v>
      </c>
      <c r="D99" s="2393">
        <v>4121</v>
      </c>
      <c r="E99" s="2394">
        <v>400000</v>
      </c>
      <c r="F99" s="2394">
        <v>100000</v>
      </c>
      <c r="G99" s="2394">
        <v>100000</v>
      </c>
      <c r="H99" s="2394">
        <v>100000</v>
      </c>
      <c r="I99" s="2394">
        <v>100000</v>
      </c>
      <c r="J99" s="2395">
        <v>100000</v>
      </c>
    </row>
    <row r="100" spans="2:10" ht="14.65" hidden="1">
      <c r="B100" s="2366"/>
      <c r="C100" s="2392" t="s">
        <v>350</v>
      </c>
      <c r="D100" s="2393">
        <v>4121</v>
      </c>
      <c r="E100" s="2394">
        <v>898400</v>
      </c>
      <c r="F100" s="2394">
        <v>2229000</v>
      </c>
      <c r="G100" s="2394">
        <v>2229000</v>
      </c>
      <c r="H100" s="2394">
        <v>2229000</v>
      </c>
      <c r="I100" s="2394">
        <v>2229000</v>
      </c>
      <c r="J100" s="2395">
        <v>2229000</v>
      </c>
    </row>
    <row r="101" spans="2:10" ht="14.65" hidden="1">
      <c r="B101" s="2366"/>
      <c r="C101" s="2392" t="s">
        <v>962</v>
      </c>
      <c r="D101" s="2393">
        <v>4216</v>
      </c>
      <c r="E101" s="2394">
        <v>0</v>
      </c>
      <c r="F101" s="2394">
        <v>0</v>
      </c>
      <c r="G101" s="2394">
        <v>0</v>
      </c>
      <c r="H101" s="2394">
        <v>0</v>
      </c>
      <c r="I101" s="2394">
        <v>0</v>
      </c>
      <c r="J101" s="2395">
        <v>0</v>
      </c>
    </row>
    <row r="102" spans="2:10" ht="14.65" hidden="1">
      <c r="B102" s="2366"/>
      <c r="C102" s="2402" t="s">
        <v>2087</v>
      </c>
      <c r="D102" s="2389">
        <v>4216</v>
      </c>
      <c r="E102" s="2394">
        <v>0</v>
      </c>
      <c r="F102" s="2394">
        <v>0</v>
      </c>
      <c r="G102" s="2394">
        <v>0</v>
      </c>
      <c r="H102" s="2394">
        <v>0</v>
      </c>
      <c r="I102" s="2394">
        <v>0</v>
      </c>
      <c r="J102" s="2395">
        <v>0</v>
      </c>
    </row>
    <row r="103" spans="2:10" ht="14.65">
      <c r="B103" s="2366"/>
      <c r="C103" s="2392" t="s">
        <v>1243</v>
      </c>
      <c r="D103" s="2393">
        <v>4222</v>
      </c>
      <c r="E103" s="2394">
        <v>0</v>
      </c>
      <c r="F103" s="2394">
        <v>0</v>
      </c>
      <c r="G103" s="2394">
        <v>0</v>
      </c>
      <c r="H103" s="2394">
        <v>0</v>
      </c>
      <c r="I103" s="2394">
        <v>0</v>
      </c>
      <c r="J103" s="2395">
        <v>0</v>
      </c>
    </row>
    <row r="104" spans="2:10" ht="14.65" hidden="1">
      <c r="B104" s="2366"/>
      <c r="C104" s="2392" t="s">
        <v>2325</v>
      </c>
      <c r="D104" s="2393">
        <v>4216</v>
      </c>
      <c r="E104" s="2394"/>
      <c r="F104" s="2394">
        <v>15000</v>
      </c>
      <c r="G104" s="2394">
        <v>15000</v>
      </c>
      <c r="H104" s="2394">
        <v>15000</v>
      </c>
      <c r="I104" s="2394">
        <v>15000</v>
      </c>
      <c r="J104" s="2395">
        <v>15000</v>
      </c>
    </row>
    <row r="105" spans="2:10" ht="14.65">
      <c r="B105" s="2366"/>
      <c r="C105" s="2392" t="s">
        <v>1941</v>
      </c>
      <c r="D105" s="2393">
        <v>4216</v>
      </c>
      <c r="E105" s="2394">
        <v>15505276</v>
      </c>
      <c r="F105" s="2394">
        <v>0</v>
      </c>
      <c r="G105" s="2394">
        <v>0</v>
      </c>
      <c r="H105" s="2394">
        <v>0</v>
      </c>
      <c r="I105" s="2394">
        <v>0</v>
      </c>
      <c r="J105" s="2395">
        <v>0</v>
      </c>
    </row>
    <row r="106" spans="2:10" ht="14.65">
      <c r="B106" s="2366"/>
      <c r="C106" s="2392" t="s">
        <v>2595</v>
      </c>
      <c r="D106" s="2393">
        <v>4216</v>
      </c>
      <c r="E106" s="2394"/>
      <c r="F106" s="2394">
        <v>9020110</v>
      </c>
      <c r="G106" s="2394">
        <v>9020110</v>
      </c>
      <c r="H106" s="2394">
        <v>9020110</v>
      </c>
      <c r="I106" s="2394">
        <v>9020110</v>
      </c>
      <c r="J106" s="2395">
        <v>9020110</v>
      </c>
    </row>
    <row r="107" spans="2:10" ht="14.65" hidden="1">
      <c r="B107" s="2366"/>
      <c r="C107" s="2392" t="s">
        <v>2596</v>
      </c>
      <c r="D107" s="2393">
        <v>4216</v>
      </c>
      <c r="E107" s="2394"/>
      <c r="F107" s="2394">
        <v>24999000</v>
      </c>
      <c r="G107" s="2394">
        <v>24999000</v>
      </c>
      <c r="H107" s="2394">
        <v>24999000</v>
      </c>
      <c r="I107" s="2394">
        <v>24999000</v>
      </c>
      <c r="J107" s="2395">
        <v>14000000</v>
      </c>
    </row>
    <row r="108" spans="2:10" ht="14.65" hidden="1">
      <c r="B108" s="2366"/>
      <c r="C108" s="2392" t="s">
        <v>1155</v>
      </c>
      <c r="D108" s="2393" t="s">
        <v>36</v>
      </c>
      <c r="E108" s="2394">
        <v>750000</v>
      </c>
      <c r="F108" s="2394">
        <v>0</v>
      </c>
      <c r="G108" s="2394">
        <v>0</v>
      </c>
      <c r="H108" s="2394">
        <v>0</v>
      </c>
      <c r="I108" s="2394">
        <v>0</v>
      </c>
      <c r="J108" s="2395">
        <v>0</v>
      </c>
    </row>
    <row r="109" spans="2:10" ht="14.65" hidden="1">
      <c r="B109" s="2366"/>
      <c r="C109" s="2392" t="s">
        <v>963</v>
      </c>
      <c r="D109" s="2393">
        <v>4216</v>
      </c>
      <c r="E109" s="2394">
        <v>0</v>
      </c>
      <c r="F109" s="2394">
        <v>0</v>
      </c>
      <c r="G109" s="2394">
        <v>0</v>
      </c>
      <c r="H109" s="2394">
        <v>0</v>
      </c>
      <c r="I109" s="2394">
        <v>0</v>
      </c>
      <c r="J109" s="2395">
        <v>0</v>
      </c>
    </row>
    <row r="110" spans="2:10" ht="14.65" hidden="1">
      <c r="B110" s="2366"/>
      <c r="C110" s="2392" t="s">
        <v>1242</v>
      </c>
      <c r="D110" s="2393">
        <v>4216</v>
      </c>
      <c r="E110" s="2394">
        <v>0</v>
      </c>
      <c r="F110" s="2394">
        <v>0</v>
      </c>
      <c r="G110" s="2394">
        <v>0</v>
      </c>
      <c r="H110" s="2394">
        <v>0</v>
      </c>
      <c r="I110" s="2394">
        <v>0</v>
      </c>
      <c r="J110" s="2395">
        <v>0</v>
      </c>
    </row>
    <row r="111" spans="2:10" ht="28.9" hidden="1">
      <c r="B111" s="2366"/>
      <c r="C111" s="2403" t="s">
        <v>1156</v>
      </c>
      <c r="D111" s="2393" t="s">
        <v>36</v>
      </c>
      <c r="E111" s="2394">
        <v>0</v>
      </c>
      <c r="F111" s="2394">
        <v>0</v>
      </c>
      <c r="G111" s="2394">
        <v>0</v>
      </c>
      <c r="H111" s="2394">
        <v>0</v>
      </c>
      <c r="I111" s="2394">
        <v>0</v>
      </c>
      <c r="J111" s="2395">
        <v>0</v>
      </c>
    </row>
    <row r="112" spans="2:10" ht="14.65">
      <c r="B112" s="2366"/>
      <c r="C112" s="2392" t="s">
        <v>1157</v>
      </c>
      <c r="D112" s="2393" t="s">
        <v>36</v>
      </c>
      <c r="E112" s="2394">
        <v>0</v>
      </c>
      <c r="F112" s="2394">
        <v>0</v>
      </c>
      <c r="G112" s="2394">
        <v>0</v>
      </c>
      <c r="H112" s="2394">
        <v>0</v>
      </c>
      <c r="I112" s="2394">
        <v>0</v>
      </c>
      <c r="J112" s="2395">
        <v>0</v>
      </c>
    </row>
    <row r="113" spans="2:10" ht="14.65" hidden="1">
      <c r="B113" s="2366"/>
      <c r="C113" s="2392" t="s">
        <v>2122</v>
      </c>
      <c r="D113" s="2393">
        <v>4122</v>
      </c>
      <c r="E113" s="2394">
        <v>1916100</v>
      </c>
      <c r="F113" s="2394">
        <v>1916100</v>
      </c>
      <c r="G113" s="2394">
        <v>1744000</v>
      </c>
      <c r="H113" s="2394">
        <v>1744000</v>
      </c>
      <c r="I113" s="2394">
        <v>1744000</v>
      </c>
      <c r="J113" s="2395">
        <v>1744000</v>
      </c>
    </row>
    <row r="114" spans="2:10" ht="14.65">
      <c r="B114" s="2366"/>
      <c r="C114" s="2379"/>
      <c r="D114" s="2380"/>
      <c r="E114" s="2381"/>
      <c r="F114" s="2381"/>
      <c r="G114" s="2381"/>
      <c r="H114" s="2381"/>
      <c r="I114" s="2381"/>
      <c r="J114" s="2382"/>
    </row>
    <row r="115" spans="2:10" ht="15" thickBot="1">
      <c r="B115" s="2383" t="s">
        <v>232</v>
      </c>
      <c r="C115" s="2384" t="s">
        <v>233</v>
      </c>
      <c r="D115" s="2385"/>
      <c r="E115" s="2386">
        <v>14800000</v>
      </c>
      <c r="F115" s="2386">
        <v>132960000</v>
      </c>
      <c r="G115" s="2386">
        <v>139348654</v>
      </c>
      <c r="H115" s="2386">
        <v>131788654</v>
      </c>
      <c r="I115" s="2386">
        <v>131788654</v>
      </c>
      <c r="J115" s="2387">
        <v>131788654</v>
      </c>
    </row>
    <row r="116" spans="2:10" ht="15" hidden="1" thickTop="1">
      <c r="B116" s="2170"/>
      <c r="C116" s="2402" t="s">
        <v>234</v>
      </c>
      <c r="D116" s="2389" t="s">
        <v>38</v>
      </c>
      <c r="E116" s="2209">
        <v>14800000</v>
      </c>
      <c r="F116" s="2390">
        <v>15000000</v>
      </c>
      <c r="G116" s="2390">
        <v>15000000</v>
      </c>
      <c r="H116" s="2390">
        <v>15000000</v>
      </c>
      <c r="I116" s="2390">
        <v>15000000</v>
      </c>
      <c r="J116" s="2404">
        <v>15000000</v>
      </c>
    </row>
    <row r="117" spans="2:10" ht="15" thickTop="1">
      <c r="B117" s="2170"/>
      <c r="C117" s="2392" t="s">
        <v>777</v>
      </c>
      <c r="D117" s="2393" t="s">
        <v>38</v>
      </c>
      <c r="E117" s="2219">
        <v>0</v>
      </c>
      <c r="F117" s="2394">
        <v>0</v>
      </c>
      <c r="G117" s="2394">
        <v>0</v>
      </c>
      <c r="H117" s="2394">
        <v>0</v>
      </c>
      <c r="I117" s="2394">
        <v>0</v>
      </c>
      <c r="J117" s="2395">
        <v>0</v>
      </c>
    </row>
    <row r="118" spans="2:10" ht="14.65">
      <c r="B118" s="2170"/>
      <c r="C118" s="2392" t="s">
        <v>775</v>
      </c>
      <c r="D118" s="2393" t="s">
        <v>60</v>
      </c>
      <c r="E118" s="2219">
        <v>0</v>
      </c>
      <c r="F118" s="2394">
        <v>7560000</v>
      </c>
      <c r="G118" s="2394">
        <v>7560000</v>
      </c>
      <c r="H118" s="2394">
        <v>0</v>
      </c>
      <c r="I118" s="2394">
        <v>0</v>
      </c>
      <c r="J118" s="2395">
        <v>0</v>
      </c>
    </row>
    <row r="119" spans="2:10" ht="14.65">
      <c r="B119" s="2170"/>
      <c r="C119" s="2392" t="s">
        <v>2583</v>
      </c>
      <c r="D119" s="2393" t="s">
        <v>60</v>
      </c>
      <c r="E119" s="2219"/>
      <c r="F119" s="2394">
        <v>81000000</v>
      </c>
      <c r="G119" s="2394">
        <v>87388654</v>
      </c>
      <c r="H119" s="2394">
        <v>87388654</v>
      </c>
      <c r="I119" s="2394">
        <v>87388654</v>
      </c>
      <c r="J119" s="2395">
        <v>87388654</v>
      </c>
    </row>
    <row r="120" spans="2:10" ht="14.65">
      <c r="B120" s="2170"/>
      <c r="C120" s="2392" t="s">
        <v>2686</v>
      </c>
      <c r="D120" s="2393" t="s">
        <v>115</v>
      </c>
      <c r="E120" s="2381"/>
      <c r="F120" s="2381">
        <v>29400000</v>
      </c>
      <c r="G120" s="2381">
        <v>29400000</v>
      </c>
      <c r="H120" s="2381">
        <v>29400000</v>
      </c>
      <c r="I120" s="2381">
        <v>29400000</v>
      </c>
      <c r="J120" s="2382">
        <v>29400000</v>
      </c>
    </row>
    <row r="121" spans="2:10" ht="15" thickBot="1">
      <c r="B121" s="2383" t="s">
        <v>235</v>
      </c>
      <c r="C121" s="2384"/>
      <c r="D121" s="2385"/>
      <c r="E121" s="2386">
        <v>243932554</v>
      </c>
      <c r="F121" s="2386">
        <v>415954204</v>
      </c>
      <c r="G121" s="2386">
        <v>440068727</v>
      </c>
      <c r="H121" s="2386">
        <v>432844418</v>
      </c>
      <c r="I121" s="2386">
        <v>432844418</v>
      </c>
      <c r="J121" s="2387">
        <v>435495078</v>
      </c>
    </row>
    <row r="122" spans="2:10" ht="13.9" thickTop="1"/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3"/>
  <sheetViews>
    <sheetView topLeftCell="A54" workbookViewId="0">
      <selection activeCell="J73" sqref="J73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6.86328125" style="318" hidden="1" customWidth="1"/>
    <col min="7" max="7" width="21.86328125" style="318" hidden="1" customWidth="1"/>
    <col min="8" max="8" width="16.73046875" style="316" hidden="1" customWidth="1"/>
    <col min="9" max="9" width="14.265625" style="316" bestFit="1" customWidth="1"/>
    <col min="10" max="10" width="13.265625" style="316" bestFit="1" customWidth="1"/>
    <col min="11" max="16384" width="9" style="316"/>
  </cols>
  <sheetData>
    <row r="1" spans="2:10" ht="14.65">
      <c r="B1" s="2171" t="s">
        <v>2371</v>
      </c>
      <c r="C1" s="109"/>
      <c r="D1" s="114"/>
      <c r="E1" s="190"/>
      <c r="F1" s="190"/>
      <c r="G1" s="190"/>
    </row>
    <row r="2" spans="2:10" ht="13.9" thickBot="1">
      <c r="B2" s="109"/>
      <c r="C2" s="109"/>
      <c r="D2" s="114"/>
      <c r="E2" s="190"/>
      <c r="F2" s="190"/>
      <c r="G2" s="190"/>
    </row>
    <row r="3" spans="2:10" s="432" customFormat="1" ht="29.65" thickBot="1">
      <c r="B3" s="2409" t="s">
        <v>237</v>
      </c>
      <c r="C3" s="2410"/>
      <c r="D3" s="2411" t="s">
        <v>63</v>
      </c>
      <c r="E3" s="2412" t="s">
        <v>1953</v>
      </c>
      <c r="F3" s="2412" t="s">
        <v>2372</v>
      </c>
      <c r="G3" s="2412" t="s">
        <v>1953</v>
      </c>
      <c r="H3" s="2412" t="s">
        <v>2687</v>
      </c>
      <c r="I3" s="2412" t="s">
        <v>2810</v>
      </c>
      <c r="J3" s="2413" t="s">
        <v>2128</v>
      </c>
    </row>
    <row r="4" spans="2:10" ht="15" thickBot="1">
      <c r="B4" s="2170"/>
      <c r="C4" s="2170"/>
      <c r="D4" s="2349"/>
      <c r="E4" s="2214"/>
      <c r="F4" s="2214"/>
      <c r="G4" s="2214"/>
    </row>
    <row r="5" spans="2:10" s="432" customFormat="1" ht="15" thickBot="1">
      <c r="B5" s="2414" t="s">
        <v>238</v>
      </c>
      <c r="C5" s="2415" t="s">
        <v>239</v>
      </c>
      <c r="D5" s="2416"/>
      <c r="E5" s="2417">
        <v>157240969.61176002</v>
      </c>
      <c r="F5" s="2417">
        <v>211246024.9982</v>
      </c>
      <c r="G5" s="2417">
        <v>216404576.9982</v>
      </c>
      <c r="H5" s="2417">
        <v>219573986.9982</v>
      </c>
      <c r="I5" s="2417">
        <v>219573986.9982</v>
      </c>
      <c r="J5" s="2418">
        <v>229296286.9982</v>
      </c>
    </row>
    <row r="6" spans="2:10" s="432" customFormat="1" ht="15" thickBot="1">
      <c r="B6" s="2419"/>
      <c r="C6" s="2420" t="s">
        <v>734</v>
      </c>
      <c r="D6" s="2421"/>
      <c r="E6" s="2422">
        <v>44009290</v>
      </c>
      <c r="F6" s="2422">
        <v>50799491.299999997</v>
      </c>
      <c r="G6" s="2422">
        <v>50799491.299999997</v>
      </c>
      <c r="H6" s="2422">
        <v>50799491.299999997</v>
      </c>
      <c r="I6" s="2422">
        <v>50799491.299999997</v>
      </c>
      <c r="J6" s="2423">
        <v>50271491.299999997</v>
      </c>
    </row>
    <row r="7" spans="2:10" s="2490" customFormat="1" ht="15" outlineLevel="1" thickTop="1">
      <c r="B7" s="2424"/>
      <c r="C7" s="2425" t="s">
        <v>64</v>
      </c>
      <c r="D7" s="2426">
        <v>5011</v>
      </c>
      <c r="E7" s="2427">
        <v>27925000</v>
      </c>
      <c r="F7" s="2427">
        <v>31800000</v>
      </c>
      <c r="G7" s="2427">
        <v>31800000</v>
      </c>
      <c r="H7" s="2427">
        <v>31800000</v>
      </c>
      <c r="I7" s="2427">
        <v>31800000</v>
      </c>
      <c r="J7" s="2428">
        <v>31800000</v>
      </c>
    </row>
    <row r="8" spans="2:10" s="2490" customFormat="1" ht="14.65" outlineLevel="1">
      <c r="B8" s="2424"/>
      <c r="C8" s="2430" t="s">
        <v>65</v>
      </c>
      <c r="D8" s="2431">
        <v>5021</v>
      </c>
      <c r="E8" s="2432">
        <v>1865000</v>
      </c>
      <c r="F8" s="2432">
        <v>2604500</v>
      </c>
      <c r="G8" s="2432">
        <v>2604500</v>
      </c>
      <c r="H8" s="2432">
        <v>2604500</v>
      </c>
      <c r="I8" s="2432">
        <v>2604500</v>
      </c>
      <c r="J8" s="2433">
        <v>2076500</v>
      </c>
    </row>
    <row r="9" spans="2:10" ht="18" customHeight="1" outlineLevel="1">
      <c r="B9" s="2366"/>
      <c r="C9" s="2392" t="s">
        <v>478</v>
      </c>
      <c r="D9" s="2393">
        <v>5023</v>
      </c>
      <c r="E9" s="2394">
        <v>3020000</v>
      </c>
      <c r="F9" s="2394">
        <v>3500000</v>
      </c>
      <c r="G9" s="2394">
        <v>3500000</v>
      </c>
      <c r="H9" s="2394">
        <v>3500000</v>
      </c>
      <c r="I9" s="2394">
        <v>3500000</v>
      </c>
      <c r="J9" s="2395">
        <v>3500000</v>
      </c>
    </row>
    <row r="10" spans="2:10" ht="18" hidden="1" customHeight="1" outlineLevel="1">
      <c r="B10" s="2366"/>
      <c r="C10" s="2363" t="s">
        <v>733</v>
      </c>
      <c r="D10" s="2364">
        <v>5024</v>
      </c>
      <c r="E10" s="2221">
        <v>0</v>
      </c>
      <c r="F10" s="2221">
        <v>0</v>
      </c>
      <c r="G10" s="2221">
        <v>0</v>
      </c>
      <c r="H10" s="2221">
        <v>0</v>
      </c>
      <c r="I10" s="2221">
        <v>0</v>
      </c>
      <c r="J10" s="2365">
        <v>0</v>
      </c>
    </row>
    <row r="11" spans="2:10" ht="18" customHeight="1" outlineLevel="1">
      <c r="B11" s="2366"/>
      <c r="C11" s="2392" t="s">
        <v>66</v>
      </c>
      <c r="D11" s="2393">
        <v>5029</v>
      </c>
      <c r="E11" s="2394">
        <v>30000</v>
      </c>
      <c r="F11" s="2394">
        <v>30000</v>
      </c>
      <c r="G11" s="2394">
        <v>30000</v>
      </c>
      <c r="H11" s="2394">
        <v>30000</v>
      </c>
      <c r="I11" s="2394">
        <v>30000</v>
      </c>
      <c r="J11" s="2395">
        <v>30000</v>
      </c>
    </row>
    <row r="12" spans="2:10" ht="18" customHeight="1" outlineLevel="1">
      <c r="B12" s="2366"/>
      <c r="C12" s="2392" t="s">
        <v>67</v>
      </c>
      <c r="D12" s="2393">
        <v>5031</v>
      </c>
      <c r="E12" s="2394">
        <v>8112500</v>
      </c>
      <c r="F12" s="2394">
        <v>9344125</v>
      </c>
      <c r="G12" s="2394">
        <v>9344125</v>
      </c>
      <c r="H12" s="2394">
        <v>9344125</v>
      </c>
      <c r="I12" s="2394">
        <v>9344125</v>
      </c>
      <c r="J12" s="2395">
        <v>9344125</v>
      </c>
    </row>
    <row r="13" spans="2:10" ht="18" customHeight="1" outlineLevel="1">
      <c r="B13" s="2366"/>
      <c r="C13" s="2392" t="s">
        <v>68</v>
      </c>
      <c r="D13" s="2393">
        <v>5032</v>
      </c>
      <c r="E13" s="2394">
        <v>2920500</v>
      </c>
      <c r="F13" s="2394">
        <v>3363885</v>
      </c>
      <c r="G13" s="2394">
        <v>3363885</v>
      </c>
      <c r="H13" s="2394">
        <v>3363885</v>
      </c>
      <c r="I13" s="2394">
        <v>3363885</v>
      </c>
      <c r="J13" s="2395">
        <v>3363885</v>
      </c>
    </row>
    <row r="14" spans="2:10" ht="18" customHeight="1">
      <c r="B14" s="2366"/>
      <c r="C14" s="2392" t="s">
        <v>69</v>
      </c>
      <c r="D14" s="2393">
        <v>5038</v>
      </c>
      <c r="E14" s="2394">
        <v>136289.99999999997</v>
      </c>
      <c r="F14" s="2394">
        <v>156981.29999999999</v>
      </c>
      <c r="G14" s="2394">
        <v>156981.29999999999</v>
      </c>
      <c r="H14" s="2394">
        <v>156981.29999999999</v>
      </c>
      <c r="I14" s="2394">
        <v>156981.29999999999</v>
      </c>
      <c r="J14" s="2395">
        <v>156981.29999999999</v>
      </c>
    </row>
    <row r="15" spans="2:10" ht="18" hidden="1" customHeight="1" outlineLevel="1">
      <c r="B15" s="2366"/>
      <c r="C15" s="2434"/>
      <c r="D15" s="2349"/>
      <c r="E15" s="2214"/>
      <c r="F15" s="2214"/>
      <c r="G15" s="2214"/>
      <c r="H15" s="2214"/>
      <c r="I15" s="2214"/>
      <c r="J15" s="2435"/>
    </row>
    <row r="16" spans="2:10" ht="15" outlineLevel="1" thickBot="1">
      <c r="B16" s="2419"/>
      <c r="C16" s="2436" t="s">
        <v>240</v>
      </c>
      <c r="D16" s="2385"/>
      <c r="E16" s="2386">
        <v>113231679.61176001</v>
      </c>
      <c r="F16" s="2386">
        <v>160446533.69819999</v>
      </c>
      <c r="G16" s="2386">
        <v>165605085.69819999</v>
      </c>
      <c r="H16" s="2386">
        <v>168774495.69819999</v>
      </c>
      <c r="I16" s="2386">
        <v>168774495.69819999</v>
      </c>
      <c r="J16" s="2387">
        <v>179024795.69819999</v>
      </c>
    </row>
    <row r="17" spans="2:12" ht="18" hidden="1" customHeight="1" outlineLevel="1" thickTop="1">
      <c r="B17" s="2366"/>
      <c r="C17" s="2402" t="s">
        <v>71</v>
      </c>
      <c r="D17" s="2389">
        <v>5178</v>
      </c>
      <c r="E17" s="2390">
        <v>0</v>
      </c>
      <c r="F17" s="2390">
        <v>0</v>
      </c>
      <c r="G17" s="2390">
        <v>0</v>
      </c>
      <c r="H17" s="2390">
        <v>0</v>
      </c>
      <c r="I17" s="2390">
        <v>0</v>
      </c>
      <c r="J17" s="2391">
        <v>0</v>
      </c>
    </row>
    <row r="18" spans="2:12" ht="18" hidden="1" customHeight="1" outlineLevel="1">
      <c r="B18" s="2366"/>
      <c r="C18" s="2392" t="s">
        <v>72</v>
      </c>
      <c r="D18" s="2393">
        <v>5132</v>
      </c>
      <c r="E18" s="2394">
        <v>0</v>
      </c>
      <c r="F18" s="2394">
        <v>0</v>
      </c>
      <c r="G18" s="2394">
        <v>0</v>
      </c>
      <c r="H18" s="2394">
        <v>0</v>
      </c>
      <c r="I18" s="2394">
        <v>0</v>
      </c>
      <c r="J18" s="2395">
        <v>0</v>
      </c>
    </row>
    <row r="19" spans="2:12" ht="18" customHeight="1" outlineLevel="1" thickTop="1">
      <c r="B19" s="2366"/>
      <c r="C19" s="2392" t="s">
        <v>73</v>
      </c>
      <c r="D19" s="2393">
        <v>5134</v>
      </c>
      <c r="E19" s="2394">
        <v>195000</v>
      </c>
      <c r="F19" s="2394">
        <v>395000</v>
      </c>
      <c r="G19" s="2394">
        <v>395000</v>
      </c>
      <c r="H19" s="2394">
        <v>395000</v>
      </c>
      <c r="I19" s="2394">
        <v>395000</v>
      </c>
      <c r="J19" s="2395">
        <v>395000</v>
      </c>
    </row>
    <row r="20" spans="2:12" ht="18" customHeight="1" outlineLevel="1">
      <c r="B20" s="2366"/>
      <c r="C20" s="2392" t="s">
        <v>74</v>
      </c>
      <c r="D20" s="2393">
        <v>5136</v>
      </c>
      <c r="E20" s="2394">
        <v>313000</v>
      </c>
      <c r="F20" s="2394">
        <v>363000</v>
      </c>
      <c r="G20" s="2394">
        <v>363000</v>
      </c>
      <c r="H20" s="2394">
        <v>363000</v>
      </c>
      <c r="I20" s="2394">
        <v>363000</v>
      </c>
      <c r="J20" s="2395">
        <v>363000</v>
      </c>
    </row>
    <row r="21" spans="2:12" ht="18" customHeight="1" outlineLevel="1">
      <c r="B21" s="2424"/>
      <c r="C21" s="2430" t="s">
        <v>75</v>
      </c>
      <c r="D21" s="2431">
        <v>5137</v>
      </c>
      <c r="E21" s="2432">
        <v>2110000</v>
      </c>
      <c r="F21" s="2432">
        <v>2317000</v>
      </c>
      <c r="G21" s="2432">
        <v>2317000</v>
      </c>
      <c r="H21" s="2432">
        <v>2317000</v>
      </c>
      <c r="I21" s="2432">
        <v>2317000</v>
      </c>
      <c r="J21" s="2433">
        <v>2317000</v>
      </c>
    </row>
    <row r="22" spans="2:12" ht="18" customHeight="1" outlineLevel="1">
      <c r="B22" s="2366"/>
      <c r="C22" s="2392" t="s">
        <v>76</v>
      </c>
      <c r="D22" s="2393">
        <v>5139</v>
      </c>
      <c r="E22" s="2394">
        <v>2119000</v>
      </c>
      <c r="F22" s="2394">
        <v>3866000</v>
      </c>
      <c r="G22" s="2394">
        <v>3866000</v>
      </c>
      <c r="H22" s="2394">
        <v>3866000</v>
      </c>
      <c r="I22" s="2394">
        <v>3866000</v>
      </c>
      <c r="J22" s="2395">
        <v>3866000</v>
      </c>
    </row>
    <row r="23" spans="2:12" ht="18" customHeight="1" outlineLevel="1">
      <c r="B23" s="2366"/>
      <c r="C23" s="2392" t="s">
        <v>77</v>
      </c>
      <c r="D23" s="2393">
        <v>5151</v>
      </c>
      <c r="E23" s="2394">
        <v>710000</v>
      </c>
      <c r="F23" s="2394">
        <v>688000</v>
      </c>
      <c r="G23" s="2394">
        <v>688000</v>
      </c>
      <c r="H23" s="2394">
        <v>688000</v>
      </c>
      <c r="I23" s="2394">
        <v>688000</v>
      </c>
      <c r="J23" s="2395">
        <v>688000</v>
      </c>
    </row>
    <row r="24" spans="2:12" ht="18" customHeight="1" outlineLevel="1">
      <c r="B24" s="2366"/>
      <c r="C24" s="2392" t="s">
        <v>78</v>
      </c>
      <c r="D24" s="2393">
        <v>5153</v>
      </c>
      <c r="E24" s="2394">
        <v>5440450</v>
      </c>
      <c r="F24" s="2394">
        <v>4034750</v>
      </c>
      <c r="G24" s="2394">
        <v>4036990</v>
      </c>
      <c r="H24" s="2394">
        <v>4036990</v>
      </c>
      <c r="I24" s="2394">
        <v>4036990</v>
      </c>
      <c r="J24" s="2395">
        <v>4036990</v>
      </c>
    </row>
    <row r="25" spans="2:12" ht="18" customHeight="1" outlineLevel="1">
      <c r="B25" s="2366"/>
      <c r="C25" s="2392" t="s">
        <v>79</v>
      </c>
      <c r="D25" s="2393">
        <v>5154</v>
      </c>
      <c r="E25" s="2394">
        <v>7444800</v>
      </c>
      <c r="F25" s="2394">
        <v>5656300</v>
      </c>
      <c r="G25" s="2394">
        <v>5680300</v>
      </c>
      <c r="H25" s="2394">
        <v>5680300</v>
      </c>
      <c r="I25" s="2394">
        <v>5680300</v>
      </c>
      <c r="J25" s="2395">
        <v>5680300</v>
      </c>
    </row>
    <row r="26" spans="2:12" ht="18" customHeight="1" outlineLevel="1">
      <c r="B26" s="2366"/>
      <c r="C26" s="2392" t="s">
        <v>80</v>
      </c>
      <c r="D26" s="2393">
        <v>5156</v>
      </c>
      <c r="E26" s="2394">
        <v>640000</v>
      </c>
      <c r="F26" s="2394">
        <v>647000</v>
      </c>
      <c r="G26" s="2394">
        <v>717000</v>
      </c>
      <c r="H26" s="2394">
        <v>717000</v>
      </c>
      <c r="I26" s="2394">
        <v>717000</v>
      </c>
      <c r="J26" s="2395">
        <v>717000</v>
      </c>
    </row>
    <row r="27" spans="2:12" ht="18" customHeight="1" outlineLevel="1">
      <c r="B27" s="2366"/>
      <c r="C27" s="2392" t="s">
        <v>81</v>
      </c>
      <c r="D27" s="2393">
        <v>5161</v>
      </c>
      <c r="E27" s="2394">
        <v>695000</v>
      </c>
      <c r="F27" s="2394">
        <v>745000</v>
      </c>
      <c r="G27" s="2394">
        <v>745000</v>
      </c>
      <c r="H27" s="2394">
        <v>745000</v>
      </c>
      <c r="I27" s="2394">
        <v>745000</v>
      </c>
      <c r="J27" s="2395">
        <v>745000</v>
      </c>
    </row>
    <row r="28" spans="2:12" ht="18" customHeight="1" outlineLevel="1">
      <c r="B28" s="2366"/>
      <c r="C28" s="2392" t="s">
        <v>82</v>
      </c>
      <c r="D28" s="2393">
        <v>5162</v>
      </c>
      <c r="E28" s="2394">
        <v>564000</v>
      </c>
      <c r="F28" s="2394">
        <v>808545</v>
      </c>
      <c r="G28" s="2394">
        <v>808545</v>
      </c>
      <c r="H28" s="2394">
        <v>808545</v>
      </c>
      <c r="I28" s="2394">
        <v>808545</v>
      </c>
      <c r="J28" s="2395">
        <v>808545</v>
      </c>
    </row>
    <row r="29" spans="2:12" ht="14.65" outlineLevel="1">
      <c r="B29" s="2366"/>
      <c r="C29" s="2392" t="s">
        <v>83</v>
      </c>
      <c r="D29" s="2393">
        <v>5163</v>
      </c>
      <c r="E29" s="2394">
        <v>920000</v>
      </c>
      <c r="F29" s="2394">
        <v>1220000</v>
      </c>
      <c r="G29" s="2394">
        <v>1220000</v>
      </c>
      <c r="H29" s="2394">
        <v>1307990</v>
      </c>
      <c r="I29" s="2394">
        <v>1307990</v>
      </c>
      <c r="J29" s="2395">
        <v>1307990</v>
      </c>
    </row>
    <row r="30" spans="2:12" s="2490" customFormat="1" ht="14.65" outlineLevel="1">
      <c r="B30" s="2366"/>
      <c r="C30" s="2392" t="s">
        <v>84</v>
      </c>
      <c r="D30" s="2393">
        <v>5164</v>
      </c>
      <c r="E30" s="2394">
        <v>1538137</v>
      </c>
      <c r="F30" s="2394">
        <v>1699563</v>
      </c>
      <c r="G30" s="2394">
        <v>1683355</v>
      </c>
      <c r="H30" s="2394">
        <v>1583355</v>
      </c>
      <c r="I30" s="2394">
        <v>1583355</v>
      </c>
      <c r="J30" s="2395">
        <v>1623355</v>
      </c>
    </row>
    <row r="31" spans="2:12" ht="18" customHeight="1" outlineLevel="1">
      <c r="B31" s="2366"/>
      <c r="C31" s="2392" t="s">
        <v>85</v>
      </c>
      <c r="D31" s="2393">
        <v>5166</v>
      </c>
      <c r="E31" s="2394">
        <v>700000</v>
      </c>
      <c r="F31" s="2394">
        <v>800000</v>
      </c>
      <c r="G31" s="2394">
        <v>800000</v>
      </c>
      <c r="H31" s="2394">
        <v>800000</v>
      </c>
      <c r="I31" s="2394">
        <v>800000</v>
      </c>
      <c r="J31" s="2395">
        <v>800000</v>
      </c>
    </row>
    <row r="32" spans="2:12" ht="18" customHeight="1" outlineLevel="1">
      <c r="B32" s="2366"/>
      <c r="C32" s="2392" t="s">
        <v>86</v>
      </c>
      <c r="D32" s="2393">
        <v>5167</v>
      </c>
      <c r="E32" s="2394">
        <v>375000</v>
      </c>
      <c r="F32" s="2394">
        <v>912900</v>
      </c>
      <c r="G32" s="2394">
        <v>912900</v>
      </c>
      <c r="H32" s="2394">
        <v>912900</v>
      </c>
      <c r="I32" s="2394">
        <v>912900</v>
      </c>
      <c r="J32" s="2395">
        <v>912900</v>
      </c>
      <c r="L32" s="316" t="s">
        <v>582</v>
      </c>
    </row>
    <row r="33" spans="2:10" ht="18" customHeight="1" outlineLevel="1">
      <c r="B33" s="2366"/>
      <c r="C33" s="2392" t="s">
        <v>87</v>
      </c>
      <c r="D33" s="2393">
        <v>5168</v>
      </c>
      <c r="E33" s="2394">
        <v>615000</v>
      </c>
      <c r="F33" s="2394">
        <v>915000</v>
      </c>
      <c r="G33" s="2394">
        <v>965000</v>
      </c>
      <c r="H33" s="2394">
        <v>967420</v>
      </c>
      <c r="I33" s="2394">
        <v>967420</v>
      </c>
      <c r="J33" s="2395">
        <v>967420</v>
      </c>
    </row>
    <row r="34" spans="2:10" ht="18" customHeight="1" outlineLevel="1">
      <c r="B34" s="2424"/>
      <c r="C34" s="2430" t="s">
        <v>88</v>
      </c>
      <c r="D34" s="2431">
        <v>5169</v>
      </c>
      <c r="E34" s="2432">
        <v>18979100</v>
      </c>
      <c r="F34" s="2432">
        <v>22138600</v>
      </c>
      <c r="G34" s="2432">
        <v>22388600</v>
      </c>
      <c r="H34" s="2432">
        <v>23057600</v>
      </c>
      <c r="I34" s="2432">
        <v>23057600</v>
      </c>
      <c r="J34" s="2433">
        <v>26481700</v>
      </c>
    </row>
    <row r="35" spans="2:10" ht="18" customHeight="1" outlineLevel="1">
      <c r="B35" s="2424"/>
      <c r="C35" s="2430" t="s">
        <v>89</v>
      </c>
      <c r="D35" s="2431">
        <v>5171</v>
      </c>
      <c r="E35" s="2432">
        <v>18476480</v>
      </c>
      <c r="F35" s="2432">
        <v>37319480</v>
      </c>
      <c r="G35" s="2432">
        <v>42048000</v>
      </c>
      <c r="H35" s="2432">
        <v>44558000</v>
      </c>
      <c r="I35" s="2432">
        <v>44558000</v>
      </c>
      <c r="J35" s="2433">
        <v>51344200</v>
      </c>
    </row>
    <row r="36" spans="2:10" ht="18" customHeight="1" outlineLevel="1">
      <c r="B36" s="2366"/>
      <c r="C36" s="2392" t="s">
        <v>90</v>
      </c>
      <c r="D36" s="2393">
        <v>5172</v>
      </c>
      <c r="E36" s="2394">
        <v>3364300</v>
      </c>
      <c r="F36" s="2394">
        <v>3028000</v>
      </c>
      <c r="G36" s="2394">
        <v>3028000</v>
      </c>
      <c r="H36" s="2394">
        <v>3028000</v>
      </c>
      <c r="I36" s="2394">
        <v>3028000</v>
      </c>
      <c r="J36" s="2395">
        <v>3028000</v>
      </c>
    </row>
    <row r="37" spans="2:10" s="2490" customFormat="1" ht="14.65" outlineLevel="1">
      <c r="B37" s="2366"/>
      <c r="C37" s="2392" t="s">
        <v>91</v>
      </c>
      <c r="D37" s="2393">
        <v>5173</v>
      </c>
      <c r="E37" s="2394">
        <v>62000</v>
      </c>
      <c r="F37" s="2394">
        <v>62000</v>
      </c>
      <c r="G37" s="2394">
        <v>62000</v>
      </c>
      <c r="H37" s="2394">
        <v>62000</v>
      </c>
      <c r="I37" s="2394">
        <v>62000</v>
      </c>
      <c r="J37" s="2395">
        <v>62000</v>
      </c>
    </row>
    <row r="38" spans="2:10" ht="18" customHeight="1" outlineLevel="1">
      <c r="B38" s="2366"/>
      <c r="C38" s="2392" t="s">
        <v>92</v>
      </c>
      <c r="D38" s="2393">
        <v>5175</v>
      </c>
      <c r="E38" s="2394">
        <v>431000</v>
      </c>
      <c r="F38" s="2394">
        <v>443000</v>
      </c>
      <c r="G38" s="2394">
        <v>443000</v>
      </c>
      <c r="H38" s="2394">
        <v>443000</v>
      </c>
      <c r="I38" s="2394">
        <v>443000</v>
      </c>
      <c r="J38" s="2395">
        <v>443000</v>
      </c>
    </row>
    <row r="39" spans="2:10" ht="18" hidden="1" customHeight="1" outlineLevel="1">
      <c r="B39" s="2366"/>
      <c r="C39" s="2392" t="s">
        <v>93</v>
      </c>
      <c r="D39" s="2393">
        <v>5179</v>
      </c>
      <c r="E39" s="2394">
        <v>0</v>
      </c>
      <c r="F39" s="2394">
        <v>0</v>
      </c>
      <c r="G39" s="2394">
        <v>0</v>
      </c>
      <c r="H39" s="2394">
        <v>0</v>
      </c>
      <c r="I39" s="2394">
        <v>0</v>
      </c>
      <c r="J39" s="2395">
        <v>0</v>
      </c>
    </row>
    <row r="40" spans="2:10" ht="18" hidden="1" customHeight="1" outlineLevel="1">
      <c r="B40" s="2366"/>
      <c r="C40" s="2392" t="s">
        <v>358</v>
      </c>
      <c r="D40" s="2393">
        <v>5192</v>
      </c>
      <c r="E40" s="2394">
        <v>0</v>
      </c>
      <c r="F40" s="2394">
        <v>0</v>
      </c>
      <c r="G40" s="2394">
        <v>0</v>
      </c>
      <c r="H40" s="2394">
        <v>0</v>
      </c>
      <c r="I40" s="2394">
        <v>0</v>
      </c>
      <c r="J40" s="2395">
        <v>0</v>
      </c>
    </row>
    <row r="41" spans="2:10" ht="18" customHeight="1" outlineLevel="1">
      <c r="B41" s="2366"/>
      <c r="C41" s="2392" t="s">
        <v>94</v>
      </c>
      <c r="D41" s="2393">
        <v>5193</v>
      </c>
      <c r="E41" s="2394">
        <v>2978575</v>
      </c>
      <c r="F41" s="2394">
        <v>4000000</v>
      </c>
      <c r="G41" s="2394">
        <v>4000000</v>
      </c>
      <c r="H41" s="2394">
        <v>4000000</v>
      </c>
      <c r="I41" s="2394">
        <v>4000000</v>
      </c>
      <c r="J41" s="2395">
        <v>4000000</v>
      </c>
    </row>
    <row r="42" spans="2:10" ht="18" customHeight="1" outlineLevel="1">
      <c r="B42" s="2366"/>
      <c r="C42" s="2392" t="s">
        <v>95</v>
      </c>
      <c r="D42" s="2393">
        <v>5194</v>
      </c>
      <c r="E42" s="2394">
        <v>310000</v>
      </c>
      <c r="F42" s="2394">
        <v>345000</v>
      </c>
      <c r="G42" s="2394">
        <v>345000</v>
      </c>
      <c r="H42" s="2394">
        <v>345000</v>
      </c>
      <c r="I42" s="2394">
        <v>345000</v>
      </c>
      <c r="J42" s="2395">
        <v>345000</v>
      </c>
    </row>
    <row r="43" spans="2:10" ht="18" customHeight="1" outlineLevel="1">
      <c r="B43" s="2366"/>
      <c r="C43" s="2392" t="s">
        <v>96</v>
      </c>
      <c r="D43" s="2393">
        <v>5329</v>
      </c>
      <c r="E43" s="2394">
        <v>2514380</v>
      </c>
      <c r="F43" s="2394">
        <v>4274360</v>
      </c>
      <c r="G43" s="2394">
        <v>4274360</v>
      </c>
      <c r="H43" s="2394">
        <v>4274360</v>
      </c>
      <c r="I43" s="2394">
        <v>4274360</v>
      </c>
      <c r="J43" s="2395">
        <v>4274360</v>
      </c>
    </row>
    <row r="44" spans="2:10" s="323" customFormat="1" ht="18" customHeight="1" outlineLevel="1">
      <c r="B44" s="2424"/>
      <c r="C44" s="2430" t="s">
        <v>97</v>
      </c>
      <c r="D44" s="2431">
        <v>5331</v>
      </c>
      <c r="E44" s="2432">
        <v>33799900</v>
      </c>
      <c r="F44" s="2432">
        <v>53986224</v>
      </c>
      <c r="G44" s="2432">
        <v>54036224</v>
      </c>
      <c r="H44" s="2432">
        <v>54036224</v>
      </c>
      <c r="I44" s="2432">
        <v>54036224</v>
      </c>
      <c r="J44" s="2433">
        <v>54036224</v>
      </c>
    </row>
    <row r="45" spans="2:10" ht="14.65" outlineLevel="1">
      <c r="B45" s="2366"/>
      <c r="C45" s="2392" t="s">
        <v>98</v>
      </c>
      <c r="D45" s="2393">
        <v>5361</v>
      </c>
      <c r="E45" s="2394">
        <v>40000</v>
      </c>
      <c r="F45" s="2394">
        <v>40000</v>
      </c>
      <c r="G45" s="2394">
        <v>40000</v>
      </c>
      <c r="H45" s="2394">
        <v>40000</v>
      </c>
      <c r="I45" s="2394">
        <v>40000</v>
      </c>
      <c r="J45" s="2395">
        <v>40000</v>
      </c>
    </row>
    <row r="46" spans="2:10" ht="21" customHeight="1">
      <c r="B46" s="2366"/>
      <c r="C46" s="2392" t="s">
        <v>99</v>
      </c>
      <c r="D46" s="2393">
        <v>5362</v>
      </c>
      <c r="E46" s="2394">
        <v>1130000</v>
      </c>
      <c r="F46" s="2394">
        <v>3690000</v>
      </c>
      <c r="G46" s="2394">
        <v>3690000</v>
      </c>
      <c r="H46" s="2394">
        <v>3690000</v>
      </c>
      <c r="I46" s="2394">
        <v>3690000</v>
      </c>
      <c r="J46" s="2395">
        <v>3690000</v>
      </c>
    </row>
    <row r="47" spans="2:10" s="2490" customFormat="1" ht="14.65" hidden="1" outlineLevel="1">
      <c r="B47" s="2366"/>
      <c r="C47" s="2392" t="s">
        <v>776</v>
      </c>
      <c r="D47" s="2393">
        <v>5363</v>
      </c>
      <c r="E47" s="2394">
        <v>0</v>
      </c>
      <c r="F47" s="2394">
        <v>0</v>
      </c>
      <c r="G47" s="2394">
        <v>0</v>
      </c>
      <c r="H47" s="2394">
        <v>0</v>
      </c>
      <c r="I47" s="2394">
        <v>0</v>
      </c>
      <c r="J47" s="2395">
        <v>0</v>
      </c>
    </row>
    <row r="48" spans="2:10" s="2490" customFormat="1" ht="14.65" outlineLevel="1">
      <c r="B48" s="2366"/>
      <c r="C48" s="2392" t="s">
        <v>100</v>
      </c>
      <c r="D48" s="2393">
        <v>5492</v>
      </c>
      <c r="E48" s="2394">
        <v>925000</v>
      </c>
      <c r="F48" s="2394">
        <v>470000</v>
      </c>
      <c r="G48" s="2394">
        <v>470000</v>
      </c>
      <c r="H48" s="2394">
        <v>470000</v>
      </c>
      <c r="I48" s="2394">
        <v>470000</v>
      </c>
      <c r="J48" s="2395">
        <v>470000</v>
      </c>
    </row>
    <row r="49" spans="2:10" ht="14.65" outlineLevel="1">
      <c r="B49" s="2366"/>
      <c r="C49" s="2392" t="s">
        <v>735</v>
      </c>
      <c r="D49" s="2393">
        <v>5499</v>
      </c>
      <c r="E49" s="2394">
        <v>1620000</v>
      </c>
      <c r="F49" s="2394">
        <v>1980000</v>
      </c>
      <c r="G49" s="2394">
        <v>1980000</v>
      </c>
      <c r="H49" s="2394">
        <v>1980000</v>
      </c>
      <c r="I49" s="2394">
        <v>1980000</v>
      </c>
      <c r="J49" s="2395">
        <v>1980000</v>
      </c>
    </row>
    <row r="50" spans="2:10" ht="18.75" customHeight="1" outlineLevel="1">
      <c r="B50" s="2366"/>
      <c r="C50" s="2392" t="s">
        <v>101</v>
      </c>
      <c r="D50" s="2393">
        <v>5222</v>
      </c>
      <c r="E50" s="2394">
        <v>1200000</v>
      </c>
      <c r="F50" s="2394">
        <v>1200000</v>
      </c>
      <c r="G50" s="2394">
        <v>1200000</v>
      </c>
      <c r="H50" s="2394">
        <v>1200000</v>
      </c>
      <c r="I50" s="2394">
        <v>1200000</v>
      </c>
      <c r="J50" s="2395">
        <v>1200000</v>
      </c>
    </row>
    <row r="51" spans="2:10" ht="18.75" customHeight="1" outlineLevel="1">
      <c r="B51" s="2366"/>
      <c r="C51" s="2392" t="s">
        <v>762</v>
      </c>
      <c r="D51" s="2393">
        <v>5903</v>
      </c>
      <c r="E51" s="2394">
        <v>69012.591499999995</v>
      </c>
      <c r="F51" s="2394">
        <v>74053.766499999998</v>
      </c>
      <c r="G51" s="2394">
        <v>74053.766499999998</v>
      </c>
      <c r="H51" s="2394">
        <v>74053.766499999998</v>
      </c>
      <c r="I51" s="2394">
        <v>74053.766499999998</v>
      </c>
      <c r="J51" s="2395">
        <v>74053.766499999998</v>
      </c>
    </row>
    <row r="52" spans="2:10" ht="18.75" customHeight="1" outlineLevel="1">
      <c r="B52" s="2358"/>
      <c r="C52" s="2363" t="s">
        <v>129</v>
      </c>
      <c r="D52" s="2364">
        <v>5141</v>
      </c>
      <c r="E52" s="2221">
        <v>2952545.0202600001</v>
      </c>
      <c r="F52" s="2221">
        <v>2327757.9317000001</v>
      </c>
      <c r="G52" s="2221">
        <v>2327757.9317000001</v>
      </c>
      <c r="H52" s="2221">
        <v>2327757.9317000001</v>
      </c>
      <c r="I52" s="2221">
        <v>2327757.9317000001</v>
      </c>
      <c r="J52" s="2365">
        <v>2327757.9317000001</v>
      </c>
    </row>
    <row r="53" spans="2:10" ht="18.75" customHeight="1" outlineLevel="1">
      <c r="B53" s="2366"/>
      <c r="C53" s="2392" t="s">
        <v>736</v>
      </c>
      <c r="D53" s="2380">
        <v>5144</v>
      </c>
      <c r="E53" s="2381">
        <v>0</v>
      </c>
      <c r="F53" s="2381">
        <v>0</v>
      </c>
      <c r="G53" s="2381">
        <v>0</v>
      </c>
      <c r="H53" s="2381">
        <v>0</v>
      </c>
      <c r="I53" s="2381">
        <v>0</v>
      </c>
      <c r="J53" s="2382">
        <v>0</v>
      </c>
    </row>
    <row r="54" spans="2:10" ht="18.75" customHeight="1" outlineLevel="1" thickBot="1">
      <c r="B54" s="2383" t="s">
        <v>241</v>
      </c>
      <c r="C54" s="2437" t="s">
        <v>242</v>
      </c>
      <c r="D54" s="2385"/>
      <c r="E54" s="2386">
        <v>67523654.480000004</v>
      </c>
      <c r="F54" s="2386">
        <v>177715916</v>
      </c>
      <c r="G54" s="2386">
        <v>196415916</v>
      </c>
      <c r="H54" s="2386">
        <v>196580871</v>
      </c>
      <c r="I54" s="2386">
        <v>196580871</v>
      </c>
      <c r="J54" s="2387">
        <v>167262974</v>
      </c>
    </row>
    <row r="55" spans="2:10" s="432" customFormat="1" ht="15" outlineLevel="1" thickTop="1">
      <c r="B55" s="2366"/>
      <c r="C55" s="2388" t="s">
        <v>90</v>
      </c>
      <c r="D55" s="2389">
        <v>6111</v>
      </c>
      <c r="E55" s="2390">
        <v>0</v>
      </c>
      <c r="F55" s="2390">
        <v>3269880</v>
      </c>
      <c r="G55" s="2390">
        <v>3269880</v>
      </c>
      <c r="H55" s="2390">
        <v>3269880</v>
      </c>
      <c r="I55" s="2390">
        <v>3269880</v>
      </c>
      <c r="J55" s="2391">
        <v>3269880</v>
      </c>
    </row>
    <row r="56" spans="2:10" s="433" customFormat="1" ht="20.25" customHeight="1">
      <c r="B56" s="2424"/>
      <c r="C56" s="2430" t="s">
        <v>105</v>
      </c>
      <c r="D56" s="2431">
        <v>6121</v>
      </c>
      <c r="E56" s="2432">
        <v>51938654.480000004</v>
      </c>
      <c r="F56" s="2432">
        <v>120189200</v>
      </c>
      <c r="G56" s="2432">
        <v>138389200</v>
      </c>
      <c r="H56" s="2432">
        <v>135465099</v>
      </c>
      <c r="I56" s="2432">
        <v>141265099</v>
      </c>
      <c r="J56" s="2433">
        <v>111587202</v>
      </c>
    </row>
    <row r="57" spans="2:10" s="432" customFormat="1" ht="14.65" outlineLevel="1">
      <c r="B57" s="2424"/>
      <c r="C57" s="2430" t="s">
        <v>106</v>
      </c>
      <c r="D57" s="2431">
        <v>6121</v>
      </c>
      <c r="E57" s="2394">
        <v>9560000</v>
      </c>
      <c r="F57" s="2394">
        <v>8492604</v>
      </c>
      <c r="G57" s="2394">
        <v>8992604</v>
      </c>
      <c r="H57" s="2394">
        <v>9081660</v>
      </c>
      <c r="I57" s="2394">
        <v>9081660</v>
      </c>
      <c r="J57" s="2395">
        <v>9291660</v>
      </c>
    </row>
    <row r="58" spans="2:10" ht="14.65" outlineLevel="1">
      <c r="B58" s="2424"/>
      <c r="C58" s="2430" t="s">
        <v>107</v>
      </c>
      <c r="D58" s="2431">
        <v>6122</v>
      </c>
      <c r="E58" s="2432">
        <v>200000</v>
      </c>
      <c r="F58" s="2432">
        <v>570000</v>
      </c>
      <c r="G58" s="2432">
        <v>570000</v>
      </c>
      <c r="H58" s="2432">
        <v>570000</v>
      </c>
      <c r="I58" s="2432">
        <v>570000</v>
      </c>
      <c r="J58" s="2433">
        <v>720000</v>
      </c>
    </row>
    <row r="59" spans="2:10" ht="14.65">
      <c r="B59" s="2366"/>
      <c r="C59" s="2392" t="s">
        <v>108</v>
      </c>
      <c r="D59" s="2393">
        <v>6123</v>
      </c>
      <c r="E59" s="2394">
        <v>0</v>
      </c>
      <c r="F59" s="2394">
        <v>1200000</v>
      </c>
      <c r="G59" s="2394">
        <v>1200000</v>
      </c>
      <c r="H59" s="2394">
        <v>1200000</v>
      </c>
      <c r="I59" s="2394">
        <v>1200000</v>
      </c>
      <c r="J59" s="2395">
        <v>1200000</v>
      </c>
    </row>
    <row r="60" spans="2:10" ht="14.65">
      <c r="B60" s="2366"/>
      <c r="C60" s="2392" t="s">
        <v>109</v>
      </c>
      <c r="D60" s="2393">
        <v>6125</v>
      </c>
      <c r="E60" s="2394">
        <v>240000</v>
      </c>
      <c r="F60" s="2394">
        <v>4736152</v>
      </c>
      <c r="G60" s="2394">
        <v>4736152</v>
      </c>
      <c r="H60" s="2394">
        <v>4736152</v>
      </c>
      <c r="I60" s="2394">
        <v>4736152</v>
      </c>
      <c r="J60" s="2395">
        <v>4736152</v>
      </c>
    </row>
    <row r="61" spans="2:10" ht="14.65">
      <c r="B61" s="2366"/>
      <c r="C61" s="2392" t="s">
        <v>110</v>
      </c>
      <c r="D61" s="2393">
        <v>6129</v>
      </c>
      <c r="E61" s="2394">
        <v>0</v>
      </c>
      <c r="F61" s="2394">
        <v>0</v>
      </c>
      <c r="G61" s="2394">
        <v>0</v>
      </c>
      <c r="H61" s="2394">
        <v>0</v>
      </c>
      <c r="I61" s="2394">
        <v>0</v>
      </c>
      <c r="J61" s="2395">
        <v>0</v>
      </c>
    </row>
    <row r="62" spans="2:10" ht="14.65">
      <c r="B62" s="2366"/>
      <c r="C62" s="2392" t="s">
        <v>111</v>
      </c>
      <c r="D62" s="2393">
        <v>6130</v>
      </c>
      <c r="E62" s="2394">
        <v>2215000</v>
      </c>
      <c r="F62" s="2394">
        <v>5000000</v>
      </c>
      <c r="G62" s="2394">
        <v>5000000</v>
      </c>
      <c r="H62" s="2394">
        <v>6300000</v>
      </c>
      <c r="I62" s="2394">
        <v>6300000</v>
      </c>
      <c r="J62" s="2395">
        <v>6300000</v>
      </c>
    </row>
    <row r="63" spans="2:10" ht="14.65">
      <c r="B63" s="2366"/>
      <c r="C63" s="2392" t="s">
        <v>1149</v>
      </c>
      <c r="D63" s="2393">
        <v>6349</v>
      </c>
      <c r="E63" s="2394">
        <v>0</v>
      </c>
      <c r="F63" s="2394">
        <v>29400000</v>
      </c>
      <c r="G63" s="2394">
        <v>29400000</v>
      </c>
      <c r="H63" s="2394">
        <v>29400000</v>
      </c>
      <c r="I63" s="2394">
        <v>23600000</v>
      </c>
      <c r="J63" s="2395">
        <v>23600000</v>
      </c>
    </row>
    <row r="64" spans="2:10" ht="14.65">
      <c r="B64" s="2366"/>
      <c r="C64" s="2392" t="s">
        <v>295</v>
      </c>
      <c r="D64" s="2393">
        <v>6351</v>
      </c>
      <c r="E64" s="2394">
        <v>3370000</v>
      </c>
      <c r="F64" s="2394">
        <v>4858080</v>
      </c>
      <c r="G64" s="2394">
        <v>4858080</v>
      </c>
      <c r="H64" s="2394">
        <v>6558080</v>
      </c>
      <c r="I64" s="2394">
        <v>6558080</v>
      </c>
      <c r="J64" s="2395">
        <v>6558080</v>
      </c>
    </row>
    <row r="65" spans="2:10" ht="14.65" hidden="1">
      <c r="B65" s="2366" t="s">
        <v>582</v>
      </c>
      <c r="C65" s="2392" t="s">
        <v>295</v>
      </c>
      <c r="D65" s="2393">
        <v>6349</v>
      </c>
      <c r="E65" s="2394">
        <v>0</v>
      </c>
      <c r="F65" s="2394">
        <v>0</v>
      </c>
      <c r="G65" s="2394">
        <v>0</v>
      </c>
      <c r="H65" s="2394">
        <v>0</v>
      </c>
      <c r="I65" s="2394">
        <v>0</v>
      </c>
      <c r="J65" s="2395">
        <v>0</v>
      </c>
    </row>
    <row r="66" spans="2:10" ht="14.65" hidden="1">
      <c r="B66" s="2366"/>
      <c r="C66" s="2379"/>
      <c r="D66" s="2380"/>
      <c r="E66" s="2381"/>
      <c r="F66" s="2381"/>
      <c r="G66" s="2381"/>
      <c r="H66" s="2381"/>
      <c r="I66" s="2381"/>
      <c r="J66" s="2382"/>
    </row>
    <row r="67" spans="2:10" ht="15" thickBot="1">
      <c r="B67" s="2383" t="s">
        <v>232</v>
      </c>
      <c r="C67" s="2437" t="s">
        <v>233</v>
      </c>
      <c r="D67" s="2385"/>
      <c r="E67" s="2386">
        <v>19167929.908239976</v>
      </c>
      <c r="F67" s="2386">
        <v>26992263.001800001</v>
      </c>
      <c r="G67" s="2386">
        <v>27248234.001800001</v>
      </c>
      <c r="H67" s="2386">
        <v>16689560.001800001</v>
      </c>
      <c r="I67" s="2386">
        <v>16689560.001800001</v>
      </c>
      <c r="J67" s="2387">
        <v>38681717.001800001</v>
      </c>
    </row>
    <row r="68" spans="2:10" ht="15" thickTop="1">
      <c r="B68" s="2366"/>
      <c r="C68" s="2388" t="s">
        <v>1536</v>
      </c>
      <c r="D68" s="2389">
        <v>8115</v>
      </c>
      <c r="E68" s="2390">
        <v>53665.908239975572</v>
      </c>
      <c r="F68" s="2390">
        <v>18511296.001800001</v>
      </c>
      <c r="G68" s="2390">
        <v>18767267.001800001</v>
      </c>
      <c r="H68" s="2390">
        <v>8208593.0018000007</v>
      </c>
      <c r="I68" s="2390">
        <v>8208593.0018000007</v>
      </c>
      <c r="J68" s="2391">
        <v>30200750.001800001</v>
      </c>
    </row>
    <row r="69" spans="2:10" ht="14.65" hidden="1">
      <c r="B69" s="2366"/>
      <c r="C69" s="2392" t="s">
        <v>118</v>
      </c>
      <c r="D69" s="2393">
        <v>8115</v>
      </c>
      <c r="E69" s="2394"/>
      <c r="F69" s="2394"/>
      <c r="G69" s="2394"/>
      <c r="H69" s="2394"/>
      <c r="I69" s="2394"/>
      <c r="J69" s="2395"/>
    </row>
    <row r="70" spans="2:10" ht="15" thickBot="1">
      <c r="B70" s="2370"/>
      <c r="C70" s="2363" t="s">
        <v>738</v>
      </c>
      <c r="D70" s="2364" t="s">
        <v>115</v>
      </c>
      <c r="E70" s="2221">
        <v>19114264</v>
      </c>
      <c r="F70" s="2221">
        <v>8480967</v>
      </c>
      <c r="G70" s="2221">
        <v>8480967</v>
      </c>
      <c r="H70" s="2221">
        <v>8480967</v>
      </c>
      <c r="I70" s="2221">
        <v>8480967</v>
      </c>
      <c r="J70" s="2365">
        <v>8480967</v>
      </c>
    </row>
    <row r="71" spans="2:10" ht="15" hidden="1" thickBot="1">
      <c r="B71" s="2366"/>
      <c r="C71" s="2438"/>
      <c r="D71" s="2439"/>
      <c r="E71" s="2440"/>
      <c r="F71" s="2440"/>
      <c r="G71" s="2440"/>
      <c r="H71" s="2440"/>
      <c r="I71" s="2440"/>
      <c r="J71" s="2441"/>
    </row>
    <row r="72" spans="2:10" ht="15" thickBot="1">
      <c r="B72" s="2414" t="s">
        <v>243</v>
      </c>
      <c r="C72" s="2415"/>
      <c r="D72" s="2416"/>
      <c r="E72" s="2417">
        <v>243932554</v>
      </c>
      <c r="F72" s="2417">
        <v>415954204</v>
      </c>
      <c r="G72" s="2417">
        <v>440068727</v>
      </c>
      <c r="H72" s="2417">
        <v>432844418</v>
      </c>
      <c r="I72" s="2417">
        <v>432844418</v>
      </c>
      <c r="J72" s="2418">
        <v>435240978</v>
      </c>
    </row>
    <row r="73" spans="2:10">
      <c r="H73" s="318"/>
      <c r="J73" s="318"/>
    </row>
  </sheetData>
  <sheetProtection algorithmName="SHA-512" hashValue="QxTjEkbARTTW3EN1yKADd79TkexeWbtCKjHGd7nsi8kXKZgEsl5sAx7Aa8sOX1iY9amzs5S0mUaKkcTb5XqdBA==" saltValue="bVDveCtLNdRn1rrQZw0x0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I110"/>
  <sheetViews>
    <sheetView topLeftCell="A57" workbookViewId="0">
      <selection activeCell="M91" sqref="M91"/>
    </sheetView>
  </sheetViews>
  <sheetFormatPr defaultColWidth="9" defaultRowHeight="12"/>
  <cols>
    <col min="1" max="1" width="9.265625" style="2166" bestFit="1" customWidth="1"/>
    <col min="2" max="3" width="5.86328125" style="2166" bestFit="1" customWidth="1"/>
    <col min="4" max="4" width="78.59765625" style="2167" bestFit="1" customWidth="1"/>
    <col min="5" max="8" width="15.86328125" style="2168" hidden="1" customWidth="1"/>
    <col min="9" max="10" width="15.86328125" style="2168" customWidth="1"/>
    <col min="11" max="11" width="16" style="2168" customWidth="1"/>
    <col min="12" max="12" width="15.86328125" style="971" customWidth="1"/>
    <col min="13" max="13" width="23.86328125" style="971" bestFit="1" customWidth="1"/>
    <col min="14" max="14" width="34.265625" style="971" bestFit="1" customWidth="1"/>
    <col min="15" max="15" width="16.265625" style="970" customWidth="1"/>
    <col min="16" max="16" width="21" style="970" bestFit="1" customWidth="1"/>
    <col min="17" max="18" width="16.265625" style="970" customWidth="1"/>
    <col min="19" max="19" width="14.59765625" style="970" customWidth="1"/>
    <col min="20" max="20" width="17.73046875" style="2057" bestFit="1" customWidth="1"/>
    <col min="21" max="21" width="15" style="970" bestFit="1" customWidth="1"/>
    <col min="22" max="22" width="12.86328125" style="2058" customWidth="1"/>
    <col min="23" max="23" width="11.59765625" style="2059" customWidth="1"/>
    <col min="24" max="24" width="10" style="968" bestFit="1" customWidth="1"/>
    <col min="25" max="33" width="9" style="968" customWidth="1"/>
    <col min="34" max="16384" width="9" style="968"/>
  </cols>
  <sheetData>
    <row r="1" spans="1:23" ht="16.5" customHeight="1">
      <c r="A1" s="2056"/>
      <c r="B1" s="2056"/>
      <c r="C1" s="2056"/>
      <c r="D1" s="2056"/>
      <c r="E1" s="2056"/>
      <c r="F1" s="2056"/>
      <c r="G1" s="2056"/>
      <c r="H1" s="2056"/>
      <c r="I1" s="2056"/>
      <c r="J1" s="2056"/>
      <c r="K1" s="2056"/>
    </row>
    <row r="2" spans="1:23" s="967" customFormat="1">
      <c r="A2" s="2060" t="s">
        <v>2373</v>
      </c>
      <c r="B2" s="2061"/>
      <c r="C2" s="2061"/>
      <c r="D2" s="2062"/>
      <c r="E2" s="2063"/>
      <c r="F2" s="2063"/>
      <c r="G2" s="2063"/>
      <c r="H2" s="2063"/>
      <c r="I2" s="2063"/>
      <c r="J2" s="2063"/>
      <c r="K2" s="2063"/>
      <c r="L2" s="2064"/>
      <c r="M2" s="2064"/>
      <c r="N2" s="2064"/>
      <c r="O2" s="2065"/>
      <c r="P2" s="2065"/>
      <c r="Q2" s="2065"/>
      <c r="R2" s="2065"/>
      <c r="S2" s="2065"/>
      <c r="T2" s="2066"/>
      <c r="U2" s="2065"/>
      <c r="V2" s="2067"/>
      <c r="W2" s="2068"/>
    </row>
    <row r="3" spans="1:23">
      <c r="A3" s="2069" t="s">
        <v>739</v>
      </c>
      <c r="B3" s="2070"/>
      <c r="C3" s="2070"/>
      <c r="D3" s="2071"/>
      <c r="E3" s="2072"/>
      <c r="F3" s="2072"/>
      <c r="G3" s="2072"/>
      <c r="H3" s="2072"/>
      <c r="I3" s="2072"/>
      <c r="J3" s="2072"/>
      <c r="K3" s="2072"/>
    </row>
    <row r="4" spans="1:23" ht="15" customHeight="1" thickBot="1">
      <c r="A4" s="2070"/>
      <c r="B4" s="2070"/>
      <c r="C4" s="2070"/>
      <c r="D4" s="2073"/>
      <c r="E4" s="2074"/>
      <c r="F4" s="2074"/>
      <c r="G4" s="2074"/>
      <c r="H4" s="2074"/>
      <c r="I4" s="2074"/>
      <c r="J4" s="2074"/>
      <c r="K4" s="2074"/>
      <c r="O4" s="2059"/>
      <c r="P4" s="2059"/>
      <c r="Q4" s="2075"/>
      <c r="R4" s="2075" t="s">
        <v>684</v>
      </c>
      <c r="S4" s="2075"/>
      <c r="T4" s="2076" t="s">
        <v>708</v>
      </c>
    </row>
    <row r="5" spans="1:23" s="969" customFormat="1" ht="35.25" customHeight="1" thickBot="1">
      <c r="A5" s="3090" t="s">
        <v>0</v>
      </c>
      <c r="B5" s="3091"/>
      <c r="C5" s="3091"/>
      <c r="D5" s="3092"/>
      <c r="E5" s="2077" t="s">
        <v>2128</v>
      </c>
      <c r="F5" s="2077" t="s">
        <v>2372</v>
      </c>
      <c r="G5" s="2077" t="s">
        <v>1953</v>
      </c>
      <c r="H5" s="2077" t="s">
        <v>2687</v>
      </c>
      <c r="I5" s="2077" t="s">
        <v>2810</v>
      </c>
      <c r="J5" s="2077" t="s">
        <v>2128</v>
      </c>
      <c r="K5" s="2077" t="s">
        <v>2878</v>
      </c>
      <c r="L5" s="958"/>
      <c r="M5" s="958" t="s">
        <v>2611</v>
      </c>
      <c r="N5" s="3013"/>
      <c r="O5" s="2078" t="s">
        <v>356</v>
      </c>
      <c r="P5" s="2079">
        <v>2015</v>
      </c>
      <c r="Q5" s="2079">
        <v>2016</v>
      </c>
      <c r="R5" s="2079">
        <v>2017</v>
      </c>
      <c r="S5" s="2079">
        <v>2018</v>
      </c>
      <c r="T5" s="2079">
        <v>2019</v>
      </c>
      <c r="U5" s="2080"/>
      <c r="V5" s="959"/>
      <c r="W5" s="2079" t="s">
        <v>701</v>
      </c>
    </row>
    <row r="6" spans="1:23" s="969" customFormat="1" ht="20.25" customHeight="1" thickBot="1">
      <c r="A6" s="2081" t="s">
        <v>8</v>
      </c>
      <c r="B6" s="2082" t="s">
        <v>9</v>
      </c>
      <c r="C6" s="2082" t="s">
        <v>10</v>
      </c>
      <c r="D6" s="2083" t="s">
        <v>11</v>
      </c>
      <c r="E6" s="2084"/>
      <c r="F6" s="2084"/>
      <c r="G6" s="2084"/>
      <c r="H6" s="2084"/>
      <c r="I6" s="2084"/>
      <c r="J6" s="2084"/>
      <c r="K6" s="2084"/>
      <c r="L6" s="958"/>
      <c r="M6" s="2085">
        <f>SUM(M7:M13)</f>
        <v>153389205</v>
      </c>
      <c r="N6" s="3013" t="s">
        <v>2685</v>
      </c>
      <c r="O6" s="2079"/>
      <c r="P6" s="2079">
        <v>2015</v>
      </c>
      <c r="Q6" s="2079"/>
      <c r="R6" s="2079"/>
      <c r="S6" s="2079"/>
      <c r="T6" s="2086"/>
      <c r="U6" s="2080"/>
      <c r="V6" s="959"/>
      <c r="W6" s="2079"/>
    </row>
    <row r="7" spans="1:23" s="969" customFormat="1" ht="15" customHeight="1">
      <c r="A7" s="2087" t="s">
        <v>12</v>
      </c>
      <c r="B7" s="2087"/>
      <c r="C7" s="2087">
        <v>1111</v>
      </c>
      <c r="D7" s="2088" t="s">
        <v>1150</v>
      </c>
      <c r="E7" s="2089">
        <v>24855312</v>
      </c>
      <c r="F7" s="2089">
        <v>27863123</v>
      </c>
      <c r="G7" s="2089">
        <v>27863123</v>
      </c>
      <c r="H7" s="2089">
        <v>27863123</v>
      </c>
      <c r="I7" s="2089">
        <v>27863123</v>
      </c>
      <c r="J7" s="2089">
        <v>27863123</v>
      </c>
      <c r="K7" s="2089">
        <v>27863123</v>
      </c>
      <c r="L7" s="2090"/>
      <c r="M7" s="2091">
        <v>27863123</v>
      </c>
      <c r="N7" s="3014">
        <v>1875348</v>
      </c>
      <c r="O7" s="2092">
        <f>+L7*0.25</f>
        <v>0</v>
      </c>
      <c r="P7" s="2079">
        <v>2015</v>
      </c>
      <c r="Q7" s="2092">
        <v>16931490</v>
      </c>
      <c r="R7" s="2092">
        <v>12106810</v>
      </c>
      <c r="S7" s="2092"/>
      <c r="T7" s="2086">
        <f>28251021-T8</f>
        <v>26151021</v>
      </c>
      <c r="U7" s="2080"/>
      <c r="V7" s="2058">
        <f>R7/8*12</f>
        <v>18160215</v>
      </c>
      <c r="W7" s="2092"/>
    </row>
    <row r="8" spans="1:23" s="969" customFormat="1">
      <c r="A8" s="2093" t="s">
        <v>12</v>
      </c>
      <c r="B8" s="2093"/>
      <c r="C8" s="2093">
        <v>1112</v>
      </c>
      <c r="D8" s="2094" t="s">
        <v>1152</v>
      </c>
      <c r="E8" s="2089">
        <v>1716548</v>
      </c>
      <c r="F8" s="2089">
        <v>2369138</v>
      </c>
      <c r="G8" s="2089">
        <v>2369138</v>
      </c>
      <c r="H8" s="2089">
        <v>2369138</v>
      </c>
      <c r="I8" s="2089">
        <v>2369138</v>
      </c>
      <c r="J8" s="2089">
        <v>2369138</v>
      </c>
      <c r="K8" s="2089">
        <v>2369138</v>
      </c>
      <c r="L8" s="2090"/>
      <c r="M8" s="2095">
        <v>2369138</v>
      </c>
      <c r="N8" s="2085"/>
      <c r="O8" s="2092">
        <v>1538371.35</v>
      </c>
      <c r="P8" s="2079">
        <v>2015</v>
      </c>
      <c r="Q8" s="2092">
        <v>2184110</v>
      </c>
      <c r="R8" s="2092">
        <v>317580</v>
      </c>
      <c r="S8" s="2092"/>
      <c r="T8" s="2086">
        <v>2100000</v>
      </c>
      <c r="U8" s="2080"/>
      <c r="V8" s="2058">
        <f>+Q8</f>
        <v>2184110</v>
      </c>
      <c r="W8" s="2092"/>
    </row>
    <row r="9" spans="1:23" s="969" customFormat="1" ht="15.75" customHeight="1">
      <c r="A9" s="2093" t="s">
        <v>12</v>
      </c>
      <c r="B9" s="2093"/>
      <c r="C9" s="2093">
        <v>1113</v>
      </c>
      <c r="D9" s="2094" t="s">
        <v>1151</v>
      </c>
      <c r="E9" s="2089">
        <v>4953190</v>
      </c>
      <c r="F9" s="2089">
        <v>4995791</v>
      </c>
      <c r="G9" s="2089">
        <v>4995791</v>
      </c>
      <c r="H9" s="2089">
        <v>4995791</v>
      </c>
      <c r="I9" s="2089">
        <v>4995791</v>
      </c>
      <c r="J9" s="2089">
        <v>4995791</v>
      </c>
      <c r="K9" s="2089">
        <v>4995791</v>
      </c>
      <c r="L9" s="2090"/>
      <c r="M9" s="2095">
        <v>4995791</v>
      </c>
      <c r="N9" s="2085"/>
      <c r="O9" s="2092"/>
      <c r="P9" s="2079">
        <v>2015</v>
      </c>
      <c r="Q9" s="2092">
        <v>1204780</v>
      </c>
      <c r="R9" s="2092">
        <v>996290</v>
      </c>
      <c r="S9" s="2092"/>
      <c r="T9" s="2086"/>
      <c r="U9" s="2080"/>
      <c r="V9" s="2058">
        <f>R9/8*12</f>
        <v>1494435</v>
      </c>
      <c r="W9" s="2092"/>
    </row>
    <row r="10" spans="1:23" s="969" customFormat="1" ht="15.75" customHeight="1">
      <c r="A10" s="2093" t="s">
        <v>12</v>
      </c>
      <c r="B10" s="2093"/>
      <c r="C10" s="2093">
        <v>1111</v>
      </c>
      <c r="D10" s="2094" t="s">
        <v>1153</v>
      </c>
      <c r="E10" s="2089">
        <v>771800</v>
      </c>
      <c r="F10" s="2089">
        <v>1094834</v>
      </c>
      <c r="G10" s="2089">
        <v>1094834</v>
      </c>
      <c r="H10" s="2089">
        <v>1094834</v>
      </c>
      <c r="I10" s="2089">
        <v>1094834</v>
      </c>
      <c r="J10" s="2089">
        <v>1094834</v>
      </c>
      <c r="K10" s="2089">
        <v>1094834</v>
      </c>
      <c r="L10" s="2090"/>
      <c r="M10" s="2095">
        <v>1094834</v>
      </c>
      <c r="N10" s="2085"/>
      <c r="O10" s="2092"/>
      <c r="P10" s="2079">
        <v>2015</v>
      </c>
      <c r="Q10" s="2092"/>
      <c r="R10" s="2092"/>
      <c r="S10" s="2092"/>
      <c r="T10" s="2086"/>
      <c r="U10" s="2080"/>
      <c r="V10" s="2058"/>
      <c r="W10" s="2092"/>
    </row>
    <row r="11" spans="1:23" s="969" customFormat="1" ht="15.75" customHeight="1">
      <c r="A11" s="2093"/>
      <c r="B11" s="2093"/>
      <c r="C11" s="2093">
        <v>1122</v>
      </c>
      <c r="D11" s="2094" t="s">
        <v>2355</v>
      </c>
      <c r="E11" s="2089">
        <v>2118860</v>
      </c>
      <c r="F11" s="2089"/>
      <c r="G11" s="2089"/>
      <c r="H11" s="2089"/>
      <c r="I11" s="2089"/>
      <c r="J11" s="2089"/>
      <c r="K11" s="2089"/>
      <c r="L11" s="2090"/>
      <c r="M11" s="2095"/>
      <c r="N11" s="2085"/>
      <c r="O11" s="2092"/>
      <c r="P11" s="2079"/>
      <c r="Q11" s="2092"/>
      <c r="R11" s="2092"/>
      <c r="S11" s="2092"/>
      <c r="T11" s="2086"/>
      <c r="U11" s="2080"/>
      <c r="V11" s="2058"/>
      <c r="W11" s="2092"/>
    </row>
    <row r="12" spans="1:23" s="969" customFormat="1" ht="15.75" customHeight="1">
      <c r="A12" s="2093" t="s">
        <v>12</v>
      </c>
      <c r="B12" s="2093"/>
      <c r="C12" s="2093">
        <v>1121</v>
      </c>
      <c r="D12" s="2094" t="s">
        <v>15</v>
      </c>
      <c r="E12" s="2089">
        <v>35922921</v>
      </c>
      <c r="F12" s="2089">
        <v>39502801</v>
      </c>
      <c r="G12" s="2089">
        <v>39502801</v>
      </c>
      <c r="H12" s="2089">
        <v>39502801</v>
      </c>
      <c r="I12" s="2089">
        <v>39502801</v>
      </c>
      <c r="J12" s="2089">
        <v>39502801</v>
      </c>
      <c r="K12" s="2089">
        <v>39502801</v>
      </c>
      <c r="L12" s="2090"/>
      <c r="M12" s="2095">
        <v>39502801</v>
      </c>
      <c r="N12" s="2085"/>
      <c r="O12" s="2092">
        <v>15829709.810000001</v>
      </c>
      <c r="P12" s="2079">
        <v>2015</v>
      </c>
      <c r="Q12" s="2092">
        <v>19090960</v>
      </c>
      <c r="R12" s="2092">
        <v>12313840</v>
      </c>
      <c r="S12" s="2092"/>
      <c r="T12" s="2086">
        <v>20479158</v>
      </c>
      <c r="U12" s="2080"/>
      <c r="V12" s="2058">
        <f>R12/8*12</f>
        <v>18470760</v>
      </c>
      <c r="W12" s="2092"/>
    </row>
    <row r="13" spans="1:23" s="969" customFormat="1">
      <c r="A13" s="2093" t="s">
        <v>12</v>
      </c>
      <c r="B13" s="2093"/>
      <c r="C13" s="2093">
        <v>1211</v>
      </c>
      <c r="D13" s="2094" t="s">
        <v>16</v>
      </c>
      <c r="E13" s="2089">
        <v>80505412</v>
      </c>
      <c r="F13" s="2089">
        <v>77563518</v>
      </c>
      <c r="G13" s="2089">
        <v>77563518</v>
      </c>
      <c r="H13" s="2089">
        <v>77563518</v>
      </c>
      <c r="I13" s="2089">
        <v>77563518</v>
      </c>
      <c r="J13" s="2089">
        <v>77563518</v>
      </c>
      <c r="K13" s="2089">
        <v>77563518</v>
      </c>
      <c r="L13" s="2090"/>
      <c r="M13" s="2095">
        <v>77563518</v>
      </c>
      <c r="N13" s="2085"/>
      <c r="O13" s="2092"/>
      <c r="P13" s="2079">
        <v>2015</v>
      </c>
      <c r="Q13" s="2092">
        <v>32871040</v>
      </c>
      <c r="R13" s="2092">
        <v>24837780</v>
      </c>
      <c r="S13" s="2092"/>
      <c r="T13" s="2086">
        <v>49121667</v>
      </c>
      <c r="U13" s="2080"/>
      <c r="V13" s="2058">
        <f>R13/8*12</f>
        <v>37256670</v>
      </c>
      <c r="W13" s="2092"/>
    </row>
    <row r="14" spans="1:23" s="969" customFormat="1" ht="15" customHeight="1">
      <c r="A14" s="2096"/>
      <c r="B14" s="2097"/>
      <c r="C14" s="2097" t="s">
        <v>17</v>
      </c>
      <c r="D14" s="2098" t="s">
        <v>18</v>
      </c>
      <c r="E14" s="2099">
        <v>26000</v>
      </c>
      <c r="F14" s="2099">
        <v>26000</v>
      </c>
      <c r="G14" s="2099">
        <v>26000</v>
      </c>
      <c r="H14" s="2099">
        <v>26000</v>
      </c>
      <c r="I14" s="2099">
        <v>26000</v>
      </c>
      <c r="J14" s="2099">
        <v>26000</v>
      </c>
      <c r="K14" s="2099">
        <v>26000</v>
      </c>
      <c r="L14" s="958"/>
      <c r="M14" s="958"/>
      <c r="N14" s="958"/>
      <c r="O14" s="2086">
        <f t="shared" ref="O14:T14" si="0">SUM(O7:O13)</f>
        <v>17368081.16</v>
      </c>
      <c r="P14" s="2079">
        <v>2015</v>
      </c>
      <c r="Q14" s="2086">
        <f t="shared" si="0"/>
        <v>72282380</v>
      </c>
      <c r="R14" s="2086">
        <f t="shared" si="0"/>
        <v>50572300</v>
      </c>
      <c r="S14" s="2086">
        <f t="shared" si="0"/>
        <v>0</v>
      </c>
      <c r="T14" s="2086">
        <f t="shared" si="0"/>
        <v>97851846</v>
      </c>
      <c r="U14" s="2100"/>
      <c r="V14" s="959">
        <f>SUM(V7:V13)</f>
        <v>77566190</v>
      </c>
      <c r="W14" s="2092">
        <f>SUM(W7:W13)</f>
        <v>0</v>
      </c>
    </row>
    <row r="15" spans="1:23" s="2080" customFormat="1">
      <c r="A15" s="2101" t="s">
        <v>12</v>
      </c>
      <c r="B15" s="2102"/>
      <c r="C15" s="2102" t="s">
        <v>19</v>
      </c>
      <c r="D15" s="2103" t="s">
        <v>20</v>
      </c>
      <c r="E15" s="2104">
        <v>7326528</v>
      </c>
      <c r="F15" s="2104">
        <v>7924224</v>
      </c>
      <c r="G15" s="2104">
        <v>7924224</v>
      </c>
      <c r="H15" s="2104">
        <v>7924224</v>
      </c>
      <c r="I15" s="2104">
        <v>7924224</v>
      </c>
      <c r="J15" s="2104">
        <v>7924224</v>
      </c>
      <c r="K15" s="2104">
        <f>M15</f>
        <v>7924224</v>
      </c>
      <c r="L15" s="958"/>
      <c r="M15" s="958">
        <f>(1056)*(7504)</f>
        <v>7924224</v>
      </c>
      <c r="N15" s="958"/>
      <c r="O15" s="958">
        <v>6884</v>
      </c>
      <c r="P15" s="2080">
        <v>2015</v>
      </c>
      <c r="Q15" s="2057"/>
      <c r="R15" s="2057"/>
      <c r="S15" s="2057"/>
      <c r="T15" s="957" t="e">
        <f>+#REF!-T14</f>
        <v>#REF!</v>
      </c>
      <c r="V15" s="971">
        <f>V14/T14</f>
        <v>0.79269010418055885</v>
      </c>
      <c r="W15" s="2057"/>
    </row>
    <row r="16" spans="1:23" s="969" customFormat="1" ht="15" customHeight="1">
      <c r="A16" s="2096" t="s">
        <v>12</v>
      </c>
      <c r="B16" s="2097"/>
      <c r="C16" s="2097">
        <v>1341</v>
      </c>
      <c r="D16" s="2098" t="s">
        <v>21</v>
      </c>
      <c r="E16" s="2099">
        <v>260000</v>
      </c>
      <c r="F16" s="2099">
        <v>260000</v>
      </c>
      <c r="G16" s="2099">
        <v>260000</v>
      </c>
      <c r="H16" s="2099">
        <v>260000</v>
      </c>
      <c r="I16" s="2099">
        <v>260000</v>
      </c>
      <c r="J16" s="2099">
        <v>260000</v>
      </c>
      <c r="K16" s="2099">
        <v>260000</v>
      </c>
      <c r="L16" s="958"/>
      <c r="M16" s="958"/>
      <c r="N16" s="958"/>
      <c r="O16" s="2080"/>
      <c r="P16" s="2080"/>
      <c r="Q16" s="2080"/>
      <c r="R16" s="2080"/>
      <c r="S16" s="2080"/>
      <c r="T16" s="957"/>
      <c r="U16" s="2080"/>
      <c r="V16" s="959"/>
      <c r="W16" s="2079"/>
    </row>
    <row r="17" spans="1:23" s="969" customFormat="1" ht="15" customHeight="1">
      <c r="A17" s="2096" t="s">
        <v>12</v>
      </c>
      <c r="B17" s="2097"/>
      <c r="C17" s="2097">
        <v>1343</v>
      </c>
      <c r="D17" s="2098" t="s">
        <v>22</v>
      </c>
      <c r="E17" s="2099">
        <v>75000</v>
      </c>
      <c r="F17" s="2099">
        <v>75000</v>
      </c>
      <c r="G17" s="2099">
        <v>75000</v>
      </c>
      <c r="H17" s="2099">
        <v>75000</v>
      </c>
      <c r="I17" s="2099">
        <v>75000</v>
      </c>
      <c r="J17" s="2099">
        <v>75000</v>
      </c>
      <c r="K17" s="2099">
        <v>75000</v>
      </c>
      <c r="L17" s="958"/>
      <c r="M17" s="958"/>
      <c r="N17" s="958"/>
      <c r="O17" s="2080"/>
      <c r="P17" s="2080"/>
      <c r="Q17" s="2080"/>
      <c r="R17" s="2080"/>
      <c r="S17" s="2080"/>
      <c r="T17" s="957"/>
      <c r="U17" s="2080"/>
      <c r="V17" s="959"/>
      <c r="W17" s="2079"/>
    </row>
    <row r="18" spans="1:23" s="969" customFormat="1" ht="15" customHeight="1">
      <c r="A18" s="2096" t="s">
        <v>12</v>
      </c>
      <c r="B18" s="2097"/>
      <c r="C18" s="2097">
        <v>1344</v>
      </c>
      <c r="D18" s="2098" t="s">
        <v>23</v>
      </c>
      <c r="E18" s="2099">
        <v>3000</v>
      </c>
      <c r="F18" s="2099">
        <v>3000</v>
      </c>
      <c r="G18" s="2099">
        <v>3000</v>
      </c>
      <c r="H18" s="2099">
        <v>3000</v>
      </c>
      <c r="I18" s="2099">
        <v>3000</v>
      </c>
      <c r="J18" s="2099">
        <v>3000</v>
      </c>
      <c r="K18" s="2099">
        <v>3000</v>
      </c>
      <c r="L18" s="958"/>
      <c r="M18" s="958"/>
      <c r="N18" s="958"/>
      <c r="O18" s="2080"/>
      <c r="P18" s="2080"/>
      <c r="Q18" s="2080"/>
      <c r="R18" s="2080"/>
      <c r="S18" s="2080"/>
      <c r="T18" s="957"/>
      <c r="U18" s="2080"/>
      <c r="V18" s="959"/>
      <c r="W18" s="2079"/>
    </row>
    <row r="19" spans="1:23" s="969" customFormat="1" ht="15" customHeight="1">
      <c r="A19" s="2096" t="s">
        <v>12</v>
      </c>
      <c r="B19" s="2097"/>
      <c r="C19" s="2097">
        <v>1345</v>
      </c>
      <c r="D19" s="2098" t="s">
        <v>24</v>
      </c>
      <c r="E19" s="2099">
        <v>20000</v>
      </c>
      <c r="F19" s="2099">
        <v>20000</v>
      </c>
      <c r="G19" s="2099">
        <v>20000</v>
      </c>
      <c r="H19" s="2099">
        <v>20000</v>
      </c>
      <c r="I19" s="2099">
        <v>20000</v>
      </c>
      <c r="J19" s="2099">
        <v>20000</v>
      </c>
      <c r="K19" s="2099">
        <v>20000</v>
      </c>
      <c r="L19" s="958"/>
      <c r="M19" s="958"/>
      <c r="N19" s="958"/>
      <c r="O19" s="2080"/>
      <c r="P19" s="2080"/>
      <c r="Q19" s="2080"/>
      <c r="R19" s="2080"/>
      <c r="S19" s="2080"/>
      <c r="T19" s="957"/>
      <c r="U19" s="2080"/>
      <c r="V19" s="959"/>
      <c r="W19" s="2079"/>
    </row>
    <row r="20" spans="1:23" s="969" customFormat="1" ht="15" customHeight="1">
      <c r="A20" s="2096" t="s">
        <v>12</v>
      </c>
      <c r="B20" s="2097"/>
      <c r="C20" s="2097">
        <v>1347</v>
      </c>
      <c r="D20" s="2098" t="s">
        <v>25</v>
      </c>
      <c r="E20" s="2099">
        <v>0</v>
      </c>
      <c r="F20" s="2099">
        <v>0</v>
      </c>
      <c r="G20" s="2099">
        <v>0</v>
      </c>
      <c r="H20" s="2099">
        <v>0</v>
      </c>
      <c r="I20" s="2099">
        <v>0</v>
      </c>
      <c r="J20" s="2099">
        <v>0</v>
      </c>
      <c r="K20" s="2099">
        <v>0</v>
      </c>
      <c r="L20" s="958"/>
      <c r="M20" s="958"/>
      <c r="N20" s="958"/>
      <c r="O20" s="2080"/>
      <c r="P20" s="2080"/>
      <c r="Q20" s="2080"/>
      <c r="R20" s="2080"/>
      <c r="S20" s="2080"/>
      <c r="T20" s="957"/>
      <c r="U20" s="2080"/>
      <c r="V20" s="959"/>
      <c r="W20" s="2079"/>
    </row>
    <row r="21" spans="1:23" s="969" customFormat="1" ht="15" customHeight="1">
      <c r="A21" s="2096" t="s">
        <v>12</v>
      </c>
      <c r="B21" s="2105"/>
      <c r="C21" s="2105" t="s">
        <v>26</v>
      </c>
      <c r="D21" s="2106" t="s">
        <v>27</v>
      </c>
      <c r="E21" s="2099">
        <v>2500000</v>
      </c>
      <c r="F21" s="2099">
        <v>2520000</v>
      </c>
      <c r="G21" s="2099">
        <v>2520000</v>
      </c>
      <c r="H21" s="2099">
        <v>2520000</v>
      </c>
      <c r="I21" s="2099">
        <v>2520000</v>
      </c>
      <c r="J21" s="2099">
        <v>2520000</v>
      </c>
      <c r="K21" s="2099">
        <v>2520000</v>
      </c>
      <c r="L21" s="971">
        <v>2520000</v>
      </c>
      <c r="M21" s="956" t="s">
        <v>1442</v>
      </c>
      <c r="N21" s="956"/>
      <c r="O21" s="2076" t="s">
        <v>727</v>
      </c>
      <c r="P21" s="2076" t="s">
        <v>715</v>
      </c>
      <c r="Q21" s="2080"/>
      <c r="R21" s="2080"/>
      <c r="S21" s="2080"/>
      <c r="T21" s="957"/>
      <c r="U21" s="958"/>
      <c r="V21" s="959"/>
      <c r="W21" s="959"/>
    </row>
    <row r="22" spans="1:23" s="969" customFormat="1">
      <c r="A22" s="2096" t="s">
        <v>12</v>
      </c>
      <c r="B22" s="2105"/>
      <c r="C22" s="2105" t="s">
        <v>26</v>
      </c>
      <c r="D22" s="2106" t="s">
        <v>480</v>
      </c>
      <c r="E22" s="2099">
        <v>5000000</v>
      </c>
      <c r="F22" s="2099"/>
      <c r="G22" s="2099">
        <v>13080000</v>
      </c>
      <c r="H22" s="2099">
        <v>13080000</v>
      </c>
      <c r="I22" s="2099">
        <v>13080000</v>
      </c>
      <c r="J22" s="2099">
        <v>13080000</v>
      </c>
      <c r="K22" s="2099">
        <v>13080000</v>
      </c>
      <c r="L22" s="971"/>
      <c r="M22" s="971" t="s">
        <v>2184</v>
      </c>
      <c r="N22" s="971" t="s">
        <v>2327</v>
      </c>
      <c r="O22" s="2057" t="s">
        <v>2320</v>
      </c>
      <c r="P22" s="2057" t="s">
        <v>2340</v>
      </c>
      <c r="Q22" s="2057"/>
      <c r="R22" s="2057"/>
      <c r="S22" s="2057"/>
      <c r="T22" s="957"/>
      <c r="U22" s="2080"/>
      <c r="V22" s="2058"/>
      <c r="W22" s="2092"/>
    </row>
    <row r="23" spans="1:23" s="969" customFormat="1" ht="15" customHeight="1">
      <c r="A23" s="2096" t="s">
        <v>12</v>
      </c>
      <c r="B23" s="2097"/>
      <c r="C23" s="2097">
        <v>1385</v>
      </c>
      <c r="D23" s="2098" t="s">
        <v>482</v>
      </c>
      <c r="E23" s="2099">
        <v>3100000</v>
      </c>
      <c r="F23" s="2099">
        <v>0</v>
      </c>
      <c r="G23" s="2099">
        <v>0</v>
      </c>
      <c r="H23" s="2099">
        <v>0</v>
      </c>
      <c r="I23" s="2099">
        <v>0</v>
      </c>
      <c r="J23" s="2099">
        <v>0</v>
      </c>
      <c r="K23" s="2099">
        <v>0</v>
      </c>
      <c r="L23" s="956"/>
      <c r="M23" s="956"/>
      <c r="N23" s="956"/>
      <c r="O23" s="2092"/>
      <c r="P23" s="2092"/>
      <c r="Q23" s="2057"/>
      <c r="R23" s="2057"/>
      <c r="S23" s="2057"/>
      <c r="T23" s="957"/>
      <c r="U23" s="958"/>
      <c r="V23" s="959"/>
      <c r="W23" s="959"/>
    </row>
    <row r="24" spans="1:23" s="969" customFormat="1" ht="15" customHeight="1">
      <c r="A24" s="2096" t="s">
        <v>12</v>
      </c>
      <c r="B24" s="2097"/>
      <c r="C24" s="2097">
        <v>1381</v>
      </c>
      <c r="D24" s="2098" t="s">
        <v>740</v>
      </c>
      <c r="E24" s="2099">
        <v>1000000</v>
      </c>
      <c r="F24" s="2099">
        <v>0</v>
      </c>
      <c r="G24" s="2099">
        <v>0</v>
      </c>
      <c r="H24" s="2099">
        <v>0</v>
      </c>
      <c r="I24" s="2099">
        <v>0</v>
      </c>
      <c r="J24" s="2099">
        <v>0</v>
      </c>
      <c r="K24" s="2099">
        <v>0</v>
      </c>
      <c r="L24" s="960"/>
      <c r="M24" s="960"/>
      <c r="N24" s="960"/>
      <c r="O24" s="958"/>
      <c r="P24" s="958"/>
      <c r="Q24" s="958"/>
      <c r="R24" s="958"/>
      <c r="S24" s="958"/>
      <c r="T24" s="957"/>
      <c r="U24" s="958"/>
      <c r="V24" s="959"/>
      <c r="W24" s="959"/>
    </row>
    <row r="25" spans="1:23" s="969" customFormat="1" ht="15" customHeight="1">
      <c r="A25" s="2096" t="s">
        <v>12</v>
      </c>
      <c r="B25" s="2097"/>
      <c r="C25" s="2097" t="s">
        <v>29</v>
      </c>
      <c r="D25" s="2098" t="s">
        <v>30</v>
      </c>
      <c r="E25" s="2107">
        <v>1500000</v>
      </c>
      <c r="F25" s="2107">
        <v>500000</v>
      </c>
      <c r="G25" s="2107">
        <v>500000</v>
      </c>
      <c r="H25" s="2107">
        <v>500000</v>
      </c>
      <c r="I25" s="2107">
        <v>500000</v>
      </c>
      <c r="J25" s="2107">
        <v>500000</v>
      </c>
      <c r="K25" s="2107">
        <v>500000</v>
      </c>
      <c r="L25" s="958"/>
      <c r="M25" s="958"/>
      <c r="N25" s="958"/>
      <c r="O25" s="2080"/>
      <c r="P25" s="2080"/>
      <c r="Q25" s="2080"/>
      <c r="R25" s="2080"/>
      <c r="S25" s="2080"/>
      <c r="T25" s="957"/>
      <c r="U25" s="2080"/>
      <c r="V25" s="959"/>
      <c r="W25" s="2079"/>
    </row>
    <row r="26" spans="1:23" s="969" customFormat="1" ht="15" customHeight="1">
      <c r="A26" s="2108" t="s">
        <v>12</v>
      </c>
      <c r="B26" s="2093"/>
      <c r="C26" s="2093">
        <v>1511</v>
      </c>
      <c r="D26" s="2094" t="s">
        <v>31</v>
      </c>
      <c r="E26" s="2089">
        <v>7810000</v>
      </c>
      <c r="F26" s="2089">
        <v>11193800</v>
      </c>
      <c r="G26" s="2089">
        <v>13790901</v>
      </c>
      <c r="H26" s="2089">
        <v>13790901</v>
      </c>
      <c r="I26" s="2089">
        <v>13790901</v>
      </c>
      <c r="J26" s="2089">
        <v>13790901</v>
      </c>
      <c r="K26" s="2089">
        <v>13790901</v>
      </c>
      <c r="L26" s="958"/>
      <c r="M26" s="958"/>
      <c r="N26" s="958"/>
      <c r="O26" s="2080"/>
      <c r="P26" s="2080"/>
      <c r="Q26" s="2080"/>
      <c r="R26" s="2080"/>
      <c r="S26" s="2080"/>
      <c r="T26" s="957"/>
      <c r="U26" s="2080"/>
      <c r="V26" s="959"/>
      <c r="W26" s="2079"/>
    </row>
    <row r="27" spans="1:23" s="969" customFormat="1" ht="15" customHeight="1">
      <c r="A27" s="2096" t="s">
        <v>12</v>
      </c>
      <c r="B27" s="2097"/>
      <c r="C27" s="2097" t="s">
        <v>32</v>
      </c>
      <c r="D27" s="2098" t="s">
        <v>33</v>
      </c>
      <c r="E27" s="2107">
        <v>0</v>
      </c>
      <c r="F27" s="2107">
        <v>0</v>
      </c>
      <c r="G27" s="2107">
        <v>0</v>
      </c>
      <c r="H27" s="2107">
        <v>0</v>
      </c>
      <c r="I27" s="2107">
        <v>0</v>
      </c>
      <c r="J27" s="2107">
        <v>0</v>
      </c>
      <c r="K27" s="2107">
        <v>0</v>
      </c>
      <c r="L27" s="958"/>
      <c r="M27" s="958"/>
      <c r="N27" s="958"/>
      <c r="O27" s="2080"/>
      <c r="P27" s="2080"/>
      <c r="Q27" s="2080"/>
      <c r="R27" s="2080"/>
      <c r="S27" s="2080">
        <v>2021</v>
      </c>
      <c r="T27" s="958">
        <v>2022</v>
      </c>
      <c r="U27" s="2080">
        <v>2023</v>
      </c>
      <c r="V27" s="959"/>
      <c r="W27" s="2079"/>
    </row>
    <row r="28" spans="1:23" s="969" customFormat="1" ht="15" customHeight="1">
      <c r="A28" s="2096"/>
      <c r="B28" s="2097"/>
      <c r="C28" s="2097">
        <v>4216</v>
      </c>
      <c r="D28" s="2098" t="s">
        <v>2130</v>
      </c>
      <c r="E28" s="2099">
        <v>0</v>
      </c>
      <c r="F28" s="2099">
        <v>30398511</v>
      </c>
      <c r="G28" s="2099">
        <v>30398511</v>
      </c>
      <c r="H28" s="2099">
        <v>30398511</v>
      </c>
      <c r="I28" s="2099">
        <v>30398511</v>
      </c>
      <c r="J28" s="2099">
        <v>30398511</v>
      </c>
      <c r="K28" s="2099">
        <v>30398511</v>
      </c>
      <c r="L28" s="958"/>
      <c r="M28" s="958"/>
      <c r="N28" s="958"/>
      <c r="O28" s="2080"/>
      <c r="P28" s="2080"/>
      <c r="Q28" s="2080"/>
      <c r="R28" s="2080"/>
      <c r="S28" s="2080"/>
      <c r="T28" s="958"/>
      <c r="U28" s="2080"/>
      <c r="V28" s="959"/>
      <c r="W28" s="2079"/>
    </row>
    <row r="29" spans="1:23" s="969" customFormat="1" ht="15" customHeight="1">
      <c r="A29" s="2096" t="s">
        <v>12</v>
      </c>
      <c r="B29" s="2097"/>
      <c r="C29" s="2097">
        <v>4111</v>
      </c>
      <c r="D29" s="2098" t="s">
        <v>2106</v>
      </c>
      <c r="E29" s="2099">
        <v>130800</v>
      </c>
      <c r="F29" s="2099">
        <v>0</v>
      </c>
      <c r="G29" s="2099">
        <v>0</v>
      </c>
      <c r="H29" s="2099">
        <v>0</v>
      </c>
      <c r="I29" s="2099">
        <v>0</v>
      </c>
      <c r="J29" s="2099">
        <v>0</v>
      </c>
      <c r="K29" s="2099">
        <v>0</v>
      </c>
      <c r="L29" s="958"/>
      <c r="M29" s="958"/>
      <c r="N29" s="958"/>
      <c r="O29" s="2080"/>
      <c r="P29" s="2080"/>
      <c r="Q29" s="2080"/>
      <c r="R29" s="2080"/>
      <c r="S29" s="2080"/>
      <c r="T29" s="958"/>
      <c r="U29" s="2080"/>
      <c r="V29" s="959"/>
      <c r="W29" s="2079"/>
    </row>
    <row r="30" spans="1:23" s="969" customFormat="1" ht="15" customHeight="1">
      <c r="A30" s="2096" t="s">
        <v>12</v>
      </c>
      <c r="B30" s="2097"/>
      <c r="C30" s="2097" t="s">
        <v>34</v>
      </c>
      <c r="D30" s="2098" t="s">
        <v>674</v>
      </c>
      <c r="E30" s="2099">
        <v>60000</v>
      </c>
      <c r="F30" s="2099"/>
      <c r="G30" s="2099"/>
      <c r="H30" s="2099"/>
      <c r="I30" s="2099"/>
      <c r="J30" s="2099"/>
      <c r="K30" s="2099"/>
      <c r="L30" s="958"/>
      <c r="M30" s="958"/>
      <c r="N30" s="958"/>
      <c r="O30" s="2080"/>
      <c r="P30" s="2080"/>
      <c r="Q30" s="2080"/>
      <c r="R30" s="2080"/>
      <c r="S30" s="2080"/>
      <c r="T30" s="957"/>
      <c r="U30" s="2080"/>
      <c r="V30" s="959"/>
      <c r="W30" s="2079"/>
    </row>
    <row r="31" spans="1:23" s="969" customFormat="1" ht="15" customHeight="1">
      <c r="A31" s="2096"/>
      <c r="B31" s="2097"/>
      <c r="C31" s="2097">
        <v>4121</v>
      </c>
      <c r="D31" s="2098" t="s">
        <v>2902</v>
      </c>
      <c r="E31" s="2099"/>
      <c r="F31" s="2099">
        <v>0</v>
      </c>
      <c r="G31" s="2099">
        <v>0</v>
      </c>
      <c r="H31" s="2099">
        <v>0</v>
      </c>
      <c r="I31" s="2099">
        <v>0</v>
      </c>
      <c r="J31" s="2099">
        <v>0</v>
      </c>
      <c r="K31" s="2099">
        <v>0</v>
      </c>
      <c r="L31" s="958"/>
      <c r="M31" s="958"/>
      <c r="N31" s="958"/>
      <c r="O31" s="2080"/>
      <c r="P31" s="2080"/>
      <c r="Q31" s="2080"/>
      <c r="R31" s="2080"/>
      <c r="S31" s="2080"/>
      <c r="T31" s="957"/>
      <c r="U31" s="2080"/>
      <c r="V31" s="959"/>
      <c r="W31" s="2079"/>
    </row>
    <row r="32" spans="1:23" s="969" customFormat="1" ht="15" customHeight="1">
      <c r="A32" s="2096" t="s">
        <v>12</v>
      </c>
      <c r="B32" s="2097">
        <v>2212</v>
      </c>
      <c r="C32" s="2097">
        <v>2111</v>
      </c>
      <c r="D32" s="2098" t="s">
        <v>1537</v>
      </c>
      <c r="E32" s="2099">
        <v>21950</v>
      </c>
      <c r="F32" s="2099">
        <v>21950</v>
      </c>
      <c r="G32" s="2099">
        <v>21950</v>
      </c>
      <c r="H32" s="2099">
        <v>21950</v>
      </c>
      <c r="I32" s="2099">
        <v>21950</v>
      </c>
      <c r="J32" s="2099">
        <v>21950</v>
      </c>
      <c r="K32" s="2099">
        <v>21950</v>
      </c>
      <c r="L32" s="958"/>
      <c r="M32" s="958"/>
      <c r="N32" s="958"/>
      <c r="O32" s="2080"/>
      <c r="P32" s="2080"/>
      <c r="Q32" s="2080"/>
      <c r="R32" s="2080"/>
      <c r="S32" s="2080"/>
      <c r="T32" s="957"/>
      <c r="U32" s="2080"/>
      <c r="V32" s="959"/>
      <c r="W32" s="2079"/>
    </row>
    <row r="33" spans="1:35" s="969" customFormat="1" ht="15" customHeight="1">
      <c r="A33" s="2096" t="s">
        <v>12</v>
      </c>
      <c r="B33" s="2097">
        <v>2212</v>
      </c>
      <c r="C33" s="2097">
        <v>2322</v>
      </c>
      <c r="D33" s="2098" t="s">
        <v>1538</v>
      </c>
      <c r="E33" s="2109">
        <v>0</v>
      </c>
      <c r="F33" s="2099">
        <v>0</v>
      </c>
      <c r="G33" s="2099">
        <v>0</v>
      </c>
      <c r="H33" s="2099">
        <v>0</v>
      </c>
      <c r="I33" s="2099">
        <v>0</v>
      </c>
      <c r="J33" s="2099">
        <v>0</v>
      </c>
      <c r="K33" s="2099">
        <v>0</v>
      </c>
      <c r="L33" s="958"/>
      <c r="M33" s="958"/>
      <c r="N33" s="958"/>
      <c r="O33" s="2080"/>
      <c r="P33" s="2080"/>
      <c r="Q33" s="2080"/>
      <c r="R33" s="2080"/>
      <c r="S33" s="2080"/>
      <c r="T33" s="957"/>
      <c r="U33" s="2080"/>
      <c r="V33" s="959"/>
      <c r="W33" s="2079"/>
    </row>
    <row r="34" spans="1:35" s="969" customFormat="1" ht="15" customHeight="1">
      <c r="A34" s="2110">
        <v>2321</v>
      </c>
      <c r="B34" s="2111">
        <v>2310</v>
      </c>
      <c r="C34" s="2111" t="s">
        <v>40</v>
      </c>
      <c r="D34" s="2112" t="s">
        <v>41</v>
      </c>
      <c r="E34" s="2113">
        <v>4806120</v>
      </c>
      <c r="F34" s="2113">
        <v>4806120</v>
      </c>
      <c r="G34" s="2113">
        <v>4806120</v>
      </c>
      <c r="H34" s="2113">
        <v>4806120</v>
      </c>
      <c r="I34" s="2113">
        <v>4806120</v>
      </c>
      <c r="J34" s="2113">
        <v>4806120</v>
      </c>
      <c r="K34" s="2113">
        <f>$T$34*1.21</f>
        <v>4806120</v>
      </c>
      <c r="L34" s="959">
        <v>1522129.26</v>
      </c>
      <c r="M34" s="959"/>
      <c r="N34" s="959"/>
      <c r="O34" s="959">
        <v>1894000</v>
      </c>
      <c r="P34" s="2114">
        <v>2267000</v>
      </c>
      <c r="Q34" s="2115">
        <v>2660000</v>
      </c>
      <c r="R34" s="2115">
        <v>3075000</v>
      </c>
      <c r="S34" s="2115">
        <v>3512000</v>
      </c>
      <c r="T34" s="2115">
        <v>3972000</v>
      </c>
      <c r="U34" s="2115">
        <v>4381456.0968350032</v>
      </c>
      <c r="V34" s="959"/>
      <c r="W34" s="2080"/>
    </row>
    <row r="35" spans="1:35" s="969" customFormat="1" ht="15" customHeight="1">
      <c r="A35" s="2110" t="s">
        <v>42</v>
      </c>
      <c r="B35" s="2111">
        <v>2321</v>
      </c>
      <c r="C35" s="2111" t="s">
        <v>40</v>
      </c>
      <c r="D35" s="2112" t="s">
        <v>43</v>
      </c>
      <c r="E35" s="2113">
        <v>8646660</v>
      </c>
      <c r="F35" s="2113">
        <v>8646660</v>
      </c>
      <c r="G35" s="2113">
        <v>8646660</v>
      </c>
      <c r="H35" s="2113">
        <v>8646660</v>
      </c>
      <c r="I35" s="2113">
        <v>8646660</v>
      </c>
      <c r="J35" s="2113">
        <v>8646660</v>
      </c>
      <c r="K35" s="2113">
        <f>$T$35*1.21</f>
        <v>8646660</v>
      </c>
      <c r="L35" s="959">
        <f>2977926.74-941000</f>
        <v>2036926.7400000002</v>
      </c>
      <c r="M35" s="959"/>
      <c r="N35" s="959"/>
      <c r="O35" s="959">
        <v>4510000</v>
      </c>
      <c r="P35" s="2114">
        <v>4989000</v>
      </c>
      <c r="Q35" s="2115">
        <v>5490000</v>
      </c>
      <c r="R35" s="2115">
        <v>6016000</v>
      </c>
      <c r="S35" s="2115">
        <v>6567000</v>
      </c>
      <c r="T35" s="2115">
        <v>7146000</v>
      </c>
      <c r="U35" s="2115">
        <v>7882649.8660581401</v>
      </c>
      <c r="V35" s="959"/>
      <c r="W35" s="2080"/>
    </row>
    <row r="36" spans="1:35" s="969" customFormat="1" ht="15" customHeight="1">
      <c r="A36" s="2096">
        <v>3113</v>
      </c>
      <c r="B36" s="2097">
        <v>3113</v>
      </c>
      <c r="C36" s="2097" t="s">
        <v>44</v>
      </c>
      <c r="D36" s="2098" t="s">
        <v>45</v>
      </c>
      <c r="E36" s="2099">
        <v>50000</v>
      </c>
      <c r="F36" s="2099">
        <v>50000</v>
      </c>
      <c r="G36" s="2099">
        <v>50000</v>
      </c>
      <c r="H36" s="2099">
        <v>50000</v>
      </c>
      <c r="I36" s="2099">
        <v>50000</v>
      </c>
      <c r="J36" s="2099">
        <v>50000</v>
      </c>
      <c r="K36" s="2099">
        <v>50000</v>
      </c>
      <c r="L36" s="2114"/>
      <c r="M36" s="2114"/>
      <c r="N36" s="2114"/>
      <c r="O36" s="2114"/>
      <c r="P36" s="2114"/>
      <c r="Q36" s="2115">
        <f>+Q34+Q35</f>
        <v>8150000</v>
      </c>
      <c r="R36" s="2115">
        <f t="shared" ref="R36:T36" si="1">+R34+R35</f>
        <v>9091000</v>
      </c>
      <c r="S36" s="2115">
        <f t="shared" si="1"/>
        <v>10079000</v>
      </c>
      <c r="T36" s="2115">
        <f t="shared" si="1"/>
        <v>11118000</v>
      </c>
      <c r="U36" s="2115">
        <f>+U35+U34</f>
        <v>12264105.962893143</v>
      </c>
      <c r="V36" s="959"/>
      <c r="W36" s="2080"/>
    </row>
    <row r="37" spans="1:35" s="969" customFormat="1" ht="15" customHeight="1">
      <c r="A37" s="2096"/>
      <c r="B37" s="2097">
        <v>3113</v>
      </c>
      <c r="C37" s="2097" t="s">
        <v>40</v>
      </c>
      <c r="D37" s="2098" t="s">
        <v>46</v>
      </c>
      <c r="E37" s="2099">
        <v>249000</v>
      </c>
      <c r="F37" s="2099">
        <v>249000</v>
      </c>
      <c r="G37" s="2099">
        <v>249000</v>
      </c>
      <c r="H37" s="2099">
        <v>249000</v>
      </c>
      <c r="I37" s="2099">
        <v>249000</v>
      </c>
      <c r="J37" s="2099">
        <v>249000</v>
      </c>
      <c r="K37" s="2099">
        <v>249000</v>
      </c>
      <c r="L37" s="2114"/>
      <c r="M37" s="2114"/>
      <c r="N37" s="2114"/>
      <c r="O37" s="2116">
        <f>O36/200000</f>
        <v>0</v>
      </c>
      <c r="P37" s="2117">
        <f>P36/200000</f>
        <v>0</v>
      </c>
      <c r="Q37" s="2118">
        <f>Q36/200000</f>
        <v>40.75</v>
      </c>
      <c r="R37" s="2118">
        <f>R36/200000</f>
        <v>45.454999999999998</v>
      </c>
      <c r="S37" s="2118">
        <f t="shared" ref="S37:U37" si="2">S36/200000</f>
        <v>50.395000000000003</v>
      </c>
      <c r="T37" s="2118">
        <f t="shared" si="2"/>
        <v>55.59</v>
      </c>
      <c r="U37" s="2118">
        <f t="shared" si="2"/>
        <v>61.320529814465715</v>
      </c>
      <c r="V37" s="959"/>
      <c r="W37" s="2080"/>
    </row>
    <row r="38" spans="1:35" s="969" customFormat="1" ht="15" customHeight="1">
      <c r="A38" s="2096"/>
      <c r="B38" s="2097">
        <v>3314</v>
      </c>
      <c r="C38" s="2097">
        <v>2111</v>
      </c>
      <c r="D38" s="2098" t="s">
        <v>47</v>
      </c>
      <c r="E38" s="2099">
        <v>50000</v>
      </c>
      <c r="F38" s="2099">
        <v>20000</v>
      </c>
      <c r="G38" s="2099">
        <v>20000</v>
      </c>
      <c r="H38" s="2099">
        <v>20000</v>
      </c>
      <c r="I38" s="2099">
        <v>20000</v>
      </c>
      <c r="J38" s="2099">
        <v>20000</v>
      </c>
      <c r="K38" s="2099">
        <v>20000</v>
      </c>
      <c r="L38" s="958"/>
      <c r="M38" s="958"/>
      <c r="N38" s="958"/>
      <c r="O38" s="2080"/>
      <c r="P38" s="2080"/>
      <c r="Q38" s="2080"/>
      <c r="R38" s="2080"/>
      <c r="S38" s="2080"/>
      <c r="T38" s="957"/>
      <c r="U38" s="2080"/>
      <c r="V38" s="959"/>
      <c r="W38" s="2079"/>
    </row>
    <row r="39" spans="1:35" s="969" customFormat="1" ht="15" customHeight="1">
      <c r="A39" s="2096"/>
      <c r="B39" s="2097">
        <v>3314</v>
      </c>
      <c r="C39" s="2097">
        <v>2321</v>
      </c>
      <c r="D39" s="2098" t="s">
        <v>1539</v>
      </c>
      <c r="E39" s="2109">
        <v>0</v>
      </c>
      <c r="F39" s="2099">
        <v>0</v>
      </c>
      <c r="G39" s="2099">
        <v>0</v>
      </c>
      <c r="H39" s="2099">
        <v>0</v>
      </c>
      <c r="I39" s="2099">
        <v>0</v>
      </c>
      <c r="J39" s="2099">
        <v>0</v>
      </c>
      <c r="K39" s="2099">
        <v>0</v>
      </c>
      <c r="L39" s="958"/>
      <c r="M39" s="958"/>
      <c r="N39" s="958"/>
      <c r="O39" s="2080"/>
      <c r="P39" s="2080"/>
      <c r="Q39" s="2080"/>
      <c r="R39" s="2080"/>
      <c r="S39" s="2080"/>
      <c r="T39" s="957"/>
      <c r="U39" s="2080"/>
      <c r="V39" s="959"/>
      <c r="W39" s="2079"/>
    </row>
    <row r="40" spans="1:35" s="969" customFormat="1" ht="15" customHeight="1">
      <c r="A40" s="2096">
        <v>3349</v>
      </c>
      <c r="B40" s="2097">
        <v>3349</v>
      </c>
      <c r="C40" s="2097">
        <v>2111</v>
      </c>
      <c r="D40" s="2098" t="s">
        <v>48</v>
      </c>
      <c r="E40" s="2099">
        <v>250000</v>
      </c>
      <c r="F40" s="2099">
        <v>250000</v>
      </c>
      <c r="G40" s="2099">
        <v>250000</v>
      </c>
      <c r="H40" s="2099">
        <v>250000</v>
      </c>
      <c r="I40" s="2099">
        <v>250000</v>
      </c>
      <c r="J40" s="2099">
        <v>250000</v>
      </c>
      <c r="K40" s="2099">
        <v>250000</v>
      </c>
      <c r="L40" s="958"/>
      <c r="M40" s="958"/>
      <c r="N40" s="958"/>
      <c r="O40" s="2080"/>
      <c r="P40" s="2080"/>
      <c r="Q40" s="2080"/>
      <c r="R40" s="2080"/>
      <c r="S40" s="2080"/>
      <c r="T40" s="957"/>
      <c r="U40" s="2080"/>
      <c r="V40" s="959"/>
      <c r="W40" s="2079"/>
    </row>
    <row r="41" spans="1:35" s="969" customFormat="1" ht="15" customHeight="1">
      <c r="A41" s="2096"/>
      <c r="B41" s="2097">
        <v>3399</v>
      </c>
      <c r="C41" s="2097" t="s">
        <v>44</v>
      </c>
      <c r="D41" s="2098" t="s">
        <v>49</v>
      </c>
      <c r="E41" s="2099">
        <v>70000</v>
      </c>
      <c r="F41" s="2099">
        <v>70000</v>
      </c>
      <c r="G41" s="2099">
        <v>70000</v>
      </c>
      <c r="H41" s="2099">
        <v>70000</v>
      </c>
      <c r="I41" s="2099">
        <v>70000</v>
      </c>
      <c r="J41" s="2099">
        <v>70000</v>
      </c>
      <c r="K41" s="2099">
        <v>70000</v>
      </c>
      <c r="L41" s="958"/>
      <c r="M41" s="958"/>
      <c r="N41" s="2119">
        <v>6600100</v>
      </c>
      <c r="O41" s="2080">
        <v>2020</v>
      </c>
      <c r="P41" s="2080">
        <v>2021</v>
      </c>
      <c r="Q41" s="2080">
        <v>2022</v>
      </c>
      <c r="R41" s="2080">
        <v>2023</v>
      </c>
      <c r="S41" s="2080">
        <v>2024</v>
      </c>
      <c r="T41" s="2080">
        <v>2025</v>
      </c>
      <c r="U41" s="2080">
        <v>2026</v>
      </c>
      <c r="V41" s="2080">
        <v>2027</v>
      </c>
      <c r="W41" s="2080">
        <v>2028</v>
      </c>
      <c r="X41" s="2080">
        <v>2029</v>
      </c>
      <c r="Y41" s="2080"/>
      <c r="Z41" s="2080"/>
      <c r="AA41" s="2080"/>
      <c r="AB41" s="2080"/>
      <c r="AC41" s="2080"/>
      <c r="AD41" s="2080"/>
      <c r="AE41" s="2080"/>
      <c r="AF41" s="2080"/>
      <c r="AG41" s="2080"/>
      <c r="AH41" s="2080"/>
      <c r="AI41" s="2080"/>
    </row>
    <row r="42" spans="1:35" s="969" customFormat="1" ht="15" customHeight="1">
      <c r="A42" s="2108">
        <v>3412</v>
      </c>
      <c r="B42" s="2093">
        <v>3412</v>
      </c>
      <c r="C42" s="2093">
        <v>2132</v>
      </c>
      <c r="D42" s="2094" t="s">
        <v>50</v>
      </c>
      <c r="E42" s="2089">
        <v>660010</v>
      </c>
      <c r="F42" s="2089">
        <v>330005</v>
      </c>
      <c r="G42" s="2089">
        <v>330005</v>
      </c>
      <c r="H42" s="2089">
        <v>330005</v>
      </c>
      <c r="I42" s="2089">
        <v>330005</v>
      </c>
      <c r="J42" s="2089">
        <v>330005</v>
      </c>
      <c r="K42" s="2089">
        <f>+T42</f>
        <v>330005</v>
      </c>
      <c r="L42" s="958"/>
      <c r="M42" s="958"/>
      <c r="N42" s="958" t="s">
        <v>498</v>
      </c>
      <c r="O42" s="958">
        <f>+N41*0.3</f>
        <v>1980030</v>
      </c>
      <c r="P42" s="958">
        <f>+N41*0.2</f>
        <v>1320020</v>
      </c>
      <c r="Q42" s="958">
        <f>+N41*0.1</f>
        <v>660010</v>
      </c>
      <c r="R42" s="958">
        <f>+N41*0.1</f>
        <v>660010</v>
      </c>
      <c r="S42" s="958">
        <f>+N41*0.05</f>
        <v>330005</v>
      </c>
      <c r="T42" s="958">
        <f>+N41*0.05</f>
        <v>330005</v>
      </c>
      <c r="U42" s="958">
        <f>+N41*0.05</f>
        <v>330005</v>
      </c>
      <c r="V42" s="958">
        <f>+N41*0.05</f>
        <v>330005</v>
      </c>
      <c r="W42" s="958">
        <f>+N41*0.05</f>
        <v>330005</v>
      </c>
      <c r="X42" s="958">
        <f>+N41*0.05</f>
        <v>330005</v>
      </c>
      <c r="Y42" s="2080"/>
      <c r="Z42" s="2080"/>
      <c r="AA42" s="2080"/>
      <c r="AB42" s="2080"/>
      <c r="AC42" s="2080"/>
    </row>
    <row r="43" spans="1:35" s="969" customFormat="1" ht="15" customHeight="1">
      <c r="A43" s="2108"/>
      <c r="B43" s="2093">
        <v>3412</v>
      </c>
      <c r="C43" s="2093">
        <v>3121</v>
      </c>
      <c r="D43" s="2094" t="s">
        <v>2875</v>
      </c>
      <c r="E43" s="2089"/>
      <c r="F43" s="2089"/>
      <c r="G43" s="2089"/>
      <c r="H43" s="2089"/>
      <c r="I43" s="2089"/>
      <c r="J43" s="2089">
        <v>254100</v>
      </c>
      <c r="K43" s="2089">
        <v>254100</v>
      </c>
      <c r="L43" s="958"/>
      <c r="M43" s="958"/>
      <c r="N43" s="958"/>
      <c r="O43" s="958"/>
      <c r="P43" s="958"/>
      <c r="Q43" s="958"/>
      <c r="R43" s="958"/>
      <c r="S43" s="958"/>
      <c r="T43" s="958"/>
      <c r="U43" s="958"/>
      <c r="V43" s="958"/>
      <c r="W43" s="958"/>
      <c r="X43" s="958"/>
      <c r="Y43" s="2080"/>
      <c r="Z43" s="2080"/>
      <c r="AA43" s="2080"/>
      <c r="AB43" s="2080"/>
      <c r="AC43" s="2080"/>
    </row>
    <row r="44" spans="1:35" s="969" customFormat="1" ht="15" customHeight="1">
      <c r="A44" s="2096"/>
      <c r="B44" s="2097">
        <v>3519</v>
      </c>
      <c r="C44" s="2097">
        <v>2132</v>
      </c>
      <c r="D44" s="2098" t="s">
        <v>51</v>
      </c>
      <c r="E44" s="2107">
        <v>828800</v>
      </c>
      <c r="F44" s="2107">
        <v>828800</v>
      </c>
      <c r="G44" s="2107">
        <v>983600</v>
      </c>
      <c r="H44" s="2107">
        <v>983600</v>
      </c>
      <c r="I44" s="2107">
        <v>983600</v>
      </c>
      <c r="J44" s="2107">
        <v>983600</v>
      </c>
      <c r="K44" s="2107">
        <v>983600</v>
      </c>
      <c r="L44" s="958"/>
      <c r="M44" s="958"/>
      <c r="N44" s="958"/>
      <c r="O44" s="958"/>
      <c r="P44" s="2080"/>
      <c r="Q44" s="2080"/>
      <c r="R44" s="2080"/>
      <c r="S44" s="2080"/>
      <c r="T44" s="957"/>
      <c r="U44" s="2080"/>
      <c r="V44" s="959"/>
      <c r="W44" s="2079"/>
    </row>
    <row r="45" spans="1:35" s="969" customFormat="1" ht="15" customHeight="1">
      <c r="A45" s="2096">
        <v>3612</v>
      </c>
      <c r="B45" s="2097">
        <v>3612</v>
      </c>
      <c r="C45" s="2097">
        <v>2111</v>
      </c>
      <c r="D45" s="2098" t="s">
        <v>52</v>
      </c>
      <c r="E45" s="2099">
        <v>2950832</v>
      </c>
      <c r="F45" s="2099">
        <v>2950832</v>
      </c>
      <c r="G45" s="2099">
        <v>4230000</v>
      </c>
      <c r="H45" s="2099">
        <v>4230000</v>
      </c>
      <c r="I45" s="2099">
        <v>4230000</v>
      </c>
      <c r="J45" s="2099">
        <v>4230000</v>
      </c>
      <c r="K45" s="2099">
        <v>4230000</v>
      </c>
      <c r="L45" s="958"/>
      <c r="M45" s="958"/>
      <c r="N45" s="958"/>
      <c r="O45" s="2080"/>
      <c r="P45" s="2080"/>
      <c r="Q45" s="2080"/>
      <c r="R45" s="2080"/>
      <c r="S45" s="2080"/>
      <c r="T45" s="957"/>
      <c r="U45" s="2080"/>
      <c r="V45" s="959"/>
      <c r="W45" s="2079"/>
    </row>
    <row r="46" spans="1:35" s="969" customFormat="1" ht="15" customHeight="1">
      <c r="A46" s="2096">
        <v>3612</v>
      </c>
      <c r="B46" s="2097">
        <v>3612</v>
      </c>
      <c r="C46" s="2097">
        <v>2132</v>
      </c>
      <c r="D46" s="2098" t="s">
        <v>53</v>
      </c>
      <c r="E46" s="2099">
        <v>4800000</v>
      </c>
      <c r="F46" s="2099">
        <v>4800000</v>
      </c>
      <c r="G46" s="2099">
        <v>5600000</v>
      </c>
      <c r="H46" s="2099">
        <v>5801000</v>
      </c>
      <c r="I46" s="2099">
        <v>5801000</v>
      </c>
      <c r="J46" s="2099">
        <v>5801000</v>
      </c>
      <c r="K46" s="2099">
        <f>5600000+201000</f>
        <v>5801000</v>
      </c>
      <c r="L46" s="958"/>
      <c r="M46" s="958"/>
      <c r="N46" s="958"/>
      <c r="O46" s="2080"/>
      <c r="P46" s="2080"/>
      <c r="Q46" s="2080"/>
      <c r="R46" s="2080"/>
      <c r="S46" s="2080"/>
      <c r="T46" s="957"/>
      <c r="U46" s="2080"/>
      <c r="V46" s="959"/>
      <c r="W46" s="2079"/>
    </row>
    <row r="47" spans="1:35" s="969" customFormat="1" ht="15" customHeight="1">
      <c r="A47" s="2096"/>
      <c r="B47" s="2097">
        <v>3612</v>
      </c>
      <c r="C47" s="2097">
        <v>2322</v>
      </c>
      <c r="D47" s="2098" t="s">
        <v>1540</v>
      </c>
      <c r="E47" s="2109">
        <v>0</v>
      </c>
      <c r="F47" s="2099">
        <v>0</v>
      </c>
      <c r="G47" s="2099">
        <v>0</v>
      </c>
      <c r="H47" s="2099">
        <v>0</v>
      </c>
      <c r="I47" s="2099">
        <v>0</v>
      </c>
      <c r="J47" s="2099">
        <v>0</v>
      </c>
      <c r="K47" s="2099">
        <v>0</v>
      </c>
      <c r="L47" s="958"/>
      <c r="M47" s="958"/>
      <c r="N47" s="958"/>
      <c r="O47" s="2080"/>
      <c r="P47" s="2080"/>
      <c r="Q47" s="2080"/>
      <c r="R47" s="2080"/>
      <c r="S47" s="2080"/>
      <c r="T47" s="957"/>
      <c r="U47" s="2080"/>
      <c r="V47" s="959"/>
      <c r="W47" s="2079"/>
    </row>
    <row r="48" spans="1:35" s="969" customFormat="1" ht="15" customHeight="1">
      <c r="A48" s="2096"/>
      <c r="B48" s="2097">
        <v>3612</v>
      </c>
      <c r="C48" s="2097">
        <v>3122</v>
      </c>
      <c r="D48" s="2098" t="s">
        <v>1236</v>
      </c>
      <c r="E48" s="2099">
        <v>0</v>
      </c>
      <c r="F48" s="2099">
        <v>0</v>
      </c>
      <c r="G48" s="2099">
        <v>0</v>
      </c>
      <c r="H48" s="2099">
        <v>0</v>
      </c>
      <c r="I48" s="2099">
        <v>0</v>
      </c>
      <c r="J48" s="2099">
        <v>0</v>
      </c>
      <c r="K48" s="2099">
        <v>0</v>
      </c>
      <c r="L48" s="958"/>
      <c r="M48" s="958"/>
      <c r="N48" s="958"/>
      <c r="O48" s="2080"/>
      <c r="P48" s="2080"/>
      <c r="Q48" s="2080"/>
      <c r="R48" s="2080"/>
      <c r="S48" s="2080"/>
      <c r="T48" s="957"/>
      <c r="U48" s="2080"/>
      <c r="V48" s="959"/>
      <c r="W48" s="2079"/>
    </row>
    <row r="49" spans="1:23" s="969" customFormat="1" ht="15" customHeight="1">
      <c r="A49" s="2096">
        <v>3613</v>
      </c>
      <c r="B49" s="2097">
        <v>3613</v>
      </c>
      <c r="C49" s="2097" t="s">
        <v>44</v>
      </c>
      <c r="D49" s="2098" t="s">
        <v>54</v>
      </c>
      <c r="E49" s="2099">
        <v>81000</v>
      </c>
      <c r="F49" s="2099">
        <v>81000</v>
      </c>
      <c r="G49" s="2099">
        <v>81000</v>
      </c>
      <c r="H49" s="2099">
        <v>81000</v>
      </c>
      <c r="I49" s="2099">
        <v>81000</v>
      </c>
      <c r="J49" s="2099">
        <v>81000</v>
      </c>
      <c r="K49" s="2099">
        <v>81000</v>
      </c>
      <c r="L49" s="958"/>
      <c r="M49" s="958"/>
      <c r="N49" s="958"/>
      <c r="O49" s="2080"/>
      <c r="P49" s="2080"/>
      <c r="Q49" s="2080"/>
      <c r="R49" s="2080"/>
      <c r="S49" s="2080"/>
      <c r="T49" s="957"/>
      <c r="U49" s="2080"/>
      <c r="V49" s="959"/>
      <c r="W49" s="2079"/>
    </row>
    <row r="50" spans="1:23" s="969" customFormat="1" ht="15" customHeight="1">
      <c r="A50" s="2108"/>
      <c r="B50" s="2093">
        <v>3613</v>
      </c>
      <c r="C50" s="2093">
        <v>2132</v>
      </c>
      <c r="D50" s="2094" t="s">
        <v>2614</v>
      </c>
      <c r="E50" s="2089"/>
      <c r="F50" s="2089">
        <v>231792</v>
      </c>
      <c r="G50" s="2089">
        <v>231792</v>
      </c>
      <c r="H50" s="2089">
        <v>231792</v>
      </c>
      <c r="I50" s="2089">
        <v>231792</v>
      </c>
      <c r="J50" s="2089">
        <v>231792</v>
      </c>
      <c r="K50" s="2089">
        <f>19316*12</f>
        <v>231792</v>
      </c>
      <c r="L50" s="958"/>
      <c r="M50" s="958"/>
      <c r="N50" s="958"/>
      <c r="O50" s="2080"/>
      <c r="P50" s="2080"/>
      <c r="Q50" s="2080"/>
      <c r="R50" s="2080"/>
      <c r="S50" s="2080"/>
      <c r="T50" s="957"/>
      <c r="U50" s="2080"/>
      <c r="V50" s="959"/>
      <c r="W50" s="2079"/>
    </row>
    <row r="51" spans="1:23" s="969" customFormat="1" ht="15" customHeight="1">
      <c r="A51" s="2096">
        <v>3613</v>
      </c>
      <c r="B51" s="2097">
        <v>3613</v>
      </c>
      <c r="C51" s="2097">
        <v>2132</v>
      </c>
      <c r="D51" s="2098" t="s">
        <v>503</v>
      </c>
      <c r="E51" s="2107">
        <v>179395</v>
      </c>
      <c r="F51" s="2107">
        <v>179395</v>
      </c>
      <c r="G51" s="2107">
        <v>179395</v>
      </c>
      <c r="H51" s="2107">
        <v>179395</v>
      </c>
      <c r="I51" s="2107">
        <v>179395</v>
      </c>
      <c r="J51" s="2107">
        <v>179395</v>
      </c>
      <c r="K51" s="2107">
        <f>240000-20000-40605</f>
        <v>179395</v>
      </c>
      <c r="L51" s="958"/>
      <c r="M51" s="958"/>
      <c r="N51" s="958"/>
      <c r="O51" s="2080"/>
      <c r="P51" s="2080"/>
      <c r="Q51" s="2080"/>
      <c r="R51" s="2080"/>
      <c r="S51" s="2080"/>
      <c r="T51" s="957"/>
      <c r="U51" s="2080"/>
      <c r="V51" s="959"/>
      <c r="W51" s="2079"/>
    </row>
    <row r="52" spans="1:23" s="969" customFormat="1" ht="15" customHeight="1">
      <c r="A52" s="2096">
        <v>3613</v>
      </c>
      <c r="B52" s="2097">
        <v>3613</v>
      </c>
      <c r="C52" s="2097">
        <v>2111</v>
      </c>
      <c r="D52" s="2098" t="s">
        <v>741</v>
      </c>
      <c r="E52" s="2099">
        <v>78000</v>
      </c>
      <c r="F52" s="2099">
        <v>78000</v>
      </c>
      <c r="G52" s="2099">
        <v>78000</v>
      </c>
      <c r="H52" s="2099">
        <v>78000</v>
      </c>
      <c r="I52" s="2099">
        <v>78000</v>
      </c>
      <c r="J52" s="2099">
        <v>78000</v>
      </c>
      <c r="K52" s="2099">
        <v>78000</v>
      </c>
      <c r="L52" s="958"/>
      <c r="M52" s="958"/>
      <c r="N52" s="958"/>
      <c r="O52" s="2080"/>
      <c r="P52" s="2080"/>
      <c r="Q52" s="2080"/>
      <c r="R52" s="2080"/>
      <c r="S52" s="2080"/>
      <c r="T52" s="957"/>
      <c r="U52" s="2080"/>
      <c r="V52" s="959"/>
      <c r="W52" s="2079"/>
    </row>
    <row r="53" spans="1:23" s="969" customFormat="1" ht="15" customHeight="1">
      <c r="A53" s="2096">
        <v>3613</v>
      </c>
      <c r="B53" s="2097">
        <v>3613</v>
      </c>
      <c r="C53" s="2097">
        <v>2132</v>
      </c>
      <c r="D53" s="2098" t="s">
        <v>55</v>
      </c>
      <c r="E53" s="2099">
        <v>400000</v>
      </c>
      <c r="F53" s="2099">
        <v>400000</v>
      </c>
      <c r="G53" s="2099">
        <v>400000</v>
      </c>
      <c r="H53" s="2099">
        <v>400000</v>
      </c>
      <c r="I53" s="2099">
        <v>400000</v>
      </c>
      <c r="J53" s="2099">
        <v>400000</v>
      </c>
      <c r="K53" s="2099">
        <v>400000</v>
      </c>
      <c r="L53" s="958"/>
      <c r="M53" s="958"/>
      <c r="N53" s="958"/>
      <c r="O53" s="2080"/>
      <c r="P53" s="2080"/>
      <c r="Q53" s="2080"/>
      <c r="R53" s="2080"/>
      <c r="S53" s="2080"/>
      <c r="T53" s="957"/>
      <c r="U53" s="2080"/>
      <c r="V53" s="959"/>
      <c r="W53" s="2079"/>
    </row>
    <row r="54" spans="1:23" s="2080" customFormat="1" ht="15" customHeight="1">
      <c r="A54" s="2108" t="s">
        <v>197</v>
      </c>
      <c r="B54" s="2093">
        <v>3613</v>
      </c>
      <c r="C54" s="2093">
        <v>2132</v>
      </c>
      <c r="D54" s="2094" t="s">
        <v>488</v>
      </c>
      <c r="E54" s="2089">
        <v>1063000</v>
      </c>
      <c r="F54" s="2089">
        <v>1063000</v>
      </c>
      <c r="G54" s="2089">
        <v>1063000</v>
      </c>
      <c r="H54" s="2089">
        <v>1063000</v>
      </c>
      <c r="I54" s="2089">
        <v>1063000</v>
      </c>
      <c r="J54" s="2089">
        <v>1063000</v>
      </c>
      <c r="K54" s="2089">
        <v>1063000</v>
      </c>
      <c r="L54" s="958"/>
      <c r="M54" s="958"/>
      <c r="N54" s="958"/>
      <c r="T54" s="957"/>
      <c r="V54" s="958"/>
    </row>
    <row r="55" spans="1:23" s="969" customFormat="1" ht="15" customHeight="1">
      <c r="A55" s="2096">
        <v>3632</v>
      </c>
      <c r="B55" s="2097">
        <v>3632</v>
      </c>
      <c r="C55" s="2097">
        <v>2111</v>
      </c>
      <c r="D55" s="2098" t="s">
        <v>56</v>
      </c>
      <c r="E55" s="2099">
        <v>250000</v>
      </c>
      <c r="F55" s="2099">
        <v>250000</v>
      </c>
      <c r="G55" s="2099">
        <v>250000</v>
      </c>
      <c r="H55" s="2099">
        <v>250000</v>
      </c>
      <c r="I55" s="2099">
        <v>250000</v>
      </c>
      <c r="J55" s="2099">
        <v>250000</v>
      </c>
      <c r="K55" s="2099">
        <v>250000</v>
      </c>
      <c r="L55" s="958"/>
      <c r="M55" s="958"/>
      <c r="N55" s="958"/>
      <c r="O55" s="2080"/>
      <c r="P55" s="2080"/>
      <c r="Q55" s="2080"/>
      <c r="R55" s="2080"/>
      <c r="S55" s="2080"/>
      <c r="T55" s="957"/>
      <c r="U55" s="2080"/>
      <c r="V55" s="959"/>
      <c r="W55" s="2079"/>
    </row>
    <row r="56" spans="1:23" s="969" customFormat="1" ht="15" customHeight="1">
      <c r="A56" s="2096"/>
      <c r="B56" s="2097">
        <v>3749</v>
      </c>
      <c r="C56" s="2097">
        <v>2321</v>
      </c>
      <c r="D56" s="2098" t="s">
        <v>1541</v>
      </c>
      <c r="E56" s="2099">
        <v>300000</v>
      </c>
      <c r="F56" s="2099"/>
      <c r="G56" s="2099"/>
      <c r="H56" s="2099"/>
      <c r="I56" s="2099"/>
      <c r="J56" s="2099"/>
      <c r="K56" s="2099"/>
      <c r="L56" s="958"/>
      <c r="M56" s="958"/>
      <c r="N56" s="958"/>
      <c r="O56" s="2080"/>
      <c r="P56" s="2080"/>
      <c r="Q56" s="2080"/>
      <c r="R56" s="2080"/>
      <c r="S56" s="2080"/>
      <c r="T56" s="957"/>
      <c r="U56" s="2080"/>
      <c r="V56" s="959"/>
      <c r="W56" s="2079"/>
    </row>
    <row r="57" spans="1:23" s="969" customFormat="1" ht="15" customHeight="1">
      <c r="A57" s="2096"/>
      <c r="B57" s="2097">
        <v>3749</v>
      </c>
      <c r="C57" s="2097">
        <v>2322</v>
      </c>
      <c r="D57" s="2098" t="s">
        <v>1540</v>
      </c>
      <c r="E57" s="2099">
        <v>0</v>
      </c>
      <c r="F57" s="2099">
        <v>0</v>
      </c>
      <c r="G57" s="2099">
        <v>0</v>
      </c>
      <c r="H57" s="2099">
        <v>0</v>
      </c>
      <c r="I57" s="2099">
        <v>0</v>
      </c>
      <c r="J57" s="2099">
        <v>0</v>
      </c>
      <c r="K57" s="2099">
        <v>0</v>
      </c>
      <c r="L57" s="958"/>
      <c r="M57" s="958"/>
      <c r="N57" s="958"/>
      <c r="O57" s="2080"/>
      <c r="P57" s="2080"/>
      <c r="Q57" s="2080"/>
      <c r="R57" s="2080"/>
      <c r="S57" s="2080"/>
      <c r="T57" s="957"/>
      <c r="U57" s="2080"/>
      <c r="V57" s="959"/>
      <c r="W57" s="2079"/>
    </row>
    <row r="58" spans="1:23" s="969" customFormat="1" ht="15" customHeight="1">
      <c r="A58" s="2108">
        <v>3722</v>
      </c>
      <c r="B58" s="2093">
        <v>3722</v>
      </c>
      <c r="C58" s="2093" t="s">
        <v>44</v>
      </c>
      <c r="D58" s="2094" t="s">
        <v>2597</v>
      </c>
      <c r="E58" s="2089">
        <v>1950000</v>
      </c>
      <c r="F58" s="2089">
        <v>1950000</v>
      </c>
      <c r="G58" s="2089">
        <v>1950000</v>
      </c>
      <c r="H58" s="2089">
        <v>1950000</v>
      </c>
      <c r="I58" s="2089">
        <v>1950000</v>
      </c>
      <c r="J58" s="2089">
        <v>1950000</v>
      </c>
      <c r="K58" s="2089">
        <v>1950000</v>
      </c>
      <c r="L58" s="958"/>
      <c r="M58" s="958"/>
      <c r="N58" s="958"/>
      <c r="O58" s="2080"/>
      <c r="P58" s="2080"/>
      <c r="Q58" s="2080"/>
      <c r="R58" s="2080"/>
      <c r="S58" s="2080"/>
      <c r="T58" s="957"/>
      <c r="U58" s="2080"/>
      <c r="V58" s="959"/>
      <c r="W58" s="2079"/>
    </row>
    <row r="59" spans="1:23" s="969" customFormat="1" ht="15" customHeight="1">
      <c r="A59" s="2096">
        <v>4351</v>
      </c>
      <c r="B59" s="2097">
        <v>4351</v>
      </c>
      <c r="C59" s="2097" t="s">
        <v>44</v>
      </c>
      <c r="D59" s="2098" t="s">
        <v>477</v>
      </c>
      <c r="E59" s="2099">
        <v>600000</v>
      </c>
      <c r="F59" s="2099">
        <v>600000</v>
      </c>
      <c r="G59" s="2099">
        <v>600000</v>
      </c>
      <c r="H59" s="2099">
        <v>600000</v>
      </c>
      <c r="I59" s="2099">
        <v>600000</v>
      </c>
      <c r="J59" s="2099">
        <v>600000</v>
      </c>
      <c r="K59" s="2099">
        <v>600000</v>
      </c>
      <c r="L59" s="958"/>
      <c r="M59" s="958"/>
      <c r="N59" s="958"/>
      <c r="O59" s="2080"/>
      <c r="P59" s="2080"/>
      <c r="Q59" s="2080"/>
      <c r="R59" s="2080"/>
      <c r="S59" s="2080"/>
      <c r="T59" s="957"/>
      <c r="U59" s="2080"/>
      <c r="V59" s="959"/>
      <c r="W59" s="2079"/>
    </row>
    <row r="60" spans="1:23" s="969" customFormat="1" ht="15" customHeight="1">
      <c r="A60" s="2096"/>
      <c r="B60" s="2097">
        <v>5512</v>
      </c>
      <c r="C60" s="2097">
        <v>2111</v>
      </c>
      <c r="D60" s="2098" t="s">
        <v>742</v>
      </c>
      <c r="E60" s="2099">
        <v>20000</v>
      </c>
      <c r="F60" s="2099">
        <v>20000</v>
      </c>
      <c r="G60" s="2099">
        <v>20000</v>
      </c>
      <c r="H60" s="2099">
        <v>20000</v>
      </c>
      <c r="I60" s="2099">
        <v>20000</v>
      </c>
      <c r="J60" s="2099">
        <v>20000</v>
      </c>
      <c r="K60" s="2099">
        <v>20000</v>
      </c>
      <c r="L60" s="958"/>
      <c r="M60" s="958"/>
      <c r="N60" s="958"/>
      <c r="O60" s="2080"/>
      <c r="P60" s="2080"/>
      <c r="Q60" s="2080"/>
      <c r="R60" s="2080"/>
      <c r="S60" s="2080"/>
      <c r="T60" s="957"/>
      <c r="U60" s="2080"/>
      <c r="V60" s="959"/>
      <c r="W60" s="2079"/>
    </row>
    <row r="61" spans="1:23" s="969" customFormat="1" ht="15" hidden="1" customHeight="1">
      <c r="A61" s="2096"/>
      <c r="B61" s="2097"/>
      <c r="C61" s="2097">
        <v>2321</v>
      </c>
      <c r="D61" s="2098" t="s">
        <v>1441</v>
      </c>
      <c r="E61" s="2099">
        <v>0</v>
      </c>
      <c r="F61" s="2099">
        <v>0</v>
      </c>
      <c r="G61" s="2099">
        <v>0</v>
      </c>
      <c r="H61" s="2099">
        <v>0</v>
      </c>
      <c r="I61" s="2099">
        <v>0</v>
      </c>
      <c r="J61" s="2099">
        <v>0</v>
      </c>
      <c r="K61" s="2099">
        <v>0</v>
      </c>
      <c r="L61" s="958"/>
      <c r="M61" s="958"/>
      <c r="N61" s="958"/>
      <c r="O61" s="2080"/>
      <c r="P61" s="2080"/>
      <c r="Q61" s="2080"/>
      <c r="R61" s="2080"/>
      <c r="S61" s="2080"/>
      <c r="T61" s="957"/>
      <c r="U61" s="2080"/>
      <c r="V61" s="959"/>
      <c r="W61" s="2079"/>
    </row>
    <row r="62" spans="1:23" s="969" customFormat="1" ht="15" hidden="1" customHeight="1">
      <c r="A62" s="2096">
        <v>6221</v>
      </c>
      <c r="B62" s="2097">
        <v>6221</v>
      </c>
      <c r="C62" s="2097">
        <v>2324</v>
      </c>
      <c r="D62" s="2098" t="s">
        <v>2105</v>
      </c>
      <c r="E62" s="2099">
        <v>292800</v>
      </c>
      <c r="F62" s="2099"/>
      <c r="G62" s="2099"/>
      <c r="H62" s="2099"/>
      <c r="I62" s="2099"/>
      <c r="J62" s="2099"/>
      <c r="K62" s="2099"/>
      <c r="L62" s="958"/>
      <c r="M62" s="958"/>
      <c r="N62" s="958"/>
      <c r="O62" s="2080"/>
      <c r="P62" s="2080"/>
      <c r="Q62" s="2080"/>
      <c r="R62" s="2080"/>
      <c r="S62" s="2080"/>
      <c r="T62" s="957"/>
      <c r="U62" s="2080"/>
      <c r="V62" s="959"/>
      <c r="W62" s="2079"/>
    </row>
    <row r="63" spans="1:23" s="969" customFormat="1" ht="15" hidden="1" customHeight="1">
      <c r="A63" s="2096"/>
      <c r="B63" s="2097">
        <v>9221</v>
      </c>
      <c r="C63" s="2097">
        <v>2321</v>
      </c>
      <c r="D63" s="2098" t="s">
        <v>1512</v>
      </c>
      <c r="E63" s="2099">
        <v>0</v>
      </c>
      <c r="F63" s="2099">
        <v>0</v>
      </c>
      <c r="G63" s="2099">
        <v>0</v>
      </c>
      <c r="H63" s="2099">
        <v>0</v>
      </c>
      <c r="I63" s="2099">
        <v>0</v>
      </c>
      <c r="J63" s="2099">
        <v>0</v>
      </c>
      <c r="K63" s="2099">
        <v>0</v>
      </c>
      <c r="L63" s="958"/>
      <c r="M63" s="958"/>
      <c r="N63" s="958"/>
      <c r="O63" s="2080"/>
      <c r="P63" s="2080"/>
      <c r="Q63" s="2080"/>
      <c r="R63" s="2080"/>
      <c r="S63" s="2080"/>
      <c r="T63" s="957"/>
      <c r="U63" s="2080"/>
      <c r="V63" s="959"/>
      <c r="W63" s="2079"/>
    </row>
    <row r="64" spans="1:23" s="969" customFormat="1" ht="15" customHeight="1">
      <c r="A64" s="2096"/>
      <c r="B64" s="2097">
        <v>5512</v>
      </c>
      <c r="C64" s="2097">
        <v>2132</v>
      </c>
      <c r="D64" s="2098" t="s">
        <v>743</v>
      </c>
      <c r="E64" s="2099">
        <v>24000</v>
      </c>
      <c r="F64" s="2099">
        <v>24000</v>
      </c>
      <c r="G64" s="2099">
        <v>24000</v>
      </c>
      <c r="H64" s="2099">
        <v>24000</v>
      </c>
      <c r="I64" s="2099">
        <v>24000</v>
      </c>
      <c r="J64" s="2099">
        <v>24000</v>
      </c>
      <c r="K64" s="2099">
        <v>24000</v>
      </c>
      <c r="L64" s="958"/>
      <c r="M64" s="958"/>
      <c r="N64" s="958"/>
      <c r="O64" s="2080"/>
      <c r="P64" s="2080"/>
      <c r="Q64" s="2080"/>
      <c r="R64" s="2080"/>
      <c r="S64" s="2080"/>
      <c r="T64" s="957"/>
      <c r="U64" s="2080"/>
      <c r="V64" s="959"/>
      <c r="W64" s="2079"/>
    </row>
    <row r="65" spans="1:23" s="969" customFormat="1" ht="15" customHeight="1">
      <c r="A65" s="2096"/>
      <c r="B65" s="2097">
        <v>6171</v>
      </c>
      <c r="C65" s="2097">
        <v>2111</v>
      </c>
      <c r="D65" s="2098" t="s">
        <v>57</v>
      </c>
      <c r="E65" s="2099">
        <v>17000</v>
      </c>
      <c r="F65" s="2099">
        <v>17000</v>
      </c>
      <c r="G65" s="2099">
        <v>17000</v>
      </c>
      <c r="H65" s="2099">
        <v>17000</v>
      </c>
      <c r="I65" s="2099">
        <v>17000</v>
      </c>
      <c r="J65" s="2099">
        <v>17000</v>
      </c>
      <c r="K65" s="2099">
        <v>17000</v>
      </c>
      <c r="L65" s="958"/>
      <c r="M65" s="958"/>
      <c r="N65" s="958"/>
      <c r="O65" s="2080"/>
      <c r="P65" s="2080"/>
      <c r="Q65" s="2080"/>
      <c r="R65" s="2080"/>
      <c r="S65" s="2080"/>
      <c r="T65" s="957"/>
      <c r="U65" s="2080"/>
      <c r="V65" s="959"/>
      <c r="W65" s="2079"/>
    </row>
    <row r="66" spans="1:23" s="969" customFormat="1" ht="15" customHeight="1">
      <c r="A66" s="2096"/>
      <c r="B66" s="2097"/>
      <c r="C66" s="2097">
        <v>2111</v>
      </c>
      <c r="D66" s="2098" t="s">
        <v>1237</v>
      </c>
      <c r="E66" s="2099"/>
      <c r="F66" s="2099">
        <v>0</v>
      </c>
      <c r="G66" s="2099">
        <v>0</v>
      </c>
      <c r="H66" s="2099">
        <v>0</v>
      </c>
      <c r="I66" s="2099">
        <v>0</v>
      </c>
      <c r="J66" s="2099">
        <v>0</v>
      </c>
      <c r="K66" s="2099">
        <v>0</v>
      </c>
      <c r="L66" s="958"/>
      <c r="M66" s="958"/>
      <c r="N66" s="958"/>
      <c r="O66" s="2080"/>
      <c r="P66" s="2080"/>
      <c r="Q66" s="2080"/>
      <c r="R66" s="2080"/>
      <c r="S66" s="2080"/>
      <c r="T66" s="957"/>
      <c r="U66" s="2080"/>
      <c r="V66" s="959"/>
      <c r="W66" s="2079"/>
    </row>
    <row r="67" spans="1:23" s="969" customFormat="1" ht="15" customHeight="1">
      <c r="A67" s="2096"/>
      <c r="B67" s="2097"/>
      <c r="C67" s="2097">
        <v>2322</v>
      </c>
      <c r="D67" s="2098" t="s">
        <v>553</v>
      </c>
      <c r="E67" s="2099"/>
      <c r="F67" s="2099">
        <v>0</v>
      </c>
      <c r="G67" s="2099">
        <v>0</v>
      </c>
      <c r="H67" s="2099">
        <v>0</v>
      </c>
      <c r="I67" s="2099">
        <v>0</v>
      </c>
      <c r="J67" s="2099">
        <v>0</v>
      </c>
      <c r="K67" s="2099">
        <v>0</v>
      </c>
      <c r="L67" s="958"/>
      <c r="M67" s="958"/>
      <c r="N67" s="958"/>
      <c r="O67" s="2080"/>
      <c r="P67" s="2080"/>
      <c r="Q67" s="2080"/>
      <c r="R67" s="2080"/>
      <c r="S67" s="2080"/>
      <c r="T67" s="957"/>
      <c r="U67" s="2080"/>
      <c r="V67" s="959"/>
      <c r="W67" s="2079"/>
    </row>
    <row r="68" spans="1:23" s="969" customFormat="1" ht="15" customHeight="1">
      <c r="A68" s="2096"/>
      <c r="B68" s="2097"/>
      <c r="C68" s="2097">
        <v>2321</v>
      </c>
      <c r="D68" s="2098" t="s">
        <v>1238</v>
      </c>
      <c r="E68" s="2099"/>
      <c r="F68" s="2099">
        <v>0</v>
      </c>
      <c r="G68" s="2099">
        <v>0</v>
      </c>
      <c r="H68" s="2099">
        <v>0</v>
      </c>
      <c r="I68" s="2099">
        <v>0</v>
      </c>
      <c r="J68" s="2099">
        <v>0</v>
      </c>
      <c r="K68" s="2099">
        <v>0</v>
      </c>
      <c r="L68" s="958"/>
      <c r="M68" s="958"/>
      <c r="N68" s="958"/>
      <c r="O68" s="2080"/>
      <c r="P68" s="2080"/>
      <c r="Q68" s="2080"/>
      <c r="R68" s="2080"/>
      <c r="S68" s="2080"/>
      <c r="T68" s="957"/>
      <c r="U68" s="2080"/>
      <c r="V68" s="959"/>
      <c r="W68" s="2079"/>
    </row>
    <row r="69" spans="1:23" s="969" customFormat="1" ht="15" customHeight="1">
      <c r="A69" s="2096"/>
      <c r="B69" s="2097"/>
      <c r="C69" s="2097">
        <v>2322</v>
      </c>
      <c r="D69" s="2098" t="s">
        <v>553</v>
      </c>
      <c r="E69" s="2099"/>
      <c r="F69" s="2099">
        <v>0</v>
      </c>
      <c r="G69" s="2099">
        <v>0</v>
      </c>
      <c r="H69" s="2099">
        <v>0</v>
      </c>
      <c r="I69" s="2099">
        <v>0</v>
      </c>
      <c r="J69" s="2099">
        <v>0</v>
      </c>
      <c r="K69" s="2099">
        <v>0</v>
      </c>
      <c r="L69" s="958"/>
      <c r="M69" s="958"/>
      <c r="N69" s="958"/>
      <c r="O69" s="2080"/>
      <c r="P69" s="2080"/>
      <c r="Q69" s="2080"/>
      <c r="R69" s="2080"/>
      <c r="S69" s="2080"/>
      <c r="T69" s="957"/>
      <c r="U69" s="2080"/>
      <c r="V69" s="959"/>
      <c r="W69" s="2079"/>
    </row>
    <row r="70" spans="1:23" s="969" customFormat="1" ht="15" customHeight="1">
      <c r="A70" s="2096"/>
      <c r="B70" s="2097"/>
      <c r="C70" s="2097">
        <v>2322</v>
      </c>
      <c r="D70" s="2098" t="s">
        <v>553</v>
      </c>
      <c r="E70" s="2099"/>
      <c r="F70" s="2099">
        <v>0</v>
      </c>
      <c r="G70" s="2099">
        <v>0</v>
      </c>
      <c r="H70" s="2099">
        <v>0</v>
      </c>
      <c r="I70" s="2099">
        <v>0</v>
      </c>
      <c r="J70" s="2099">
        <v>0</v>
      </c>
      <c r="K70" s="2099">
        <v>0</v>
      </c>
      <c r="L70" s="958"/>
      <c r="M70" s="958"/>
      <c r="N70" s="958"/>
      <c r="O70" s="2080"/>
      <c r="P70" s="2080"/>
      <c r="Q70" s="2080"/>
      <c r="R70" s="2080"/>
      <c r="S70" s="2080"/>
      <c r="T70" s="957"/>
      <c r="U70" s="2080"/>
      <c r="V70" s="959"/>
      <c r="W70" s="2079"/>
    </row>
    <row r="71" spans="1:23" s="969" customFormat="1" ht="15" customHeight="1">
      <c r="A71" s="2096"/>
      <c r="B71" s="2097"/>
      <c r="C71" s="2097">
        <v>2212</v>
      </c>
      <c r="D71" s="2098" t="s">
        <v>1239</v>
      </c>
      <c r="E71" s="2099"/>
      <c r="F71" s="2099">
        <v>0</v>
      </c>
      <c r="G71" s="2099">
        <v>0</v>
      </c>
      <c r="H71" s="2099">
        <v>0</v>
      </c>
      <c r="I71" s="2099">
        <v>0</v>
      </c>
      <c r="J71" s="2099">
        <v>0</v>
      </c>
      <c r="K71" s="2099">
        <v>0</v>
      </c>
      <c r="L71" s="958"/>
      <c r="M71" s="958"/>
      <c r="N71" s="958"/>
      <c r="O71" s="2080"/>
      <c r="P71" s="2080"/>
      <c r="Q71" s="2080"/>
      <c r="R71" s="2080"/>
      <c r="S71" s="2080"/>
      <c r="T71" s="957"/>
      <c r="U71" s="2080"/>
      <c r="V71" s="959"/>
      <c r="W71" s="2079"/>
    </row>
    <row r="72" spans="1:23" s="969" customFormat="1" ht="15" customHeight="1">
      <c r="A72" s="2096"/>
      <c r="B72" s="2097"/>
      <c r="C72" s="2097">
        <v>2322</v>
      </c>
      <c r="D72" s="2098" t="s">
        <v>225</v>
      </c>
      <c r="E72" s="2099"/>
      <c r="F72" s="2099">
        <v>0</v>
      </c>
      <c r="G72" s="2099">
        <v>0</v>
      </c>
      <c r="H72" s="2099">
        <v>0</v>
      </c>
      <c r="I72" s="2099">
        <v>0</v>
      </c>
      <c r="J72" s="2099">
        <v>0</v>
      </c>
      <c r="K72" s="2099">
        <v>0</v>
      </c>
      <c r="L72" s="958"/>
      <c r="M72" s="958"/>
      <c r="N72" s="958"/>
      <c r="O72" s="2080"/>
      <c r="P72" s="2080"/>
      <c r="Q72" s="2080"/>
      <c r="R72" s="2080"/>
      <c r="S72" s="2080"/>
      <c r="T72" s="957"/>
      <c r="U72" s="2080"/>
      <c r="V72" s="959"/>
      <c r="W72" s="2079"/>
    </row>
    <row r="73" spans="1:23" s="969" customFormat="1" ht="15" customHeight="1">
      <c r="A73" s="2096"/>
      <c r="B73" s="2097"/>
      <c r="C73" s="2097">
        <v>2212</v>
      </c>
      <c r="D73" s="2098" t="s">
        <v>1240</v>
      </c>
      <c r="E73" s="2099"/>
      <c r="F73" s="2099">
        <v>0</v>
      </c>
      <c r="G73" s="2099">
        <v>0</v>
      </c>
      <c r="H73" s="2099">
        <v>0</v>
      </c>
      <c r="I73" s="2099">
        <v>0</v>
      </c>
      <c r="J73" s="2099">
        <v>0</v>
      </c>
      <c r="K73" s="2099">
        <v>0</v>
      </c>
      <c r="L73" s="958"/>
      <c r="M73" s="958"/>
      <c r="N73" s="958"/>
      <c r="O73" s="2080"/>
      <c r="P73" s="2080"/>
      <c r="Q73" s="2080"/>
      <c r="R73" s="2080"/>
      <c r="S73" s="2080"/>
      <c r="T73" s="957"/>
      <c r="U73" s="2080"/>
      <c r="V73" s="959"/>
      <c r="W73" s="2079"/>
    </row>
    <row r="74" spans="1:23" s="969" customFormat="1" ht="15" customHeight="1">
      <c r="A74" s="2096"/>
      <c r="B74" s="2097">
        <v>6310</v>
      </c>
      <c r="C74" s="2097">
        <v>2141</v>
      </c>
      <c r="D74" s="2098" t="s">
        <v>744</v>
      </c>
      <c r="E74" s="2099">
        <v>10000</v>
      </c>
      <c r="F74" s="2099">
        <v>10000</v>
      </c>
      <c r="G74" s="2099">
        <v>10000</v>
      </c>
      <c r="H74" s="2099">
        <v>10000</v>
      </c>
      <c r="I74" s="2099">
        <v>10000</v>
      </c>
      <c r="J74" s="2099">
        <v>10000</v>
      </c>
      <c r="K74" s="2099">
        <v>10000</v>
      </c>
      <c r="L74" s="958"/>
      <c r="M74" s="958"/>
      <c r="N74" s="958"/>
      <c r="O74" s="2080"/>
      <c r="P74" s="2080"/>
      <c r="Q74" s="2080"/>
      <c r="R74" s="2080"/>
      <c r="S74" s="2080"/>
      <c r="T74" s="957"/>
      <c r="U74" s="2080"/>
      <c r="V74" s="959"/>
      <c r="W74" s="2079"/>
    </row>
    <row r="75" spans="1:23" s="969" customFormat="1" ht="15" customHeight="1">
      <c r="A75" s="2096"/>
      <c r="B75" s="2097">
        <v>6409</v>
      </c>
      <c r="C75" s="2097">
        <v>2132</v>
      </c>
      <c r="D75" s="2098" t="s">
        <v>483</v>
      </c>
      <c r="E75" s="2099">
        <v>4400</v>
      </c>
      <c r="F75" s="2099">
        <v>4400</v>
      </c>
      <c r="G75" s="2099">
        <v>4400</v>
      </c>
      <c r="H75" s="2099">
        <v>4400</v>
      </c>
      <c r="I75" s="2099">
        <v>4400</v>
      </c>
      <c r="J75" s="2099">
        <v>4400</v>
      </c>
      <c r="K75" s="2099">
        <v>4400</v>
      </c>
      <c r="L75" s="958"/>
      <c r="M75" s="958"/>
      <c r="N75" s="958"/>
      <c r="O75" s="2080"/>
      <c r="P75" s="2080"/>
      <c r="Q75" s="2080"/>
      <c r="R75" s="2080"/>
      <c r="S75" s="2080"/>
      <c r="T75" s="957"/>
      <c r="U75" s="2080"/>
      <c r="V75" s="959"/>
      <c r="W75" s="2079"/>
    </row>
    <row r="76" spans="1:23" s="969" customFormat="1" ht="15" customHeight="1">
      <c r="A76" s="2096"/>
      <c r="B76" s="2097">
        <v>6409</v>
      </c>
      <c r="C76" s="2097" t="s">
        <v>58</v>
      </c>
      <c r="D76" s="2098" t="s">
        <v>59</v>
      </c>
      <c r="E76" s="2099">
        <v>65000</v>
      </c>
      <c r="F76" s="2099">
        <v>65000</v>
      </c>
      <c r="G76" s="2099">
        <v>65000</v>
      </c>
      <c r="H76" s="2099">
        <v>123478</v>
      </c>
      <c r="I76" s="2099">
        <v>123478</v>
      </c>
      <c r="J76" s="2099">
        <v>123478</v>
      </c>
      <c r="K76" s="2099">
        <f>65000+2000+44070+12408</f>
        <v>123478</v>
      </c>
      <c r="L76" s="958"/>
      <c r="M76" s="958"/>
      <c r="N76" s="958"/>
      <c r="O76" s="2080"/>
      <c r="P76" s="2080"/>
      <c r="Q76" s="2080"/>
      <c r="R76" s="2080"/>
      <c r="S76" s="2080"/>
      <c r="T76" s="957"/>
      <c r="U76" s="2080"/>
      <c r="V76" s="959"/>
      <c r="W76" s="2079"/>
    </row>
    <row r="77" spans="1:23" s="969" customFormat="1" ht="15" customHeight="1">
      <c r="A77" s="2120">
        <v>6409</v>
      </c>
      <c r="B77" s="2121">
        <v>6409</v>
      </c>
      <c r="C77" s="2121">
        <v>2119</v>
      </c>
      <c r="D77" s="2122" t="s">
        <v>2708</v>
      </c>
      <c r="E77" s="2099">
        <v>300000</v>
      </c>
      <c r="F77" s="2099">
        <v>300000</v>
      </c>
      <c r="G77" s="2099">
        <v>300000</v>
      </c>
      <c r="H77" s="2099">
        <v>376213</v>
      </c>
      <c r="I77" s="2099">
        <v>376213</v>
      </c>
      <c r="J77" s="2099">
        <v>376213</v>
      </c>
      <c r="K77" s="3018">
        <f>300000+10800+27200+2000+3700+32513</f>
        <v>376213</v>
      </c>
      <c r="L77" s="958"/>
      <c r="M77" s="958"/>
      <c r="N77" s="958"/>
      <c r="O77" s="2080"/>
      <c r="P77" s="2080"/>
      <c r="Q77" s="2080"/>
      <c r="R77" s="2080"/>
      <c r="S77" s="2080"/>
      <c r="T77" s="957"/>
      <c r="U77" s="2080"/>
      <c r="V77" s="959"/>
      <c r="W77" s="2079"/>
    </row>
    <row r="78" spans="1:23" s="969" customFormat="1" ht="15" customHeight="1">
      <c r="A78" s="2123"/>
      <c r="B78" s="2124">
        <v>6409</v>
      </c>
      <c r="C78" s="2124">
        <v>3111</v>
      </c>
      <c r="D78" s="2125" t="s">
        <v>2601</v>
      </c>
      <c r="E78" s="2126"/>
      <c r="F78" s="2126"/>
      <c r="G78" s="2126"/>
      <c r="H78" s="2126"/>
      <c r="I78" s="2126"/>
      <c r="J78" s="2126">
        <v>13395560</v>
      </c>
      <c r="K78" s="3074">
        <f>9839280+2119040+1437240</f>
        <v>13395560</v>
      </c>
      <c r="L78" s="958"/>
      <c r="M78" s="958"/>
      <c r="N78" s="958"/>
      <c r="O78" s="2080"/>
      <c r="P78" s="2080"/>
      <c r="Q78" s="2080"/>
      <c r="R78" s="2080"/>
      <c r="S78" s="2080"/>
      <c r="T78" s="957"/>
      <c r="U78" s="2080"/>
      <c r="V78" s="959"/>
      <c r="W78" s="2079"/>
    </row>
    <row r="79" spans="1:23" s="969" customFormat="1" ht="15" customHeight="1">
      <c r="A79" s="2096"/>
      <c r="B79" s="2097">
        <v>6409</v>
      </c>
      <c r="C79" s="2097">
        <v>3111</v>
      </c>
      <c r="D79" s="2098" t="s">
        <v>702</v>
      </c>
      <c r="E79" s="2099">
        <v>0</v>
      </c>
      <c r="F79" s="2099">
        <v>0</v>
      </c>
      <c r="G79" s="2099">
        <v>0</v>
      </c>
      <c r="H79" s="2099">
        <v>0</v>
      </c>
      <c r="I79" s="2099">
        <v>0</v>
      </c>
      <c r="J79" s="2099">
        <v>0</v>
      </c>
      <c r="K79" s="2099">
        <v>0</v>
      </c>
      <c r="L79" s="958"/>
      <c r="M79" s="958"/>
      <c r="N79" s="958"/>
      <c r="O79" s="2080"/>
      <c r="P79" s="2080"/>
      <c r="Q79" s="2080"/>
      <c r="R79" s="2080"/>
      <c r="S79" s="2080"/>
      <c r="T79" s="957"/>
      <c r="U79" s="2080"/>
      <c r="V79" s="2058"/>
      <c r="W79" s="2079"/>
    </row>
    <row r="80" spans="1:23" s="969" customFormat="1" ht="15" customHeight="1">
      <c r="A80" s="2096">
        <v>2321</v>
      </c>
      <c r="B80" s="2097">
        <v>2321</v>
      </c>
      <c r="C80" s="2097" t="s">
        <v>44</v>
      </c>
      <c r="D80" s="2098" t="s">
        <v>61</v>
      </c>
      <c r="E80" s="2099">
        <v>0</v>
      </c>
      <c r="F80" s="2099">
        <v>0</v>
      </c>
      <c r="G80" s="2099">
        <v>0</v>
      </c>
      <c r="H80" s="2099">
        <v>0</v>
      </c>
      <c r="I80" s="2099">
        <v>0</v>
      </c>
      <c r="J80" s="2099">
        <v>0</v>
      </c>
      <c r="K80" s="2099">
        <v>0</v>
      </c>
      <c r="L80" s="958"/>
      <c r="M80" s="958"/>
      <c r="N80" s="958"/>
      <c r="O80" s="2080"/>
      <c r="P80" s="2080"/>
      <c r="Q80" s="2080"/>
      <c r="R80" s="2080"/>
      <c r="S80" s="2080"/>
      <c r="T80" s="957"/>
      <c r="U80" s="2080"/>
      <c r="V80" s="959"/>
      <c r="W80" s="2079"/>
    </row>
    <row r="81" spans="1:23" s="969" customFormat="1" ht="15" customHeight="1">
      <c r="A81" s="2108" t="s">
        <v>12</v>
      </c>
      <c r="B81" s="2093"/>
      <c r="C81" s="2093">
        <v>4112</v>
      </c>
      <c r="D81" s="2094" t="s">
        <v>35</v>
      </c>
      <c r="E81" s="2089">
        <v>10108300</v>
      </c>
      <c r="F81" s="2089">
        <v>10108300</v>
      </c>
      <c r="G81" s="2089">
        <v>10095200</v>
      </c>
      <c r="H81" s="2089">
        <v>10095200</v>
      </c>
      <c r="I81" s="2089">
        <v>10095200</v>
      </c>
      <c r="J81" s="2089">
        <v>10095200</v>
      </c>
      <c r="K81" s="2089">
        <v>10095200</v>
      </c>
      <c r="L81" s="958"/>
      <c r="M81" s="958"/>
      <c r="N81" s="958"/>
      <c r="O81" s="2080"/>
      <c r="P81" s="2080"/>
      <c r="Q81" s="2080"/>
      <c r="R81" s="2080"/>
      <c r="S81" s="2080"/>
      <c r="T81" s="957"/>
      <c r="U81" s="2080"/>
      <c r="V81" s="959"/>
      <c r="W81" s="2079"/>
    </row>
    <row r="82" spans="1:23" s="969" customFormat="1" ht="15" customHeight="1">
      <c r="A82" s="2096" t="s">
        <v>12</v>
      </c>
      <c r="B82" s="2097"/>
      <c r="C82" s="2097">
        <v>4111</v>
      </c>
      <c r="D82" s="2098" t="s">
        <v>1241</v>
      </c>
      <c r="E82" s="2099">
        <v>0</v>
      </c>
      <c r="F82" s="2099">
        <v>0</v>
      </c>
      <c r="G82" s="2099">
        <v>0</v>
      </c>
      <c r="H82" s="2099">
        <v>0</v>
      </c>
      <c r="I82" s="2099">
        <v>0</v>
      </c>
      <c r="J82" s="2099">
        <v>0</v>
      </c>
      <c r="K82" s="2099">
        <v>0</v>
      </c>
      <c r="L82" s="958"/>
      <c r="M82" s="958"/>
      <c r="N82" s="958"/>
      <c r="O82" s="2080"/>
      <c r="P82" s="2080"/>
      <c r="Q82" s="2080"/>
      <c r="R82" s="2080"/>
      <c r="S82" s="2080"/>
      <c r="T82" s="957"/>
      <c r="U82" s="2080"/>
      <c r="V82" s="959"/>
      <c r="W82" s="2079"/>
    </row>
    <row r="83" spans="1:23" s="969" customFormat="1" ht="15" customHeight="1">
      <c r="A83" s="2096" t="s">
        <v>12</v>
      </c>
      <c r="B83" s="2097"/>
      <c r="C83" s="2097">
        <v>4121</v>
      </c>
      <c r="D83" s="2098" t="s">
        <v>2124</v>
      </c>
      <c r="E83" s="2099">
        <v>400000</v>
      </c>
      <c r="F83" s="2099">
        <v>100000</v>
      </c>
      <c r="G83" s="2099">
        <v>100000</v>
      </c>
      <c r="H83" s="2099">
        <v>100000</v>
      </c>
      <c r="I83" s="2099">
        <v>100000</v>
      </c>
      <c r="J83" s="2099">
        <v>100000</v>
      </c>
      <c r="K83" s="2099">
        <v>100000</v>
      </c>
      <c r="L83" s="958"/>
      <c r="M83" s="958"/>
      <c r="N83" s="958"/>
      <c r="O83" s="2080"/>
      <c r="P83" s="2080"/>
      <c r="Q83" s="2080"/>
      <c r="R83" s="2080"/>
      <c r="S83" s="2080"/>
      <c r="T83" s="957"/>
      <c r="U83" s="2080"/>
      <c r="V83" s="959"/>
      <c r="W83" s="2079"/>
    </row>
    <row r="84" spans="1:23" s="969" customFormat="1" ht="15" customHeight="1">
      <c r="A84" s="2108" t="s">
        <v>12</v>
      </c>
      <c r="B84" s="2093"/>
      <c r="C84" s="2093">
        <v>4121</v>
      </c>
      <c r="D84" s="2094" t="s">
        <v>350</v>
      </c>
      <c r="E84" s="2089">
        <v>898400</v>
      </c>
      <c r="F84" s="2089">
        <v>2229000</v>
      </c>
      <c r="G84" s="2089">
        <v>2229000</v>
      </c>
      <c r="H84" s="2089">
        <v>2229000</v>
      </c>
      <c r="I84" s="2089">
        <v>2229000</v>
      </c>
      <c r="J84" s="2089">
        <v>2229000</v>
      </c>
      <c r="K84" s="2089">
        <v>2229000</v>
      </c>
      <c r="L84" s="971" t="s">
        <v>351</v>
      </c>
      <c r="M84" s="971"/>
      <c r="N84" s="971"/>
      <c r="O84" s="2080"/>
      <c r="P84" s="2080"/>
      <c r="Q84" s="2080"/>
      <c r="R84" s="2080"/>
      <c r="S84" s="2080"/>
      <c r="T84" s="957"/>
      <c r="U84" s="2080"/>
      <c r="V84" s="959"/>
      <c r="W84" s="2079"/>
    </row>
    <row r="85" spans="1:23" s="969" customFormat="1" ht="15" customHeight="1">
      <c r="A85" s="2127"/>
      <c r="B85" s="2124"/>
      <c r="C85" s="2124">
        <v>4216</v>
      </c>
      <c r="D85" s="2125" t="s">
        <v>2595</v>
      </c>
      <c r="E85" s="2126"/>
      <c r="F85" s="2126">
        <v>9020110</v>
      </c>
      <c r="G85" s="2126">
        <v>9020110</v>
      </c>
      <c r="H85" s="2126">
        <v>9020110</v>
      </c>
      <c r="I85" s="2126">
        <v>9020110</v>
      </c>
      <c r="J85" s="2126">
        <v>9020110</v>
      </c>
      <c r="K85" s="2126">
        <v>9020110</v>
      </c>
      <c r="L85" s="971"/>
      <c r="M85" s="971"/>
      <c r="N85" s="971"/>
      <c r="O85" s="2080"/>
      <c r="P85" s="2080"/>
      <c r="Q85" s="2080"/>
      <c r="R85" s="2080"/>
      <c r="S85" s="2080"/>
      <c r="T85" s="957"/>
      <c r="U85" s="2080"/>
      <c r="V85" s="959"/>
      <c r="W85" s="2079"/>
    </row>
    <row r="86" spans="1:23" s="969" customFormat="1" ht="15" customHeight="1">
      <c r="A86" s="2127"/>
      <c r="B86" s="2124"/>
      <c r="C86" s="2124">
        <v>4216</v>
      </c>
      <c r="D86" s="2125" t="s">
        <v>2596</v>
      </c>
      <c r="E86" s="2126"/>
      <c r="F86" s="2126">
        <v>24999000</v>
      </c>
      <c r="G86" s="2126">
        <v>24999000</v>
      </c>
      <c r="H86" s="2126">
        <v>24999000</v>
      </c>
      <c r="I86" s="2126">
        <v>24999000</v>
      </c>
      <c r="J86" s="2126">
        <v>14000000</v>
      </c>
      <c r="K86" s="3074">
        <v>14000000</v>
      </c>
      <c r="L86" s="958" t="s">
        <v>2867</v>
      </c>
      <c r="M86" s="958"/>
      <c r="N86" s="958"/>
      <c r="O86" s="2080"/>
      <c r="P86" s="2080"/>
      <c r="Q86" s="2080"/>
      <c r="R86" s="2080"/>
      <c r="S86" s="2080"/>
      <c r="T86" s="957"/>
      <c r="U86" s="2080"/>
      <c r="V86" s="959"/>
      <c r="W86" s="2079"/>
    </row>
    <row r="87" spans="1:23" s="969" customFormat="1" ht="15" customHeight="1">
      <c r="A87" s="2096" t="s">
        <v>12</v>
      </c>
      <c r="B87" s="2097"/>
      <c r="C87" s="2097">
        <v>4216</v>
      </c>
      <c r="D87" s="2098" t="s">
        <v>962</v>
      </c>
      <c r="E87" s="2107">
        <v>0</v>
      </c>
      <c r="F87" s="2107">
        <v>0</v>
      </c>
      <c r="G87" s="2107">
        <v>0</v>
      </c>
      <c r="H87" s="2107">
        <v>0</v>
      </c>
      <c r="I87" s="2107">
        <v>0</v>
      </c>
      <c r="J87" s="2107">
        <v>0</v>
      </c>
      <c r="K87" s="2099">
        <v>0</v>
      </c>
      <c r="L87" s="958"/>
      <c r="M87" s="958"/>
      <c r="N87" s="958"/>
      <c r="O87" s="2080"/>
      <c r="P87" s="2080"/>
      <c r="Q87" s="2080"/>
      <c r="R87" s="2080"/>
      <c r="S87" s="2080"/>
      <c r="T87" s="957"/>
      <c r="U87" s="2080"/>
      <c r="V87" s="959"/>
      <c r="W87" s="2079"/>
    </row>
    <row r="88" spans="1:23" s="969" customFormat="1" ht="15" customHeight="1">
      <c r="A88" s="2096" t="s">
        <v>12</v>
      </c>
      <c r="B88" s="2097"/>
      <c r="C88" s="2097" t="s">
        <v>36</v>
      </c>
      <c r="D88" s="2098" t="s">
        <v>1154</v>
      </c>
      <c r="E88" s="2107">
        <v>0</v>
      </c>
      <c r="F88" s="2107">
        <v>0</v>
      </c>
      <c r="G88" s="2107">
        <v>0</v>
      </c>
      <c r="H88" s="2107">
        <v>0</v>
      </c>
      <c r="I88" s="2107">
        <v>0</v>
      </c>
      <c r="J88" s="2107">
        <v>0</v>
      </c>
      <c r="K88" s="2099">
        <v>0</v>
      </c>
      <c r="L88" s="958"/>
      <c r="M88" s="958"/>
      <c r="N88" s="958"/>
      <c r="O88" s="2080"/>
      <c r="P88" s="2080"/>
      <c r="Q88" s="2080"/>
      <c r="R88" s="2080"/>
      <c r="S88" s="2080"/>
      <c r="T88" s="957"/>
      <c r="U88" s="2080"/>
      <c r="V88" s="959"/>
      <c r="W88" s="2079"/>
    </row>
    <row r="89" spans="1:23" s="969" customFormat="1" ht="15" customHeight="1">
      <c r="A89" s="2096"/>
      <c r="B89" s="2097"/>
      <c r="C89" s="2097"/>
      <c r="D89" s="2098" t="s">
        <v>2325</v>
      </c>
      <c r="E89" s="2107"/>
      <c r="F89" s="2107">
        <v>15000</v>
      </c>
      <c r="G89" s="2107">
        <v>15000</v>
      </c>
      <c r="H89" s="2107">
        <v>15000</v>
      </c>
      <c r="I89" s="2107">
        <v>15000</v>
      </c>
      <c r="J89" s="2107">
        <v>15000</v>
      </c>
      <c r="K89" s="2099">
        <v>15000</v>
      </c>
      <c r="L89" s="958"/>
      <c r="M89" s="958"/>
      <c r="N89" s="958"/>
      <c r="O89" s="2080"/>
      <c r="P89" s="2080"/>
      <c r="Q89" s="2080"/>
      <c r="R89" s="2080"/>
      <c r="S89" s="2080"/>
      <c r="T89" s="957"/>
      <c r="U89" s="2080"/>
      <c r="V89" s="959"/>
      <c r="W89" s="2079"/>
    </row>
    <row r="90" spans="1:23" s="969" customFormat="1" ht="15" customHeight="1">
      <c r="A90" s="2096" t="s">
        <v>12</v>
      </c>
      <c r="B90" s="2097"/>
      <c r="C90" s="2097">
        <v>4222</v>
      </c>
      <c r="D90" s="2098" t="s">
        <v>1243</v>
      </c>
      <c r="E90" s="2107">
        <v>0</v>
      </c>
      <c r="F90" s="2107">
        <v>0</v>
      </c>
      <c r="G90" s="2107">
        <v>0</v>
      </c>
      <c r="H90" s="2107">
        <v>0</v>
      </c>
      <c r="I90" s="2107">
        <v>0</v>
      </c>
      <c r="J90" s="2107">
        <v>0</v>
      </c>
      <c r="K90" s="2099">
        <v>0</v>
      </c>
      <c r="L90" s="958"/>
      <c r="M90" s="958"/>
      <c r="N90" s="958"/>
      <c r="O90" s="2080"/>
      <c r="P90" s="2080"/>
      <c r="Q90" s="2080"/>
      <c r="R90" s="2080"/>
      <c r="S90" s="2080"/>
      <c r="T90" s="957"/>
      <c r="U90" s="2080"/>
      <c r="V90" s="959"/>
      <c r="W90" s="2079"/>
    </row>
    <row r="91" spans="1:23" s="969" customFormat="1" ht="15" customHeight="1">
      <c r="A91" s="2096"/>
      <c r="B91" s="2097"/>
      <c r="C91" s="2097">
        <v>4216</v>
      </c>
      <c r="D91" s="2098" t="s">
        <v>1941</v>
      </c>
      <c r="E91" s="2107">
        <v>15505276</v>
      </c>
      <c r="F91" s="2107">
        <v>0</v>
      </c>
      <c r="G91" s="2107">
        <v>0</v>
      </c>
      <c r="H91" s="2107">
        <v>0</v>
      </c>
      <c r="I91" s="2107">
        <v>0</v>
      </c>
      <c r="J91" s="2107">
        <v>0</v>
      </c>
      <c r="K91" s="2099">
        <v>0</v>
      </c>
      <c r="L91" s="958"/>
      <c r="M91" s="958"/>
      <c r="N91" s="958"/>
      <c r="O91" s="2080"/>
      <c r="P91" s="2080"/>
      <c r="Q91" s="2080"/>
      <c r="R91" s="2080"/>
      <c r="S91" s="2080"/>
      <c r="T91" s="957"/>
      <c r="U91" s="2080"/>
      <c r="V91" s="959"/>
      <c r="W91" s="2079"/>
    </row>
    <row r="92" spans="1:23" s="969" customFormat="1" ht="15" customHeight="1">
      <c r="A92" s="2096" t="s">
        <v>12</v>
      </c>
      <c r="B92" s="2097"/>
      <c r="C92" s="2097" t="s">
        <v>36</v>
      </c>
      <c r="D92" s="2098" t="s">
        <v>1155</v>
      </c>
      <c r="E92" s="2089">
        <v>750000</v>
      </c>
      <c r="F92" s="2107">
        <v>0</v>
      </c>
      <c r="G92" s="2107">
        <v>0</v>
      </c>
      <c r="H92" s="2107">
        <v>0</v>
      </c>
      <c r="I92" s="2107">
        <v>0</v>
      </c>
      <c r="J92" s="2107">
        <v>0</v>
      </c>
      <c r="K92" s="2099">
        <v>0</v>
      </c>
      <c r="L92" s="958"/>
      <c r="M92" s="958"/>
      <c r="N92" s="958"/>
      <c r="O92" s="2080"/>
      <c r="P92" s="2080"/>
      <c r="Q92" s="2080"/>
      <c r="R92" s="2080"/>
      <c r="S92" s="2080"/>
      <c r="T92" s="957"/>
      <c r="U92" s="2080"/>
      <c r="V92" s="959"/>
      <c r="W92" s="2079"/>
    </row>
    <row r="93" spans="1:23" s="969" customFormat="1" ht="15" customHeight="1">
      <c r="A93" s="2096" t="s">
        <v>12</v>
      </c>
      <c r="B93" s="2097"/>
      <c r="C93" s="2097">
        <v>4216</v>
      </c>
      <c r="D93" s="2098" t="s">
        <v>963</v>
      </c>
      <c r="E93" s="2107">
        <v>0</v>
      </c>
      <c r="F93" s="2107">
        <v>0</v>
      </c>
      <c r="G93" s="2107">
        <v>0</v>
      </c>
      <c r="H93" s="2107">
        <v>0</v>
      </c>
      <c r="I93" s="2107">
        <v>0</v>
      </c>
      <c r="J93" s="2107">
        <v>0</v>
      </c>
      <c r="K93" s="2099">
        <v>0</v>
      </c>
      <c r="L93" s="958"/>
      <c r="M93" s="958"/>
      <c r="N93" s="958"/>
      <c r="O93" s="2080"/>
      <c r="P93" s="2080"/>
      <c r="Q93" s="2080"/>
      <c r="R93" s="2080"/>
      <c r="S93" s="2080"/>
      <c r="T93" s="957"/>
      <c r="U93" s="2080"/>
      <c r="V93" s="959"/>
      <c r="W93" s="2079"/>
    </row>
    <row r="94" spans="1:23" s="969" customFormat="1" ht="15" customHeight="1">
      <c r="A94" s="2096" t="s">
        <v>12</v>
      </c>
      <c r="B94" s="2097"/>
      <c r="C94" s="2097">
        <v>4216</v>
      </c>
      <c r="D94" s="2098" t="s">
        <v>1242</v>
      </c>
      <c r="E94" s="2107">
        <v>0</v>
      </c>
      <c r="F94" s="2107">
        <v>0</v>
      </c>
      <c r="G94" s="2107">
        <v>0</v>
      </c>
      <c r="H94" s="2107">
        <v>0</v>
      </c>
      <c r="I94" s="2107">
        <v>0</v>
      </c>
      <c r="J94" s="2107">
        <v>0</v>
      </c>
      <c r="K94" s="2099">
        <v>0</v>
      </c>
      <c r="L94" s="958"/>
      <c r="M94" s="958"/>
      <c r="N94" s="958"/>
      <c r="O94" s="2080"/>
      <c r="P94" s="2080"/>
      <c r="Q94" s="2080"/>
      <c r="R94" s="2080"/>
      <c r="S94" s="2080"/>
      <c r="T94" s="957"/>
      <c r="U94" s="2080"/>
      <c r="V94" s="959"/>
      <c r="W94" s="2079"/>
    </row>
    <row r="95" spans="1:23" s="969" customFormat="1">
      <c r="A95" s="2096" t="s">
        <v>12</v>
      </c>
      <c r="B95" s="2097"/>
      <c r="C95" s="2097" t="s">
        <v>36</v>
      </c>
      <c r="D95" s="2098" t="s">
        <v>1156</v>
      </c>
      <c r="E95" s="2089">
        <v>0</v>
      </c>
      <c r="F95" s="2107">
        <v>0</v>
      </c>
      <c r="G95" s="2107">
        <v>0</v>
      </c>
      <c r="H95" s="2107">
        <v>0</v>
      </c>
      <c r="I95" s="2107">
        <v>0</v>
      </c>
      <c r="J95" s="2107">
        <v>0</v>
      </c>
      <c r="K95" s="2099">
        <v>0</v>
      </c>
      <c r="L95" s="958"/>
      <c r="M95" s="958"/>
      <c r="N95" s="958"/>
      <c r="O95" s="2080"/>
      <c r="P95" s="2080"/>
      <c r="Q95" s="2080"/>
      <c r="R95" s="2080"/>
      <c r="S95" s="2080"/>
      <c r="T95" s="957"/>
      <c r="U95" s="2080"/>
      <c r="V95" s="959"/>
      <c r="W95" s="2079"/>
    </row>
    <row r="96" spans="1:23" s="969" customFormat="1" ht="15" customHeight="1">
      <c r="A96" s="2096" t="s">
        <v>12</v>
      </c>
      <c r="B96" s="2097"/>
      <c r="C96" s="2097" t="s">
        <v>36</v>
      </c>
      <c r="D96" s="2098" t="s">
        <v>1157</v>
      </c>
      <c r="E96" s="2107">
        <v>0</v>
      </c>
      <c r="F96" s="2107">
        <v>0</v>
      </c>
      <c r="G96" s="2107">
        <v>0</v>
      </c>
      <c r="H96" s="2107">
        <v>0</v>
      </c>
      <c r="I96" s="2107">
        <v>0</v>
      </c>
      <c r="J96" s="2107">
        <v>0</v>
      </c>
      <c r="K96" s="2099">
        <v>0</v>
      </c>
      <c r="L96" s="958"/>
      <c r="M96" s="958"/>
      <c r="N96" s="958"/>
      <c r="O96" s="2080"/>
      <c r="P96" s="2080"/>
      <c r="Q96" s="2080"/>
      <c r="R96" s="2080"/>
      <c r="S96" s="2080"/>
      <c r="T96" s="957"/>
      <c r="U96" s="2080"/>
      <c r="V96" s="959"/>
      <c r="W96" s="2079"/>
    </row>
    <row r="97" spans="1:23" s="969" customFormat="1" ht="15" customHeight="1" thickBot="1">
      <c r="A97" s="2108" t="s">
        <v>12</v>
      </c>
      <c r="B97" s="2093"/>
      <c r="C97" s="2093">
        <v>4122</v>
      </c>
      <c r="D97" s="2094" t="s">
        <v>37</v>
      </c>
      <c r="E97" s="2089">
        <v>1916100</v>
      </c>
      <c r="F97" s="2089">
        <v>1916100</v>
      </c>
      <c r="G97" s="2089">
        <v>1744000</v>
      </c>
      <c r="H97" s="2089">
        <v>1744000</v>
      </c>
      <c r="I97" s="2089">
        <v>1744000</v>
      </c>
      <c r="J97" s="2089">
        <v>1744000</v>
      </c>
      <c r="K97" s="2089">
        <v>1744000</v>
      </c>
      <c r="L97" s="958"/>
      <c r="M97" s="958"/>
      <c r="N97" s="958"/>
      <c r="O97" s="2080"/>
      <c r="P97" s="2080"/>
      <c r="Q97" s="2080"/>
      <c r="R97" s="2080"/>
      <c r="S97" s="2080">
        <v>2021</v>
      </c>
      <c r="T97" s="957">
        <v>2022</v>
      </c>
      <c r="U97" s="2080"/>
      <c r="V97" s="959"/>
      <c r="W97" s="2079"/>
    </row>
    <row r="98" spans="1:23" s="2132" customFormat="1" ht="15" customHeight="1" thickBot="1">
      <c r="A98" s="2128" t="s">
        <v>188</v>
      </c>
      <c r="B98" s="2129"/>
      <c r="C98" s="2129"/>
      <c r="D98" s="2130"/>
      <c r="E98" s="2131">
        <v>264162544</v>
      </c>
      <c r="F98" s="2131">
        <v>282994204</v>
      </c>
      <c r="G98" s="2131">
        <v>300720073</v>
      </c>
      <c r="H98" s="2131">
        <v>301055764</v>
      </c>
      <c r="I98" s="2131">
        <v>301055764</v>
      </c>
      <c r="J98" s="2131">
        <v>303706424</v>
      </c>
      <c r="K98" s="2131">
        <f>SUM(K7:K97)</f>
        <v>303706424</v>
      </c>
      <c r="L98" s="958"/>
      <c r="M98" s="958"/>
      <c r="N98" s="958"/>
      <c r="O98" s="958"/>
      <c r="P98" s="2080"/>
      <c r="Q98" s="2080"/>
      <c r="R98" s="2080"/>
      <c r="S98" s="2080"/>
      <c r="T98" s="957"/>
      <c r="U98" s="2080"/>
      <c r="V98" s="959"/>
      <c r="W98" s="2079"/>
    </row>
    <row r="99" spans="1:23" ht="15" customHeight="1" thickBot="1">
      <c r="A99" s="2133"/>
      <c r="B99" s="2133"/>
      <c r="C99" s="2133"/>
      <c r="D99" s="2134"/>
      <c r="E99" s="2135"/>
      <c r="F99" s="2135"/>
      <c r="G99" s="2135"/>
      <c r="H99" s="2135"/>
      <c r="I99" s="2135"/>
      <c r="J99" s="2135"/>
      <c r="K99" s="2135"/>
      <c r="Q99" s="2136"/>
      <c r="R99" s="2136"/>
      <c r="S99" s="2136"/>
      <c r="T99" s="2137"/>
    </row>
    <row r="100" spans="1:23" s="2132" customFormat="1" ht="16.5" customHeight="1" thickBot="1">
      <c r="A100" s="3093" t="s">
        <v>187</v>
      </c>
      <c r="B100" s="3094"/>
      <c r="C100" s="3094"/>
      <c r="D100" s="3095"/>
      <c r="E100" s="2131">
        <v>47775771</v>
      </c>
      <c r="F100" s="2131">
        <v>132960000</v>
      </c>
      <c r="G100" s="2131">
        <v>139348654</v>
      </c>
      <c r="H100" s="2131">
        <v>131788654</v>
      </c>
      <c r="I100" s="2131">
        <v>131788654</v>
      </c>
      <c r="J100" s="2131">
        <v>131788654</v>
      </c>
      <c r="K100" s="2131">
        <f>SUM(K101:K105)</f>
        <v>131788654</v>
      </c>
      <c r="L100" s="958"/>
      <c r="M100" s="958"/>
      <c r="N100" s="958"/>
      <c r="O100" s="2080"/>
      <c r="P100" s="2080"/>
      <c r="Q100" s="2080"/>
      <c r="R100" s="2080"/>
      <c r="S100" s="2080"/>
      <c r="T100" s="957"/>
      <c r="U100" s="2080"/>
      <c r="V100" s="959"/>
      <c r="W100" s="2079"/>
    </row>
    <row r="101" spans="1:23" s="2144" customFormat="1">
      <c r="A101" s="2138"/>
      <c r="B101" s="2139"/>
      <c r="C101" s="2140" t="s">
        <v>38</v>
      </c>
      <c r="D101" s="2141" t="s">
        <v>2872</v>
      </c>
      <c r="E101" s="2142">
        <v>14800000</v>
      </c>
      <c r="F101" s="2142">
        <v>15000000</v>
      </c>
      <c r="G101" s="2142">
        <v>15000000</v>
      </c>
      <c r="H101" s="2142">
        <v>15000000</v>
      </c>
      <c r="I101" s="2142">
        <v>15000000</v>
      </c>
      <c r="J101" s="2142">
        <v>15000000</v>
      </c>
      <c r="K101" s="2142">
        <v>15000000</v>
      </c>
      <c r="L101" s="2143"/>
      <c r="M101" s="2143"/>
      <c r="N101" s="2143"/>
      <c r="T101" s="2145"/>
      <c r="V101" s="2143"/>
    </row>
    <row r="102" spans="1:23" s="2153" customFormat="1">
      <c r="A102" s="2146"/>
      <c r="B102" s="2147"/>
      <c r="C102" s="2148" t="s">
        <v>38</v>
      </c>
      <c r="D102" s="2149" t="s">
        <v>39</v>
      </c>
      <c r="E102" s="2150">
        <v>0</v>
      </c>
      <c r="F102" s="2150">
        <v>0</v>
      </c>
      <c r="G102" s="2150">
        <v>0</v>
      </c>
      <c r="H102" s="2150">
        <v>0</v>
      </c>
      <c r="I102" s="2150">
        <v>0</v>
      </c>
      <c r="J102" s="2150">
        <v>0</v>
      </c>
      <c r="K102" s="2150">
        <v>0</v>
      </c>
      <c r="L102" s="2143"/>
      <c r="M102" s="2143"/>
      <c r="N102" s="2143"/>
      <c r="O102" s="2144"/>
      <c r="P102" s="2144"/>
      <c r="Q102" s="2144"/>
      <c r="R102" s="2144"/>
      <c r="S102" s="2144"/>
      <c r="T102" s="2145"/>
      <c r="U102" s="2144"/>
      <c r="V102" s="2151"/>
      <c r="W102" s="2152"/>
    </row>
    <row r="103" spans="1:23" s="2153" customFormat="1">
      <c r="A103" s="2154"/>
      <c r="B103" s="2155"/>
      <c r="C103" s="2156">
        <v>8123</v>
      </c>
      <c r="D103" s="2157" t="s">
        <v>1942</v>
      </c>
      <c r="E103" s="2158">
        <v>32975771</v>
      </c>
      <c r="F103" s="2158">
        <v>7560000</v>
      </c>
      <c r="G103" s="2158">
        <v>7560000</v>
      </c>
      <c r="H103" s="2158"/>
      <c r="I103" s="2158"/>
      <c r="J103" s="2158"/>
      <c r="K103" s="2158"/>
      <c r="L103" s="2143"/>
      <c r="M103" s="2143"/>
      <c r="N103" s="2143"/>
      <c r="O103" s="2144"/>
      <c r="P103" s="2144"/>
      <c r="Q103" s="2144"/>
      <c r="R103" s="2144"/>
      <c r="S103" s="2144"/>
      <c r="T103" s="2145"/>
      <c r="U103" s="2144"/>
      <c r="V103" s="2151"/>
      <c r="W103" s="2152"/>
    </row>
    <row r="104" spans="1:23" s="2153" customFormat="1">
      <c r="A104" s="2154"/>
      <c r="B104" s="2155"/>
      <c r="C104" s="2156">
        <v>8123</v>
      </c>
      <c r="D104" s="2157" t="s">
        <v>2583</v>
      </c>
      <c r="E104" s="2158"/>
      <c r="F104" s="2158">
        <v>81000000</v>
      </c>
      <c r="G104" s="2158">
        <v>87388654</v>
      </c>
      <c r="H104" s="2158">
        <v>87388654</v>
      </c>
      <c r="I104" s="2158">
        <v>87388654</v>
      </c>
      <c r="J104" s="2158">
        <v>87388654</v>
      </c>
      <c r="K104" s="2158">
        <f>90000000-2611346</f>
        <v>87388654</v>
      </c>
      <c r="L104" s="2143"/>
      <c r="M104" s="2143"/>
      <c r="N104" s="2143"/>
      <c r="O104" s="2144"/>
      <c r="P104" s="2144"/>
      <c r="Q104" s="2144"/>
      <c r="R104" s="2144"/>
      <c r="S104" s="2144"/>
      <c r="T104" s="2145"/>
      <c r="U104" s="2144"/>
      <c r="V104" s="2151"/>
      <c r="W104" s="2152"/>
    </row>
    <row r="105" spans="1:23" s="2153" customFormat="1" ht="12.4" thickBot="1">
      <c r="A105" s="2159"/>
      <c r="B105" s="2160"/>
      <c r="C105" s="2161">
        <v>8123</v>
      </c>
      <c r="D105" s="2162" t="s">
        <v>2624</v>
      </c>
      <c r="E105" s="2163"/>
      <c r="F105" s="2163">
        <v>29400000</v>
      </c>
      <c r="G105" s="2163">
        <v>29400000</v>
      </c>
      <c r="H105" s="2163">
        <v>29400000</v>
      </c>
      <c r="I105" s="2163">
        <v>29400000</v>
      </c>
      <c r="J105" s="2163">
        <v>29400000</v>
      </c>
      <c r="K105" s="2163">
        <v>29400000</v>
      </c>
      <c r="L105" s="2143"/>
      <c r="M105" s="2143"/>
      <c r="N105" s="2143"/>
      <c r="O105" s="2144"/>
      <c r="P105" s="2144"/>
      <c r="Q105" s="2144"/>
      <c r="R105" s="2144"/>
      <c r="S105" s="2144"/>
      <c r="T105" s="2145"/>
      <c r="U105" s="2144"/>
      <c r="V105" s="2151"/>
      <c r="W105" s="2152"/>
    </row>
    <row r="106" spans="1:23" s="969" customFormat="1" ht="20.25" customHeight="1" thickBot="1">
      <c r="A106" s="3087" t="s">
        <v>62</v>
      </c>
      <c r="B106" s="3088"/>
      <c r="C106" s="3088"/>
      <c r="D106" s="3089"/>
      <c r="E106" s="2164">
        <v>311938315</v>
      </c>
      <c r="F106" s="2164">
        <v>415954204</v>
      </c>
      <c r="G106" s="2164">
        <v>440068727</v>
      </c>
      <c r="H106" s="2164">
        <v>432844418</v>
      </c>
      <c r="I106" s="2164">
        <v>432844418</v>
      </c>
      <c r="J106" s="2164">
        <v>435495078</v>
      </c>
      <c r="K106" s="2164">
        <f>+K98+K100</f>
        <v>435495078</v>
      </c>
      <c r="L106" s="958"/>
      <c r="M106" s="958"/>
      <c r="N106" s="958"/>
      <c r="O106" s="2080"/>
      <c r="P106" s="2080"/>
      <c r="Q106" s="2080"/>
      <c r="R106" s="2080"/>
      <c r="S106" s="2080"/>
      <c r="T106" s="957"/>
      <c r="U106" s="2080"/>
      <c r="V106" s="959"/>
      <c r="W106" s="2079"/>
    </row>
    <row r="107" spans="1:23" ht="15" customHeight="1">
      <c r="A107" s="2070"/>
      <c r="B107" s="2070"/>
      <c r="C107" s="2070"/>
      <c r="D107" s="2073"/>
      <c r="E107" s="2074"/>
      <c r="F107" s="2074"/>
      <c r="G107" s="2074"/>
      <c r="H107" s="2074"/>
      <c r="I107" s="2074"/>
      <c r="J107" s="2074"/>
      <c r="K107" s="2074"/>
      <c r="Q107" s="2136"/>
      <c r="R107" s="2136"/>
      <c r="S107" s="2136"/>
      <c r="T107" s="2137"/>
    </row>
    <row r="108" spans="1:23" ht="12.75" customHeight="1">
      <c r="A108" s="2165" t="s">
        <v>545</v>
      </c>
      <c r="B108" s="2070"/>
      <c r="C108" s="2070"/>
      <c r="D108" s="2073"/>
      <c r="E108" s="2072"/>
      <c r="F108" s="2072"/>
      <c r="G108" s="2072"/>
      <c r="H108" s="2072"/>
      <c r="I108" s="2072"/>
      <c r="J108" s="2072"/>
      <c r="K108" s="2072"/>
    </row>
    <row r="109" spans="1:23" ht="12.75" customHeight="1">
      <c r="L109" s="958"/>
      <c r="M109" s="958"/>
      <c r="N109" s="958"/>
      <c r="O109" s="958"/>
      <c r="P109" s="961"/>
      <c r="Q109" s="961"/>
      <c r="R109" s="961"/>
      <c r="S109" s="961"/>
    </row>
    <row r="110" spans="1:23" ht="12.75" customHeight="1">
      <c r="L110" s="958"/>
      <c r="M110" s="958"/>
      <c r="N110" s="958"/>
      <c r="O110" s="958"/>
      <c r="P110" s="961"/>
      <c r="Q110" s="961"/>
      <c r="R110" s="961"/>
      <c r="S110" s="961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6:D106"/>
    <mergeCell ref="A5:D5"/>
    <mergeCell ref="A100:D100"/>
  </mergeCells>
  <phoneticPr fontId="7" type="noConversion"/>
  <pageMargins left="0.31496062992125984" right="0.31496062992125984" top="0.19685039370078741" bottom="0.19685039370078741" header="0.31496062992125984" footer="0.31496062992125984"/>
  <pageSetup paperSize="9" scale="67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N81"/>
  <sheetViews>
    <sheetView tabSelected="1" topLeftCell="A16" zoomScale="81" zoomScaleNormal="81" workbookViewId="0">
      <selection activeCell="I22" sqref="I22"/>
    </sheetView>
  </sheetViews>
  <sheetFormatPr defaultColWidth="9" defaultRowHeight="14.65" outlineLevelRow="1" outlineLevelCol="4"/>
  <cols>
    <col min="1" max="1" width="8" style="2329" customWidth="1"/>
    <col min="2" max="2" width="37.265625" style="2175" customWidth="1"/>
    <col min="3" max="3" width="13" style="2175" hidden="1" customWidth="1" outlineLevel="4"/>
    <col min="4" max="4" width="16.265625" style="2175" hidden="1" customWidth="1" outlineLevel="4"/>
    <col min="5" max="5" width="14.265625" style="2175" hidden="1" customWidth="1" outlineLevel="4"/>
    <col min="6" max="7" width="14.265625" style="2175" customWidth="1" outlineLevel="4"/>
    <col min="8" max="8" width="17" style="2175" customWidth="1" outlineLevel="4"/>
    <col min="9" max="9" width="16.265625" style="2330" customWidth="1"/>
    <col min="10" max="10" width="14.59765625" style="2216" bestFit="1" customWidth="1"/>
    <col min="11" max="11" width="15" style="2216" customWidth="1"/>
    <col min="12" max="12" width="19" style="2216" customWidth="1"/>
    <col min="13" max="13" width="15" style="2216" customWidth="1"/>
    <col min="14" max="14" width="16.265625" style="2216" customWidth="1"/>
    <col min="15" max="15" width="17.73046875" style="2216" customWidth="1"/>
    <col min="16" max="16" width="17.59765625" style="2216" customWidth="1"/>
    <col min="17" max="17" width="12.265625" style="2216" customWidth="1"/>
    <col min="18" max="18" width="13.73046875" style="2216" customWidth="1"/>
    <col min="19" max="19" width="15" style="2237" customWidth="1" outlineLevel="1"/>
    <col min="20" max="20" width="8.73046875" style="2237" customWidth="1" outlineLevel="1"/>
    <col min="21" max="29" width="15" style="2216" customWidth="1"/>
    <col min="30" max="30" width="10.73046875" style="2216" customWidth="1"/>
    <col min="31" max="31" width="11.73046875" style="2216" bestFit="1" customWidth="1"/>
    <col min="32" max="32" width="13" style="2216" customWidth="1"/>
    <col min="33" max="33" width="14.86328125" style="2237" customWidth="1" outlineLevel="1"/>
    <col min="34" max="34" width="8.73046875" style="2237" bestFit="1" customWidth="1" outlineLevel="1"/>
    <col min="35" max="35" width="13.86328125" style="2216" bestFit="1" customWidth="1"/>
    <col min="36" max="36" width="13.86328125" style="2237" bestFit="1" customWidth="1" outlineLevel="1"/>
    <col min="37" max="37" width="9.86328125" style="2237" customWidth="1" outlineLevel="1"/>
    <col min="38" max="38" width="12.265625" style="2216" bestFit="1" customWidth="1"/>
    <col min="39" max="39" width="12.265625" style="2237" bestFit="1" customWidth="1" outlineLevel="1"/>
    <col min="40" max="40" width="8.265625" style="2237" customWidth="1" outlineLevel="1"/>
    <col min="41" max="41" width="13.86328125" style="2216" bestFit="1" customWidth="1"/>
    <col min="42" max="42" width="12.265625" style="2216" bestFit="1" customWidth="1"/>
    <col min="43" max="43" width="9" style="2216" bestFit="1" customWidth="1"/>
    <col min="44" max="44" width="10" style="2216" bestFit="1" customWidth="1"/>
    <col min="45" max="45" width="10" style="2237" bestFit="1" customWidth="1" outlineLevel="1"/>
    <col min="46" max="46" width="7.86328125" style="2237" bestFit="1" customWidth="1" outlineLevel="1"/>
    <col min="47" max="47" width="14.265625" style="2216" customWidth="1"/>
    <col min="48" max="48" width="11.265625" style="2237" bestFit="1" customWidth="1" outlineLevel="1"/>
    <col min="49" max="49" width="8.73046875" style="2237" bestFit="1" customWidth="1" outlineLevel="1"/>
    <col min="50" max="50" width="12.265625" style="2216" bestFit="1" customWidth="1"/>
    <col min="51" max="51" width="12.265625" style="2237" bestFit="1" customWidth="1" outlineLevel="1"/>
    <col min="52" max="52" width="10" style="2237" bestFit="1" customWidth="1" outlineLevel="1"/>
    <col min="53" max="53" width="12.265625" style="2216" bestFit="1" customWidth="1"/>
    <col min="54" max="54" width="12.265625" style="2237" bestFit="1" customWidth="1" outlineLevel="1"/>
    <col min="55" max="55" width="8.73046875" style="2237" bestFit="1" customWidth="1" outlineLevel="1"/>
    <col min="56" max="56" width="17.59765625" style="2216" customWidth="1"/>
    <col min="57" max="57" width="12.86328125" style="2237" bestFit="1" customWidth="1" outlineLevel="1"/>
    <col min="58" max="58" width="10.59765625" style="2237" customWidth="1" outlineLevel="1"/>
    <col min="59" max="59" width="13.265625" style="2216" customWidth="1"/>
    <col min="60" max="60" width="11.86328125" style="2237" bestFit="1" customWidth="1" outlineLevel="1"/>
    <col min="61" max="61" width="11" style="2237" customWidth="1" outlineLevel="1"/>
    <col min="62" max="62" width="10.86328125" style="2216" bestFit="1" customWidth="1"/>
    <col min="63" max="63" width="10.86328125" style="2237" customWidth="1" outlineLevel="1"/>
    <col min="64" max="64" width="11" style="2237" customWidth="1" outlineLevel="1"/>
    <col min="65" max="65" width="11.265625" style="2216" bestFit="1" customWidth="1"/>
    <col min="66" max="66" width="9" style="2237" customWidth="1" outlineLevel="1"/>
    <col min="67" max="67" width="7.86328125" style="2237" customWidth="1" outlineLevel="1"/>
    <col min="68" max="68" width="11.86328125" style="2216" bestFit="1" customWidth="1"/>
    <col min="69" max="69" width="11.265625" style="2237" bestFit="1" customWidth="1" outlineLevel="1"/>
    <col min="70" max="70" width="7.86328125" style="2237" bestFit="1" customWidth="1" outlineLevel="1"/>
    <col min="71" max="71" width="13.265625" style="2216" customWidth="1"/>
    <col min="72" max="72" width="11.265625" style="2237" customWidth="1" outlineLevel="1"/>
    <col min="73" max="73" width="7.86328125" style="2237" customWidth="1" outlineLevel="1"/>
    <col min="74" max="74" width="13.59765625" style="2216" customWidth="1"/>
    <col min="75" max="75" width="11.265625" style="2237" bestFit="1" customWidth="1" outlineLevel="1"/>
    <col min="76" max="76" width="9.265625" style="2237" customWidth="1" outlineLevel="1"/>
    <col min="77" max="77" width="14" style="2216" bestFit="1" customWidth="1"/>
    <col min="78" max="78" width="13.73046875" style="2216" customWidth="1"/>
    <col min="79" max="79" width="14.73046875" style="2237" customWidth="1" outlineLevel="1"/>
    <col min="80" max="80" width="11.265625" style="2237" customWidth="1" outlineLevel="1"/>
    <col min="81" max="81" width="11.265625" style="2216" customWidth="1"/>
    <col min="82" max="82" width="15" style="2216" customWidth="1"/>
    <col min="83" max="83" width="12.265625" style="2237" bestFit="1" customWidth="1" outlineLevel="1"/>
    <col min="84" max="84" width="10" style="2237" bestFit="1" customWidth="1" outlineLevel="1"/>
    <col min="85" max="85" width="13.86328125" style="2216" bestFit="1" customWidth="1"/>
    <col min="86" max="86" width="13.73046875" style="2237" customWidth="1" outlineLevel="1"/>
    <col min="87" max="87" width="11.86328125" style="2237" bestFit="1" customWidth="1" outlineLevel="1"/>
    <col min="88" max="88" width="18.86328125" style="2216" bestFit="1" customWidth="1"/>
    <col min="89" max="89" width="13.86328125" style="2216" bestFit="1" customWidth="1"/>
    <col min="90" max="90" width="12.265625" style="2237" bestFit="1" customWidth="1" outlineLevel="2"/>
    <col min="91" max="91" width="8.73046875" style="2237" bestFit="1" customWidth="1" outlineLevel="2"/>
    <col min="92" max="92" width="14" style="2216" bestFit="1" customWidth="1"/>
    <col min="93" max="93" width="11" style="2237" bestFit="1" customWidth="1" outlineLevel="2"/>
    <col min="94" max="94" width="8" style="2237" customWidth="1" outlineLevel="2"/>
    <col min="95" max="95" width="21" style="2216" bestFit="1" customWidth="1"/>
    <col min="96" max="96" width="12" style="2237" bestFit="1" customWidth="1" outlineLevel="2"/>
    <col min="97" max="97" width="9.265625" style="2237" customWidth="1" outlineLevel="2"/>
    <col min="98" max="98" width="16" style="2216" customWidth="1"/>
    <col min="99" max="99" width="11.265625" style="2237" bestFit="1" customWidth="1" outlineLevel="2"/>
    <col min="100" max="100" width="10.265625" style="2237" customWidth="1" outlineLevel="2"/>
    <col min="101" max="101" width="19.86328125" style="2216" bestFit="1" customWidth="1"/>
    <col min="102" max="102" width="11.86328125" style="2237" bestFit="1" customWidth="1" outlineLevel="1"/>
    <col min="103" max="103" width="9.86328125" style="2237" customWidth="1" outlineLevel="1"/>
    <col min="104" max="104" width="15.86328125" style="2216" customWidth="1"/>
    <col min="105" max="105" width="13" style="2216" bestFit="1" customWidth="1"/>
    <col min="106" max="106" width="11" style="2237" customWidth="1" outlineLevel="1"/>
    <col min="107" max="107" width="11.86328125" style="2237" bestFit="1" customWidth="1" outlineLevel="1"/>
    <col min="108" max="108" width="13" style="2216" hidden="1" customWidth="1"/>
    <col min="109" max="109" width="12" style="2237" hidden="1" customWidth="1" outlineLevel="1"/>
    <col min="110" max="110" width="11" style="2237" hidden="1" customWidth="1" outlineLevel="1"/>
    <col min="111" max="111" width="19.86328125" style="2216" bestFit="1" customWidth="1" collapsed="1"/>
    <col min="112" max="112" width="9.59765625" style="2237" customWidth="1" outlineLevel="1"/>
    <col min="113" max="113" width="9" style="2237" customWidth="1" outlineLevel="1"/>
    <col min="114" max="114" width="15.265625" style="2216" bestFit="1" customWidth="1"/>
    <col min="115" max="115" width="14.265625" style="2216" customWidth="1"/>
    <col min="116" max="116" width="11.86328125" style="2237" bestFit="1" customWidth="1" outlineLevel="1"/>
    <col min="117" max="117" width="6.86328125" style="2237" customWidth="1" outlineLevel="1"/>
    <col min="118" max="118" width="11" style="2237" bestFit="1" customWidth="1" outlineLevel="1"/>
    <col min="119" max="119" width="12.265625" style="2216" customWidth="1"/>
    <col min="120" max="120" width="10.86328125" style="2216" bestFit="1" customWidth="1"/>
    <col min="121" max="121" width="13" style="2216" bestFit="1" customWidth="1"/>
    <col min="122" max="122" width="10.86328125" style="2216" bestFit="1" customWidth="1"/>
    <col min="123" max="123" width="11.86328125" style="2216" bestFit="1" customWidth="1"/>
    <col min="124" max="124" width="14" style="2216" bestFit="1" customWidth="1"/>
    <col min="125" max="125" width="8.73046875" style="2216" bestFit="1" customWidth="1"/>
    <col min="126" max="126" width="17.73046875" style="2216" hidden="1" customWidth="1"/>
    <col min="127" max="127" width="10.86328125" style="2237" customWidth="1" outlineLevel="1"/>
    <col min="128" max="128" width="11.265625" style="2237" customWidth="1" outlineLevel="1"/>
    <col min="129" max="129" width="10.86328125" style="2216" bestFit="1" customWidth="1"/>
    <col min="130" max="130" width="13" style="2216" bestFit="1" customWidth="1"/>
    <col min="131" max="131" width="10" style="2216" customWidth="1"/>
    <col min="132" max="132" width="14.73046875" style="2175" customWidth="1"/>
    <col min="133" max="133" width="15.73046875" style="2327" customWidth="1"/>
    <col min="134" max="134" width="7.265625" style="2328" customWidth="1"/>
    <col min="135" max="135" width="14.265625" style="2216" customWidth="1"/>
    <col min="136" max="136" width="15" style="2328" bestFit="1" customWidth="1"/>
    <col min="137" max="137" width="14.265625" style="2216" customWidth="1"/>
    <col min="138" max="138" width="9" style="2175" customWidth="1"/>
    <col min="139" max="139" width="10.86328125" style="2175" bestFit="1" customWidth="1"/>
    <col min="140" max="142" width="9" style="2175"/>
    <col min="143" max="143" width="9.86328125" style="2175" bestFit="1" customWidth="1"/>
    <col min="144" max="16384" width="9" style="2175"/>
  </cols>
  <sheetData>
    <row r="1" spans="1:144" ht="16.5" customHeight="1">
      <c r="A1" s="2169"/>
      <c r="B1" s="2170"/>
      <c r="C1" s="2170"/>
      <c r="D1" s="2170"/>
      <c r="E1" s="2170"/>
      <c r="F1" s="2170"/>
      <c r="G1" s="2170"/>
      <c r="H1" s="2170"/>
      <c r="I1" s="2171"/>
      <c r="J1" s="2170"/>
      <c r="K1" s="2170"/>
      <c r="L1" s="2170"/>
      <c r="M1" s="2170"/>
      <c r="N1" s="2170"/>
      <c r="O1" s="2170"/>
      <c r="P1" s="2170"/>
      <c r="Q1" s="2170"/>
      <c r="R1" s="2170"/>
      <c r="S1" s="2172"/>
      <c r="T1" s="2172"/>
      <c r="U1" s="2170"/>
      <c r="V1" s="2170"/>
      <c r="W1" s="2170"/>
      <c r="X1" s="2170"/>
      <c r="Y1" s="2170"/>
      <c r="Z1" s="2170"/>
      <c r="AA1" s="2170"/>
      <c r="AB1" s="2170"/>
      <c r="AC1" s="2170"/>
      <c r="AD1" s="2170"/>
      <c r="AE1" s="2170"/>
      <c r="AF1" s="2170"/>
      <c r="AG1" s="2172"/>
      <c r="AH1" s="2172"/>
      <c r="AI1" s="2170"/>
      <c r="AJ1" s="2172"/>
      <c r="AK1" s="2172"/>
      <c r="AL1" s="2170"/>
      <c r="AM1" s="2172"/>
      <c r="AN1" s="2172"/>
      <c r="AO1" s="2170"/>
      <c r="AP1" s="2170"/>
      <c r="AQ1" s="2170"/>
      <c r="AR1" s="2170"/>
      <c r="AS1" s="2172"/>
      <c r="AT1" s="2172"/>
      <c r="AU1" s="2170"/>
      <c r="AV1" s="2172"/>
      <c r="AW1" s="2172"/>
      <c r="AX1" s="2170"/>
      <c r="AY1" s="2172"/>
      <c r="AZ1" s="2172"/>
      <c r="BA1" s="2170"/>
      <c r="BB1" s="2172"/>
      <c r="BC1" s="2172"/>
      <c r="BD1" s="2170"/>
      <c r="BE1" s="2172"/>
      <c r="BF1" s="2172"/>
      <c r="BG1" s="2170"/>
      <c r="BH1" s="2172"/>
      <c r="BI1" s="2172"/>
      <c r="BJ1" s="2170"/>
      <c r="BK1" s="2172"/>
      <c r="BL1" s="2172"/>
      <c r="BM1" s="2170"/>
      <c r="BN1" s="2172"/>
      <c r="BO1" s="2172"/>
      <c r="BP1" s="2170"/>
      <c r="BQ1" s="2172"/>
      <c r="BR1" s="2172"/>
      <c r="BS1" s="2170"/>
      <c r="BT1" s="2172"/>
      <c r="BU1" s="2172"/>
      <c r="BV1" s="2170"/>
      <c r="BW1" s="2172"/>
      <c r="BX1" s="2172"/>
      <c r="BY1" s="2170"/>
      <c r="BZ1" s="2170"/>
      <c r="CA1" s="2172"/>
      <c r="CB1" s="2172"/>
      <c r="CC1" s="2170"/>
      <c r="CD1" s="2170"/>
      <c r="CE1" s="2172"/>
      <c r="CF1" s="2172"/>
      <c r="CG1" s="2170"/>
      <c r="CH1" s="2172"/>
      <c r="CI1" s="2172"/>
      <c r="CJ1" s="2170"/>
      <c r="CK1" s="2170"/>
      <c r="CL1" s="2172"/>
      <c r="CM1" s="2172"/>
      <c r="CN1" s="2170"/>
      <c r="CO1" s="2172"/>
      <c r="CP1" s="2172"/>
      <c r="CQ1" s="2170"/>
      <c r="CR1" s="2172"/>
      <c r="CS1" s="2172"/>
      <c r="CT1" s="2170"/>
      <c r="CU1" s="2172"/>
      <c r="CV1" s="2172"/>
      <c r="CW1" s="2170"/>
      <c r="CX1" s="2172"/>
      <c r="CY1" s="2172"/>
      <c r="CZ1" s="2170"/>
      <c r="DA1" s="2170"/>
      <c r="DB1" s="2172"/>
      <c r="DC1" s="2172"/>
      <c r="DD1" s="2170"/>
      <c r="DE1" s="2172"/>
      <c r="DF1" s="2172"/>
      <c r="DG1" s="2170"/>
      <c r="DH1" s="2172"/>
      <c r="DI1" s="2172"/>
      <c r="DJ1" s="2170"/>
      <c r="DK1" s="2170"/>
      <c r="DL1" s="2172"/>
      <c r="DM1" s="2172"/>
      <c r="DN1" s="2172"/>
      <c r="DO1" s="2170"/>
      <c r="DP1" s="2170"/>
      <c r="DQ1" s="2170"/>
      <c r="DR1" s="2170"/>
      <c r="DS1" s="2170"/>
      <c r="DT1" s="2170"/>
      <c r="DU1" s="2170"/>
      <c r="DV1" s="2170"/>
      <c r="DW1" s="2172"/>
      <c r="DX1" s="2172"/>
      <c r="DY1" s="2170"/>
      <c r="DZ1" s="2170"/>
      <c r="EA1" s="2170"/>
      <c r="EB1" s="2170"/>
      <c r="EC1" s="2173"/>
      <c r="ED1" s="2174"/>
      <c r="EE1" s="2170"/>
      <c r="EF1" s="2174"/>
      <c r="EG1" s="2170"/>
    </row>
    <row r="2" spans="1:144">
      <c r="A2" s="2169"/>
      <c r="B2" s="2170"/>
      <c r="C2" s="2170"/>
      <c r="D2" s="2170"/>
      <c r="E2" s="2170"/>
      <c r="F2" s="2170"/>
      <c r="G2" s="2170"/>
      <c r="H2" s="2170"/>
      <c r="I2" s="2176"/>
      <c r="J2" s="2170"/>
      <c r="K2" s="2170"/>
      <c r="L2" s="2170"/>
      <c r="M2" s="2170"/>
      <c r="N2" s="2170"/>
      <c r="O2" s="2170"/>
      <c r="P2" s="2170"/>
      <c r="Q2" s="2170"/>
      <c r="R2" s="2170"/>
      <c r="S2" s="2172"/>
      <c r="T2" s="2172"/>
      <c r="U2" s="2170"/>
      <c r="V2" s="2170"/>
      <c r="W2" s="2170"/>
      <c r="X2" s="2170"/>
      <c r="Y2" s="2170"/>
      <c r="Z2" s="2170"/>
      <c r="AA2" s="2170"/>
      <c r="AB2" s="2170"/>
      <c r="AC2" s="2170"/>
      <c r="AD2" s="2170"/>
      <c r="AE2" s="2170"/>
      <c r="AF2" s="2170"/>
      <c r="AG2" s="2172"/>
      <c r="AH2" s="2172"/>
      <c r="AI2" s="2170"/>
      <c r="AJ2" s="2172"/>
      <c r="AK2" s="2172"/>
      <c r="AL2" s="2170"/>
      <c r="AM2" s="2172"/>
      <c r="AN2" s="2172"/>
      <c r="AO2" s="2170"/>
      <c r="AP2" s="2170"/>
      <c r="AQ2" s="2170"/>
      <c r="AR2" s="2170"/>
      <c r="AS2" s="2172"/>
      <c r="AT2" s="2172"/>
      <c r="AU2" s="2170"/>
      <c r="AV2" s="2172"/>
      <c r="AW2" s="2172"/>
      <c r="AX2" s="2170"/>
      <c r="AY2" s="2172"/>
      <c r="AZ2" s="2172"/>
      <c r="BA2" s="2170"/>
      <c r="BB2" s="2172"/>
      <c r="BC2" s="2172"/>
      <c r="BD2" s="2170"/>
      <c r="BE2" s="2172"/>
      <c r="BF2" s="2172"/>
      <c r="BG2" s="2170"/>
      <c r="BH2" s="2172"/>
      <c r="BI2" s="2172"/>
      <c r="BJ2" s="2170"/>
      <c r="BK2" s="2172"/>
      <c r="BL2" s="2172"/>
      <c r="BM2" s="2170"/>
      <c r="BN2" s="2172"/>
      <c r="BO2" s="2172"/>
      <c r="BP2" s="2170"/>
      <c r="BQ2" s="2172"/>
      <c r="BR2" s="2172"/>
      <c r="BS2" s="2170"/>
      <c r="BT2" s="2172"/>
      <c r="BU2" s="2172"/>
      <c r="BV2" s="2170"/>
      <c r="BW2" s="2172"/>
      <c r="BX2" s="2172"/>
      <c r="BY2" s="2170"/>
      <c r="BZ2" s="2170"/>
      <c r="CA2" s="2172"/>
      <c r="CB2" s="2172"/>
      <c r="CC2" s="2170"/>
      <c r="CD2" s="2170"/>
      <c r="CE2" s="2172"/>
      <c r="CF2" s="2172"/>
      <c r="CG2" s="2170"/>
      <c r="CH2" s="2172"/>
      <c r="CI2" s="2172"/>
      <c r="CJ2" s="2170"/>
      <c r="CK2" s="2170"/>
      <c r="CL2" s="2172"/>
      <c r="CM2" s="2172"/>
      <c r="CN2" s="2170"/>
      <c r="CO2" s="2172"/>
      <c r="CP2" s="2172"/>
      <c r="CQ2" s="2170"/>
      <c r="CR2" s="2172"/>
      <c r="CS2" s="2172"/>
      <c r="CT2" s="2170"/>
      <c r="CU2" s="2172"/>
      <c r="CV2" s="2172"/>
      <c r="CW2" s="2170"/>
      <c r="CX2" s="2172"/>
      <c r="CY2" s="2172"/>
      <c r="CZ2" s="2170"/>
      <c r="DA2" s="2170"/>
      <c r="DB2" s="2172"/>
      <c r="DC2" s="2172"/>
      <c r="DD2" s="2170"/>
      <c r="DE2" s="2172"/>
      <c r="DF2" s="2172"/>
      <c r="DG2" s="2170"/>
      <c r="DH2" s="2172"/>
      <c r="DI2" s="2172"/>
      <c r="DJ2" s="2170"/>
      <c r="DK2" s="2170"/>
      <c r="DL2" s="2172"/>
      <c r="DM2" s="2172"/>
      <c r="DN2" s="2172"/>
      <c r="DO2" s="2170"/>
      <c r="DP2" s="2170"/>
      <c r="DQ2" s="2170"/>
      <c r="DR2" s="2170"/>
      <c r="DS2" s="2170"/>
      <c r="DT2" s="2170"/>
      <c r="DU2" s="2170"/>
      <c r="DV2" s="2170"/>
      <c r="DW2" s="2172"/>
      <c r="DX2" s="2172"/>
      <c r="DY2" s="2170"/>
      <c r="DZ2" s="2170"/>
      <c r="EA2" s="2170"/>
      <c r="EB2" s="2170"/>
      <c r="EC2" s="2173"/>
      <c r="ED2" s="2174"/>
      <c r="EE2" s="2170"/>
      <c r="EF2" s="2174"/>
      <c r="EG2" s="2170"/>
    </row>
    <row r="3" spans="1:144">
      <c r="A3" s="2171" t="s">
        <v>2374</v>
      </c>
      <c r="B3" s="2170"/>
      <c r="C3" s="2170"/>
      <c r="D3" s="2170"/>
      <c r="E3" s="2170"/>
      <c r="F3" s="2170"/>
      <c r="G3" s="2170"/>
      <c r="H3" s="2170"/>
      <c r="I3" s="2171"/>
      <c r="J3" s="2170"/>
      <c r="K3" s="2173"/>
      <c r="L3" s="2173"/>
      <c r="M3" s="2173"/>
      <c r="N3" s="2170"/>
      <c r="O3" s="2170"/>
      <c r="P3" s="2170"/>
      <c r="Q3" s="2170"/>
      <c r="R3" s="2170"/>
      <c r="S3" s="2172"/>
      <c r="T3" s="2172"/>
      <c r="U3" s="2170"/>
      <c r="V3" s="2170"/>
      <c r="W3" s="2170"/>
      <c r="X3" s="2170"/>
      <c r="Y3" s="2170"/>
      <c r="Z3" s="2170"/>
      <c r="AA3" s="2170"/>
      <c r="AB3" s="2170"/>
      <c r="AC3" s="2170"/>
      <c r="AD3" s="2170"/>
      <c r="AE3" s="2170"/>
      <c r="AF3" s="2170"/>
      <c r="AG3" s="2172"/>
      <c r="AH3" s="2172"/>
      <c r="AI3" s="2170"/>
      <c r="AJ3" s="2172"/>
      <c r="AK3" s="2172"/>
      <c r="AL3" s="2170"/>
      <c r="AM3" s="2172"/>
      <c r="AN3" s="2172"/>
      <c r="AO3" s="2170"/>
      <c r="AP3" s="2170"/>
      <c r="AQ3" s="2170"/>
      <c r="AR3" s="2170"/>
      <c r="AS3" s="2172"/>
      <c r="AT3" s="2172"/>
      <c r="AU3" s="2170"/>
      <c r="AV3" s="2172"/>
      <c r="AW3" s="2172"/>
      <c r="AX3" s="2170"/>
      <c r="AY3" s="2172"/>
      <c r="AZ3" s="2172"/>
      <c r="BA3" s="2170"/>
      <c r="BB3" s="2172"/>
      <c r="BC3" s="2172"/>
      <c r="BD3" s="2170"/>
      <c r="BE3" s="2172"/>
      <c r="BF3" s="2172"/>
      <c r="BG3" s="2170"/>
      <c r="BH3" s="2172"/>
      <c r="BI3" s="2172"/>
      <c r="BJ3" s="2170"/>
      <c r="BK3" s="2172"/>
      <c r="BL3" s="2172"/>
      <c r="BM3" s="2170"/>
      <c r="BN3" s="2172"/>
      <c r="BO3" s="2172"/>
      <c r="BP3" s="2170"/>
      <c r="BQ3" s="2172"/>
      <c r="BR3" s="2172"/>
      <c r="BS3" s="2170"/>
      <c r="BT3" s="2172"/>
      <c r="BU3" s="2172"/>
      <c r="BV3" s="2170"/>
      <c r="BW3" s="2172"/>
      <c r="BX3" s="2172"/>
      <c r="BY3" s="2170"/>
      <c r="BZ3" s="2170"/>
      <c r="CA3" s="2172"/>
      <c r="CB3" s="2172"/>
      <c r="CC3" s="2170"/>
      <c r="CD3" s="2170"/>
      <c r="CE3" s="2172"/>
      <c r="CF3" s="2172"/>
      <c r="CG3" s="2170"/>
      <c r="CH3" s="2172"/>
      <c r="CI3" s="2172"/>
      <c r="CJ3" s="2170"/>
      <c r="CK3" s="2170"/>
      <c r="CL3" s="2172"/>
      <c r="CM3" s="2172"/>
      <c r="CN3" s="2170"/>
      <c r="CO3" s="2172"/>
      <c r="CP3" s="2172"/>
      <c r="CQ3" s="2170"/>
      <c r="CR3" s="2172"/>
      <c r="CS3" s="2172"/>
      <c r="CT3" s="2170"/>
      <c r="CU3" s="2172"/>
      <c r="CV3" s="2172"/>
      <c r="CW3" s="2170"/>
      <c r="CX3" s="2172"/>
      <c r="CY3" s="2172"/>
      <c r="CZ3" s="2170"/>
      <c r="DA3" s="2170"/>
      <c r="DB3" s="2172"/>
      <c r="DC3" s="2172"/>
      <c r="DD3" s="2170"/>
      <c r="DE3" s="2172"/>
      <c r="DF3" s="2172"/>
      <c r="DG3" s="2170"/>
      <c r="DH3" s="2172"/>
      <c r="DI3" s="2172"/>
      <c r="DJ3" s="2170"/>
      <c r="DK3" s="2170"/>
      <c r="DL3" s="2172"/>
      <c r="DM3" s="2172"/>
      <c r="DN3" s="2172"/>
      <c r="DO3" s="2170"/>
      <c r="DP3" s="2170"/>
      <c r="DQ3" s="2170"/>
      <c r="DR3" s="2170"/>
      <c r="DS3" s="2170"/>
      <c r="DT3" s="2170"/>
      <c r="DU3" s="2170"/>
      <c r="DV3" s="2170"/>
      <c r="DW3" s="2172"/>
      <c r="DX3" s="2172"/>
      <c r="DY3" s="2170"/>
      <c r="DZ3" s="2170"/>
      <c r="EA3" s="2170"/>
      <c r="EB3" s="2170"/>
      <c r="EC3" s="2173"/>
      <c r="ED3" s="2174"/>
      <c r="EE3" s="2170"/>
      <c r="EF3" s="2174"/>
      <c r="EG3" s="2170"/>
    </row>
    <row r="4" spans="1:144">
      <c r="A4" s="2169"/>
      <c r="B4" s="2170"/>
      <c r="C4" s="2170"/>
      <c r="D4" s="2170"/>
      <c r="E4" s="2170"/>
      <c r="F4" s="2170"/>
      <c r="G4" s="2170"/>
      <c r="H4" s="2170"/>
      <c r="I4" s="2171"/>
      <c r="J4" s="2170"/>
      <c r="K4" s="2173"/>
      <c r="L4" s="2173"/>
      <c r="M4" s="2173"/>
      <c r="N4" s="2170"/>
      <c r="O4" s="2170"/>
      <c r="P4" s="2173"/>
      <c r="Q4" s="2173"/>
      <c r="R4" s="2173"/>
      <c r="S4" s="2172"/>
      <c r="T4" s="2172"/>
      <c r="U4" s="2173"/>
      <c r="V4" s="2170"/>
      <c r="W4" s="2170"/>
      <c r="X4" s="2170"/>
      <c r="Y4" s="2170"/>
      <c r="Z4" s="2170"/>
      <c r="AA4" s="2170"/>
      <c r="AB4" s="2170"/>
      <c r="AC4" s="2170"/>
      <c r="AD4" s="2170"/>
      <c r="AE4" s="2170"/>
      <c r="AF4" s="2170"/>
      <c r="AG4" s="2172"/>
      <c r="AH4" s="2172"/>
      <c r="AI4" s="2170"/>
      <c r="AJ4" s="2172"/>
      <c r="AK4" s="2172"/>
      <c r="AL4" s="2170"/>
      <c r="AM4" s="2172"/>
      <c r="AN4" s="2172"/>
      <c r="AO4" s="2170"/>
      <c r="AP4" s="2170"/>
      <c r="AQ4" s="2170"/>
      <c r="AR4" s="2170"/>
      <c r="AS4" s="2172"/>
      <c r="AT4" s="2172"/>
      <c r="AU4" s="2170"/>
      <c r="AV4" s="2172"/>
      <c r="AW4" s="2172"/>
      <c r="AX4" s="2170"/>
      <c r="AY4" s="2172"/>
      <c r="AZ4" s="2172"/>
      <c r="BA4" s="2170"/>
      <c r="BB4" s="2172"/>
      <c r="BC4" s="2172"/>
      <c r="BD4" s="2170"/>
      <c r="BE4" s="2172"/>
      <c r="BF4" s="2172"/>
      <c r="BG4" s="2170"/>
      <c r="BH4" s="2172"/>
      <c r="BI4" s="2172"/>
      <c r="BJ4" s="2170"/>
      <c r="BK4" s="2172"/>
      <c r="BL4" s="2172"/>
      <c r="BM4" s="2170"/>
      <c r="BN4" s="2172"/>
      <c r="BO4" s="2172"/>
      <c r="BP4" s="2170"/>
      <c r="BQ4" s="2172"/>
      <c r="BR4" s="2172"/>
      <c r="BS4" s="2170"/>
      <c r="BT4" s="2172"/>
      <c r="BU4" s="2172"/>
      <c r="BV4" s="2170"/>
      <c r="BW4" s="2172"/>
      <c r="BX4" s="2172"/>
      <c r="BY4" s="2170"/>
      <c r="BZ4" s="2170"/>
      <c r="CA4" s="2172"/>
      <c r="CB4" s="2172"/>
      <c r="CC4" s="2170"/>
      <c r="CD4" s="2170"/>
      <c r="CE4" s="2172"/>
      <c r="CF4" s="2172"/>
      <c r="CG4" s="2170"/>
      <c r="CH4" s="2172"/>
      <c r="CI4" s="2172"/>
      <c r="CJ4" s="2170"/>
      <c r="CK4" s="2170"/>
      <c r="CL4" s="2172"/>
      <c r="CM4" s="2172"/>
      <c r="CN4" s="2170"/>
      <c r="CO4" s="2172"/>
      <c r="CP4" s="2172"/>
      <c r="CQ4" s="2170"/>
      <c r="CR4" s="2172"/>
      <c r="CS4" s="2172"/>
      <c r="CT4" s="2170"/>
      <c r="CU4" s="2172"/>
      <c r="CV4" s="2172"/>
      <c r="CW4" s="2170"/>
      <c r="CX4" s="2172"/>
      <c r="CY4" s="2172"/>
      <c r="CZ4" s="2170"/>
      <c r="DA4" s="2170"/>
      <c r="DB4" s="2172"/>
      <c r="DC4" s="2172"/>
      <c r="DD4" s="2170"/>
      <c r="DE4" s="2172"/>
      <c r="DF4" s="2172"/>
      <c r="DG4" s="2170"/>
      <c r="DH4" s="2172"/>
      <c r="DI4" s="2172"/>
      <c r="DJ4" s="2170"/>
      <c r="DK4" s="2170"/>
      <c r="DL4" s="2172"/>
      <c r="DM4" s="2172"/>
      <c r="DN4" s="2172"/>
      <c r="DO4" s="2170"/>
      <c r="DP4" s="2170"/>
      <c r="DQ4" s="2170"/>
      <c r="DR4" s="2170"/>
      <c r="DS4" s="2170"/>
      <c r="DT4" s="2170"/>
      <c r="DU4" s="2170"/>
      <c r="DV4" s="2170"/>
      <c r="DW4" s="2172"/>
      <c r="DX4" s="2172"/>
      <c r="DY4" s="2170"/>
      <c r="DZ4" s="2170"/>
      <c r="EA4" s="2170"/>
      <c r="EB4" s="2170"/>
      <c r="EC4" s="2173"/>
      <c r="ED4" s="2174"/>
      <c r="EE4" s="2170"/>
      <c r="EF4" s="2174"/>
      <c r="EG4" s="2170"/>
    </row>
    <row r="5" spans="1:144" ht="15" thickBot="1">
      <c r="A5" s="2177" t="s">
        <v>186</v>
      </c>
      <c r="B5" s="2170"/>
      <c r="C5" s="2170"/>
      <c r="D5" s="2170"/>
      <c r="E5" s="2170"/>
      <c r="F5" s="2170"/>
      <c r="G5" s="2170"/>
      <c r="H5" s="2170"/>
      <c r="I5" s="2178"/>
      <c r="J5" s="2179"/>
      <c r="K5" s="2180"/>
      <c r="L5" s="2180"/>
      <c r="M5" s="2180"/>
      <c r="N5" s="2180"/>
      <c r="O5" s="2180"/>
      <c r="P5" s="2180"/>
      <c r="Q5" s="2180"/>
      <c r="R5" s="2180"/>
      <c r="S5" s="2181"/>
      <c r="T5" s="2181"/>
      <c r="U5" s="2180"/>
      <c r="V5" s="2180"/>
      <c r="W5" s="2180"/>
      <c r="X5" s="2180"/>
      <c r="Y5" s="2180"/>
      <c r="Z5" s="2180"/>
      <c r="AA5" s="2180"/>
      <c r="AB5" s="2180"/>
      <c r="AC5" s="2180"/>
      <c r="AD5" s="2180"/>
      <c r="AE5" s="2180"/>
      <c r="AF5" s="2180"/>
      <c r="AG5" s="2181"/>
      <c r="AH5" s="2181"/>
      <c r="AI5" s="2180"/>
      <c r="AJ5" s="2181"/>
      <c r="AK5" s="2181"/>
      <c r="AL5" s="2180"/>
      <c r="AM5" s="2181"/>
      <c r="AN5" s="2181"/>
      <c r="AO5" s="2180"/>
      <c r="AP5" s="2180"/>
      <c r="AQ5" s="2180"/>
      <c r="AR5" s="2180"/>
      <c r="AS5" s="2181"/>
      <c r="AT5" s="2181"/>
      <c r="AU5" s="2180"/>
      <c r="AV5" s="2181"/>
      <c r="AW5" s="2181"/>
      <c r="AX5" s="2180"/>
      <c r="AY5" s="2181"/>
      <c r="AZ5" s="2181"/>
      <c r="BA5" s="2180"/>
      <c r="BB5" s="2181"/>
      <c r="BC5" s="2181"/>
      <c r="BD5" s="2180"/>
      <c r="BE5" s="2181"/>
      <c r="BF5" s="2181"/>
      <c r="BG5" s="2180"/>
      <c r="BH5" s="2181"/>
      <c r="BI5" s="2181"/>
      <c r="BJ5" s="2180"/>
      <c r="BK5" s="2181"/>
      <c r="BL5" s="2181"/>
      <c r="BM5" s="2180"/>
      <c r="BN5" s="2181"/>
      <c r="BO5" s="2181"/>
      <c r="BP5" s="2180"/>
      <c r="BQ5" s="2181"/>
      <c r="BR5" s="2181"/>
      <c r="BS5" s="2180"/>
      <c r="BT5" s="2181"/>
      <c r="BU5" s="2181"/>
      <c r="BV5" s="2180"/>
      <c r="BW5" s="2181"/>
      <c r="BX5" s="2181"/>
      <c r="BY5" s="2180"/>
      <c r="BZ5" s="2180"/>
      <c r="CA5" s="2181"/>
      <c r="CB5" s="2181"/>
      <c r="CC5" s="2180"/>
      <c r="CD5" s="2180"/>
      <c r="CE5" s="2181"/>
      <c r="CF5" s="2181"/>
      <c r="CG5" s="2180"/>
      <c r="CH5" s="2181"/>
      <c r="CI5" s="2181"/>
      <c r="CJ5" s="2180"/>
      <c r="CK5" s="2180"/>
      <c r="CL5" s="2181"/>
      <c r="CM5" s="2181"/>
      <c r="CN5" s="2180"/>
      <c r="CO5" s="2181"/>
      <c r="CP5" s="2181"/>
      <c r="CQ5" s="2180"/>
      <c r="CR5" s="2181"/>
      <c r="CS5" s="2181"/>
      <c r="CT5" s="2180"/>
      <c r="CU5" s="2181"/>
      <c r="CV5" s="2181"/>
      <c r="CW5" s="2180"/>
      <c r="CX5" s="2181"/>
      <c r="CY5" s="2181"/>
      <c r="CZ5" s="2180"/>
      <c r="DA5" s="2180"/>
      <c r="DB5" s="2181"/>
      <c r="DC5" s="2181"/>
      <c r="DD5" s="2180"/>
      <c r="DE5" s="2181"/>
      <c r="DF5" s="2181"/>
      <c r="DG5" s="2180"/>
      <c r="DH5" s="2181"/>
      <c r="DI5" s="2181"/>
      <c r="DJ5" s="2180"/>
      <c r="DK5" s="2180"/>
      <c r="DL5" s="2181"/>
      <c r="DM5" s="2181"/>
      <c r="DN5" s="2181"/>
      <c r="DO5" s="2180"/>
      <c r="DP5" s="2180"/>
      <c r="DQ5" s="2180"/>
      <c r="DR5" s="2180"/>
      <c r="DS5" s="2180"/>
      <c r="DT5" s="2180"/>
      <c r="DU5" s="2180"/>
      <c r="DV5" s="2180"/>
      <c r="DW5" s="2181"/>
      <c r="DX5" s="2181"/>
      <c r="DY5" s="2180"/>
      <c r="DZ5" s="2180"/>
      <c r="EA5" s="2180"/>
      <c r="EB5" s="2170"/>
      <c r="EC5" s="2173"/>
      <c r="ED5" s="2174"/>
      <c r="EE5" s="2180" t="s">
        <v>705</v>
      </c>
      <c r="EF5" s="2174"/>
      <c r="EG5" s="2180" t="s">
        <v>705</v>
      </c>
    </row>
    <row r="6" spans="1:144" ht="44.25" thickBot="1">
      <c r="A6" s="2182" t="s">
        <v>10</v>
      </c>
      <c r="B6" s="2182" t="s">
        <v>0</v>
      </c>
      <c r="C6" s="2183" t="s">
        <v>2128</v>
      </c>
      <c r="D6" s="2183" t="s">
        <v>2372</v>
      </c>
      <c r="E6" s="2183" t="s">
        <v>1953</v>
      </c>
      <c r="F6" s="2183" t="s">
        <v>2687</v>
      </c>
      <c r="G6" s="2183" t="s">
        <v>2810</v>
      </c>
      <c r="H6" s="2183" t="s">
        <v>2128</v>
      </c>
      <c r="I6" s="2183" t="s">
        <v>2878</v>
      </c>
      <c r="J6" s="2184" t="s">
        <v>129</v>
      </c>
      <c r="K6" s="2184" t="s">
        <v>130</v>
      </c>
      <c r="L6" s="2184" t="s">
        <v>762</v>
      </c>
      <c r="M6" s="2185" t="s">
        <v>2602</v>
      </c>
      <c r="N6" s="2184" t="s">
        <v>131</v>
      </c>
      <c r="O6" s="2185" t="s">
        <v>1955</v>
      </c>
      <c r="P6" s="2184" t="s">
        <v>747</v>
      </c>
      <c r="Q6" s="2184" t="s">
        <v>872</v>
      </c>
      <c r="R6" s="2184" t="s">
        <v>357</v>
      </c>
      <c r="S6" s="2186" t="s">
        <v>879</v>
      </c>
      <c r="T6" s="2187" t="s">
        <v>248</v>
      </c>
      <c r="U6" s="2184" t="s">
        <v>873</v>
      </c>
      <c r="V6" s="2188" t="s">
        <v>248</v>
      </c>
      <c r="W6" s="2189" t="s">
        <v>132</v>
      </c>
      <c r="X6" s="2190" t="s">
        <v>2298</v>
      </c>
      <c r="Y6" s="2184" t="s">
        <v>133</v>
      </c>
      <c r="Z6" s="2184" t="s">
        <v>134</v>
      </c>
      <c r="AA6" s="2184" t="s">
        <v>135</v>
      </c>
      <c r="AB6" s="2184" t="s">
        <v>1254</v>
      </c>
      <c r="AC6" s="2184" t="s">
        <v>191</v>
      </c>
      <c r="AD6" s="2184" t="s">
        <v>136</v>
      </c>
      <c r="AE6" s="2184" t="s">
        <v>137</v>
      </c>
      <c r="AF6" s="2184" t="s">
        <v>138</v>
      </c>
      <c r="AG6" s="2186" t="s">
        <v>877</v>
      </c>
      <c r="AH6" s="2191" t="s">
        <v>248</v>
      </c>
      <c r="AI6" s="2184" t="s">
        <v>139</v>
      </c>
      <c r="AJ6" s="2186" t="s">
        <v>502</v>
      </c>
      <c r="AK6" s="2191" t="s">
        <v>248</v>
      </c>
      <c r="AL6" s="2184" t="s">
        <v>140</v>
      </c>
      <c r="AM6" s="2186" t="s">
        <v>877</v>
      </c>
      <c r="AN6" s="2191" t="s">
        <v>248</v>
      </c>
      <c r="AO6" s="2184" t="s">
        <v>141</v>
      </c>
      <c r="AP6" s="2184" t="s">
        <v>142</v>
      </c>
      <c r="AQ6" s="2184" t="s">
        <v>143</v>
      </c>
      <c r="AR6" s="2184" t="s">
        <v>144</v>
      </c>
      <c r="AS6" s="2186" t="s">
        <v>502</v>
      </c>
      <c r="AT6" s="2191" t="s">
        <v>248</v>
      </c>
      <c r="AU6" s="2184" t="s">
        <v>294</v>
      </c>
      <c r="AV6" s="2186" t="s">
        <v>877</v>
      </c>
      <c r="AW6" s="2191" t="s">
        <v>248</v>
      </c>
      <c r="AX6" s="2184" t="s">
        <v>1180</v>
      </c>
      <c r="AY6" s="2186" t="s">
        <v>877</v>
      </c>
      <c r="AZ6" s="2191" t="s">
        <v>248</v>
      </c>
      <c r="BA6" s="2184" t="s">
        <v>1181</v>
      </c>
      <c r="BB6" s="2186" t="s">
        <v>877</v>
      </c>
      <c r="BC6" s="2191" t="s">
        <v>248</v>
      </c>
      <c r="BD6" s="2184" t="s">
        <v>145</v>
      </c>
      <c r="BE6" s="2186" t="s">
        <v>877</v>
      </c>
      <c r="BF6" s="2191" t="s">
        <v>248</v>
      </c>
      <c r="BG6" s="2184" t="s">
        <v>1542</v>
      </c>
      <c r="BH6" s="2186" t="s">
        <v>1569</v>
      </c>
      <c r="BI6" s="2191" t="s">
        <v>248</v>
      </c>
      <c r="BJ6" s="2184" t="s">
        <v>146</v>
      </c>
      <c r="BK6" s="2186" t="s">
        <v>877</v>
      </c>
      <c r="BL6" s="2191" t="s">
        <v>248</v>
      </c>
      <c r="BM6" s="2184" t="s">
        <v>147</v>
      </c>
      <c r="BN6" s="2186" t="s">
        <v>877</v>
      </c>
      <c r="BO6" s="2191" t="s">
        <v>248</v>
      </c>
      <c r="BP6" s="2184" t="s">
        <v>713</v>
      </c>
      <c r="BQ6" s="2186" t="s">
        <v>877</v>
      </c>
      <c r="BR6" s="2191" t="s">
        <v>248</v>
      </c>
      <c r="BS6" s="2184" t="s">
        <v>148</v>
      </c>
      <c r="BT6" s="2186" t="s">
        <v>877</v>
      </c>
      <c r="BU6" s="2191" t="s">
        <v>248</v>
      </c>
      <c r="BV6" s="2184" t="s">
        <v>149</v>
      </c>
      <c r="BW6" s="2186" t="s">
        <v>877</v>
      </c>
      <c r="BX6" s="2191" t="s">
        <v>248</v>
      </c>
      <c r="BY6" s="2184" t="s">
        <v>150</v>
      </c>
      <c r="BZ6" s="2184" t="s">
        <v>341</v>
      </c>
      <c r="CA6" s="2186" t="s">
        <v>877</v>
      </c>
      <c r="CB6" s="2191" t="s">
        <v>248</v>
      </c>
      <c r="CC6" s="2184" t="s">
        <v>151</v>
      </c>
      <c r="CD6" s="2184" t="s">
        <v>152</v>
      </c>
      <c r="CE6" s="2186" t="s">
        <v>502</v>
      </c>
      <c r="CF6" s="2191" t="s">
        <v>248</v>
      </c>
      <c r="CG6" s="2184" t="s">
        <v>153</v>
      </c>
      <c r="CH6" s="2186" t="s">
        <v>877</v>
      </c>
      <c r="CI6" s="2191" t="s">
        <v>248</v>
      </c>
      <c r="CJ6" s="2184" t="s">
        <v>748</v>
      </c>
      <c r="CK6" s="2184" t="s">
        <v>749</v>
      </c>
      <c r="CL6" s="2186" t="s">
        <v>877</v>
      </c>
      <c r="CM6" s="2191" t="s">
        <v>248</v>
      </c>
      <c r="CN6" s="2184" t="s">
        <v>750</v>
      </c>
      <c r="CO6" s="2186" t="s">
        <v>877</v>
      </c>
      <c r="CP6" s="2191" t="s">
        <v>248</v>
      </c>
      <c r="CQ6" s="2184" t="s">
        <v>751</v>
      </c>
      <c r="CR6" s="2186" t="s">
        <v>502</v>
      </c>
      <c r="CS6" s="2191" t="s">
        <v>248</v>
      </c>
      <c r="CT6" s="2184" t="s">
        <v>752</v>
      </c>
      <c r="CU6" s="2186" t="s">
        <v>502</v>
      </c>
      <c r="CV6" s="2191" t="s">
        <v>248</v>
      </c>
      <c r="CW6" s="2184" t="s">
        <v>753</v>
      </c>
      <c r="CX6" s="2186" t="s">
        <v>877</v>
      </c>
      <c r="CY6" s="2191" t="s">
        <v>248</v>
      </c>
      <c r="CZ6" s="2184" t="s">
        <v>754</v>
      </c>
      <c r="DA6" s="2184" t="s">
        <v>755</v>
      </c>
      <c r="DB6" s="2186" t="s">
        <v>507</v>
      </c>
      <c r="DC6" s="2191" t="s">
        <v>248</v>
      </c>
      <c r="DD6" s="2184" t="s">
        <v>1189</v>
      </c>
      <c r="DE6" s="2186" t="s">
        <v>878</v>
      </c>
      <c r="DF6" s="2191" t="s">
        <v>248</v>
      </c>
      <c r="DG6" s="2184" t="s">
        <v>756</v>
      </c>
      <c r="DH6" s="2186" t="s">
        <v>507</v>
      </c>
      <c r="DI6" s="2191" t="s">
        <v>248</v>
      </c>
      <c r="DJ6" s="2184" t="s">
        <v>757</v>
      </c>
      <c r="DK6" s="2184" t="s">
        <v>758</v>
      </c>
      <c r="DL6" s="2186" t="s">
        <v>507</v>
      </c>
      <c r="DM6" s="2192" t="s">
        <v>502</v>
      </c>
      <c r="DN6" s="2191" t="s">
        <v>248</v>
      </c>
      <c r="DO6" s="2184" t="s">
        <v>297</v>
      </c>
      <c r="DP6" s="2184" t="s">
        <v>718</v>
      </c>
      <c r="DQ6" s="2184" t="s">
        <v>719</v>
      </c>
      <c r="DR6" s="2184" t="s">
        <v>858</v>
      </c>
      <c r="DS6" s="2184" t="s">
        <v>262</v>
      </c>
      <c r="DT6" s="2184" t="s">
        <v>1109</v>
      </c>
      <c r="DU6" s="2184" t="s">
        <v>648</v>
      </c>
      <c r="DV6" s="2184" t="s">
        <v>160</v>
      </c>
      <c r="DW6" s="2186" t="s">
        <v>507</v>
      </c>
      <c r="DX6" s="2191" t="s">
        <v>248</v>
      </c>
      <c r="DY6" s="2184" t="s">
        <v>161</v>
      </c>
      <c r="DZ6" s="2184" t="s">
        <v>162</v>
      </c>
      <c r="EA6" s="2184" t="s">
        <v>163</v>
      </c>
      <c r="EB6" s="2170"/>
      <c r="EC6" s="2173"/>
      <c r="ED6" s="2174"/>
      <c r="EE6" s="2184" t="s">
        <v>2315</v>
      </c>
      <c r="EF6" s="2174"/>
      <c r="EG6" s="2184" t="s">
        <v>248</v>
      </c>
    </row>
    <row r="7" spans="1:144" ht="13.5" customHeight="1" thickBot="1">
      <c r="A7" s="2193"/>
      <c r="B7" s="2194"/>
      <c r="C7" s="2195"/>
      <c r="D7" s="2195"/>
      <c r="E7" s="2195"/>
      <c r="F7" s="2195"/>
      <c r="G7" s="2195"/>
      <c r="H7" s="2195"/>
      <c r="I7" s="2196"/>
      <c r="J7" s="2197" t="s">
        <v>164</v>
      </c>
      <c r="K7" s="2198"/>
      <c r="L7" s="2198">
        <v>5213</v>
      </c>
      <c r="M7" s="2198">
        <v>6221</v>
      </c>
      <c r="N7" s="2198">
        <v>6409</v>
      </c>
      <c r="O7" s="2198" t="s">
        <v>1954</v>
      </c>
      <c r="P7" s="2198">
        <v>6112</v>
      </c>
      <c r="Q7" s="2198">
        <v>6117</v>
      </c>
      <c r="R7" s="2198">
        <v>6171</v>
      </c>
      <c r="S7" s="2199"/>
      <c r="T7" s="2200"/>
      <c r="U7" s="2198" t="s">
        <v>945</v>
      </c>
      <c r="V7" s="2201">
        <v>3639</v>
      </c>
      <c r="W7" s="2198" t="s">
        <v>165</v>
      </c>
      <c r="X7" s="2199" t="s">
        <v>2299</v>
      </c>
      <c r="Y7" s="2199" t="s">
        <v>166</v>
      </c>
      <c r="Z7" s="2199" t="s">
        <v>197</v>
      </c>
      <c r="AA7" s="2199">
        <v>3319</v>
      </c>
      <c r="AB7" s="2198" t="s">
        <v>1255</v>
      </c>
      <c r="AC7" s="2198">
        <v>3314</v>
      </c>
      <c r="AD7" s="2198">
        <v>3349</v>
      </c>
      <c r="AE7" s="2202" t="s">
        <v>167</v>
      </c>
      <c r="AF7" s="2198">
        <v>3612</v>
      </c>
      <c r="AG7" s="2202"/>
      <c r="AH7" s="2198"/>
      <c r="AI7" s="2198" t="s">
        <v>168</v>
      </c>
      <c r="AJ7" s="2198"/>
      <c r="AK7" s="2198"/>
      <c r="AL7" s="2198" t="s">
        <v>169</v>
      </c>
      <c r="AM7" s="2198"/>
      <c r="AN7" s="2198"/>
      <c r="AO7" s="2198">
        <v>5512</v>
      </c>
      <c r="AP7" s="2198">
        <v>3519</v>
      </c>
      <c r="AQ7" s="2198" t="s">
        <v>170</v>
      </c>
      <c r="AR7" s="2198">
        <v>3632</v>
      </c>
      <c r="AS7" s="2198"/>
      <c r="AT7" s="2198"/>
      <c r="AU7" s="2198" t="s">
        <v>171</v>
      </c>
      <c r="AV7" s="2198"/>
      <c r="AW7" s="2198"/>
      <c r="AX7" s="2198" t="s">
        <v>171</v>
      </c>
      <c r="AY7" s="2198"/>
      <c r="AZ7" s="2198"/>
      <c r="BA7" s="2198" t="s">
        <v>171</v>
      </c>
      <c r="BB7" s="2198"/>
      <c r="BC7" s="2198"/>
      <c r="BD7" s="2198">
        <v>3113</v>
      </c>
      <c r="BE7" s="2198"/>
      <c r="BF7" s="2198"/>
      <c r="BG7" s="2198" t="s">
        <v>1543</v>
      </c>
      <c r="BH7" s="2198"/>
      <c r="BI7" s="2198"/>
      <c r="BJ7" s="2198">
        <v>3114</v>
      </c>
      <c r="BK7" s="2198"/>
      <c r="BL7" s="2198"/>
      <c r="BM7" s="2198">
        <v>3421</v>
      </c>
      <c r="BN7" s="2198"/>
      <c r="BO7" s="2198"/>
      <c r="BP7" s="2202" t="s">
        <v>172</v>
      </c>
      <c r="BQ7" s="2202"/>
      <c r="BR7" s="2202"/>
      <c r="BS7" s="2202" t="s">
        <v>173</v>
      </c>
      <c r="BT7" s="2202"/>
      <c r="BU7" s="2202"/>
      <c r="BV7" s="2202" t="s">
        <v>174</v>
      </c>
      <c r="BW7" s="2202"/>
      <c r="BX7" s="2202"/>
      <c r="BY7" s="2198" t="s">
        <v>175</v>
      </c>
      <c r="BZ7" s="2202" t="s">
        <v>479</v>
      </c>
      <c r="CA7" s="2202"/>
      <c r="CB7" s="2202"/>
      <c r="CC7" s="2198">
        <v>3635</v>
      </c>
      <c r="CD7" s="2202">
        <v>3631</v>
      </c>
      <c r="CE7" s="2202"/>
      <c r="CF7" s="2202"/>
      <c r="CG7" s="2198" t="s">
        <v>176</v>
      </c>
      <c r="CH7" s="2198"/>
      <c r="CI7" s="2198"/>
      <c r="CJ7" s="2198" t="s">
        <v>177</v>
      </c>
      <c r="CK7" s="2202">
        <v>2310</v>
      </c>
      <c r="CL7" s="2202"/>
      <c r="CM7" s="2202"/>
      <c r="CN7" s="2202" t="s">
        <v>178</v>
      </c>
      <c r="CO7" s="2202"/>
      <c r="CP7" s="2202"/>
      <c r="CQ7" s="2198" t="s">
        <v>179</v>
      </c>
      <c r="CR7" s="2198"/>
      <c r="CS7" s="2198"/>
      <c r="CT7" s="2198" t="s">
        <v>219</v>
      </c>
      <c r="CU7" s="2198"/>
      <c r="CV7" s="2198"/>
      <c r="CW7" s="2198">
        <v>3633</v>
      </c>
      <c r="CX7" s="2198"/>
      <c r="CY7" s="2198"/>
      <c r="CZ7" s="2198">
        <v>1036</v>
      </c>
      <c r="DA7" s="2198">
        <v>3722</v>
      </c>
      <c r="DB7" s="2198"/>
      <c r="DC7" s="2198"/>
      <c r="DD7" s="2198" t="s">
        <v>181</v>
      </c>
      <c r="DE7" s="2198"/>
      <c r="DF7" s="2198"/>
      <c r="DG7" s="2198">
        <v>3729</v>
      </c>
      <c r="DH7" s="2198"/>
      <c r="DI7" s="2198"/>
      <c r="DJ7" s="2198">
        <v>3744</v>
      </c>
      <c r="DK7" s="2198">
        <v>3749</v>
      </c>
      <c r="DL7" s="2198"/>
      <c r="DM7" s="2198"/>
      <c r="DN7" s="2198"/>
      <c r="DO7" s="2198" t="s">
        <v>296</v>
      </c>
      <c r="DP7" s="2198" t="s">
        <v>716</v>
      </c>
      <c r="DQ7" s="2198" t="s">
        <v>717</v>
      </c>
      <c r="DR7" s="2198" t="s">
        <v>1148</v>
      </c>
      <c r="DS7" s="2198" t="s">
        <v>263</v>
      </c>
      <c r="DT7" s="2198" t="s">
        <v>1110</v>
      </c>
      <c r="DU7" s="2198" t="s">
        <v>649</v>
      </c>
      <c r="DV7" s="2198" t="s">
        <v>182</v>
      </c>
      <c r="DW7" s="2198"/>
      <c r="DX7" s="2198"/>
      <c r="DY7" s="2198" t="s">
        <v>183</v>
      </c>
      <c r="DZ7" s="2198" t="s">
        <v>184</v>
      </c>
      <c r="EA7" s="2203" t="s">
        <v>185</v>
      </c>
      <c r="EB7" s="2170"/>
      <c r="EC7" s="2173"/>
      <c r="ED7" s="2174"/>
      <c r="EE7" s="2204" t="s">
        <v>185</v>
      </c>
      <c r="EF7" s="2174"/>
      <c r="EG7" s="2204" t="s">
        <v>185</v>
      </c>
    </row>
    <row r="8" spans="1:144" ht="17.25" customHeight="1" outlineLevel="1">
      <c r="A8" s="2205">
        <v>5011</v>
      </c>
      <c r="B8" s="2206" t="s">
        <v>64</v>
      </c>
      <c r="C8" s="2207">
        <v>27925000</v>
      </c>
      <c r="D8" s="2207">
        <v>31800000</v>
      </c>
      <c r="E8" s="2207">
        <v>31800000</v>
      </c>
      <c r="F8" s="2207">
        <v>31800000</v>
      </c>
      <c r="G8" s="2207">
        <v>31800000</v>
      </c>
      <c r="H8" s="2207">
        <v>31800000</v>
      </c>
      <c r="I8" s="2207">
        <f>SUM(J8:R8)+SUM(V8:AF8)+AI8+AL8+SUM(AO8:AR8)+AU8+BD8+BJ8+BM8+BP8+BS8+BV8+BY8+BZ8+CC8+CD8+CG8+SUM(CJ8:CK8)+CT8+CW8+CZ8+DA8+DD8+DG8+DJ8+DK8+SUM(DO8:EA8)+CN8+CQ8+U8</f>
        <v>31800000</v>
      </c>
      <c r="J8" s="2208"/>
      <c r="K8" s="2209"/>
      <c r="L8" s="2209"/>
      <c r="M8" s="2209"/>
      <c r="N8" s="2209"/>
      <c r="O8" s="2209"/>
      <c r="P8" s="2209">
        <f>+'[1] návrh 2025'!$B$19</f>
        <v>0</v>
      </c>
      <c r="Q8" s="2209">
        <f>+'[1] návrh 2025'!$B$18</f>
        <v>0</v>
      </c>
      <c r="R8" s="2209">
        <f>+S8+T8</f>
        <v>19550000</v>
      </c>
      <c r="S8" s="2210">
        <f>+'[1] návrh 2025'!$B$3+'[1] návrh 2025'!$B$13+'[1] návrh 2025'!$B$14+'[1] návrh 2025'!$B$16+'[1] návrh 2025'!$B$17</f>
        <v>19550000</v>
      </c>
      <c r="T8" s="2211"/>
      <c r="U8" s="2209">
        <f>+'[1] návrh 2025'!$B$15</f>
        <v>2100000</v>
      </c>
      <c r="V8" s="2212">
        <f>+'[1] návrh 2025'!$B$10</f>
        <v>0</v>
      </c>
      <c r="W8" s="2209">
        <f>+'[1] návrh 2025'!$B$6</f>
        <v>1850000</v>
      </c>
      <c r="X8" s="2209"/>
      <c r="Y8" s="2209"/>
      <c r="Z8" s="2209">
        <f>+'[1] návrh 2025'!$B$4</f>
        <v>6700000</v>
      </c>
      <c r="AA8" s="2209">
        <f>+'[1] návrh 2025'!$B$7</f>
        <v>0</v>
      </c>
      <c r="AB8" s="2209"/>
      <c r="AC8" s="2209">
        <f>+'[1] návrh 2025'!$B$8</f>
        <v>1600000</v>
      </c>
      <c r="AD8" s="2209">
        <f>+'[1] návrh 2025'!$B$9</f>
        <v>0</v>
      </c>
      <c r="AE8" s="2209"/>
      <c r="AF8" s="2209"/>
      <c r="AG8" s="2210"/>
      <c r="AH8" s="2210"/>
      <c r="AI8" s="2209">
        <f>+'[1] návrh 2025'!$B$11</f>
        <v>0</v>
      </c>
      <c r="AJ8" s="2210"/>
      <c r="AK8" s="2210"/>
      <c r="AL8" s="2209"/>
      <c r="AM8" s="2210"/>
      <c r="AN8" s="2210"/>
      <c r="AO8" s="2209">
        <f>+'[1] návrh 2025'!$B$5</f>
        <v>0</v>
      </c>
      <c r="AP8" s="2209"/>
      <c r="AQ8" s="2209"/>
      <c r="AR8" s="2209"/>
      <c r="AS8" s="2210"/>
      <c r="AT8" s="2210"/>
      <c r="AU8" s="2209"/>
      <c r="AV8" s="2210"/>
      <c r="AW8" s="2210"/>
      <c r="AX8" s="2209"/>
      <c r="AY8" s="2210"/>
      <c r="AZ8" s="2210"/>
      <c r="BA8" s="2209"/>
      <c r="BB8" s="2210"/>
      <c r="BC8" s="2210"/>
      <c r="BD8" s="2209"/>
      <c r="BE8" s="2210"/>
      <c r="BF8" s="2210"/>
      <c r="BG8" s="2209">
        <v>0</v>
      </c>
      <c r="BH8" s="2210"/>
      <c r="BI8" s="2210"/>
      <c r="BJ8" s="2209">
        <f>+'[1] návrh 2025'!$B$12</f>
        <v>0</v>
      </c>
      <c r="BK8" s="2210"/>
      <c r="BL8" s="2210"/>
      <c r="BM8" s="2209"/>
      <c r="BN8" s="2210"/>
      <c r="BO8" s="2210"/>
      <c r="BP8" s="2209"/>
      <c r="BQ8" s="2210"/>
      <c r="BR8" s="2210"/>
      <c r="BS8" s="2209"/>
      <c r="BT8" s="2210"/>
      <c r="BU8" s="2210"/>
      <c r="BV8" s="2209"/>
      <c r="BW8" s="2210"/>
      <c r="BX8" s="2210"/>
      <c r="BY8" s="2209"/>
      <c r="BZ8" s="2209"/>
      <c r="CA8" s="2210"/>
      <c r="CB8" s="2210"/>
      <c r="CC8" s="2209"/>
      <c r="CD8" s="2209"/>
      <c r="CE8" s="2210"/>
      <c r="CF8" s="2210"/>
      <c r="CG8" s="2209"/>
      <c r="CH8" s="2210"/>
      <c r="CI8" s="2210"/>
      <c r="CJ8" s="2209"/>
      <c r="CK8" s="2209"/>
      <c r="CL8" s="2210"/>
      <c r="CM8" s="2210"/>
      <c r="CN8" s="2209"/>
      <c r="CO8" s="2210"/>
      <c r="CP8" s="2210"/>
      <c r="CQ8" s="2209"/>
      <c r="CR8" s="2210"/>
      <c r="CS8" s="2210"/>
      <c r="CT8" s="2209"/>
      <c r="CU8" s="2210"/>
      <c r="CV8" s="2210"/>
      <c r="CW8" s="2209"/>
      <c r="CX8" s="2210"/>
      <c r="CY8" s="2210"/>
      <c r="CZ8" s="2209"/>
      <c r="DA8" s="2209"/>
      <c r="DB8" s="2210"/>
      <c r="DC8" s="2210"/>
      <c r="DD8" s="2209"/>
      <c r="DE8" s="2210"/>
      <c r="DF8" s="2210"/>
      <c r="DG8" s="2209"/>
      <c r="DH8" s="2210"/>
      <c r="DI8" s="2210"/>
      <c r="DJ8" s="2209"/>
      <c r="DK8" s="2209"/>
      <c r="DL8" s="2210"/>
      <c r="DM8" s="2210"/>
      <c r="DN8" s="2210"/>
      <c r="DO8" s="2209"/>
      <c r="DP8" s="2209"/>
      <c r="DQ8" s="2209"/>
      <c r="DR8" s="2209"/>
      <c r="DS8" s="2209"/>
      <c r="DT8" s="2209"/>
      <c r="DU8" s="2209"/>
      <c r="DV8" s="2209"/>
      <c r="DW8" s="2210"/>
      <c r="DX8" s="2210"/>
      <c r="DY8" s="2209"/>
      <c r="DZ8" s="2209"/>
      <c r="EA8" s="2213"/>
      <c r="EB8" s="2214">
        <f t="shared" ref="EB8" si="0">+J8+K8+L8+N8+P8+Q8+R8+U8+V8+W8+Y8+Z8+AA8+AC8+AD8+AE8+AF8+AI8+AL8+AO8+AP8+AQ8+AR8+AU8+BD8+BJ8+BM8+BP8+BS8+BV8+BY8+BZ8+CC8+CD8+CG8+CJ8+CK8+CN8+CQ8+CT8+CW8+CZ8+DA8+DD8+DG8+DJ8+DK8+DO8+DP8+DQ8+DR8+DS8+DU8+DV8+DY8+DZ8+EA8+BG8+BA8+AX8+AB8</f>
        <v>31800000</v>
      </c>
      <c r="EC8" s="2173">
        <f t="shared" ref="EC8" si="1">EB8-I8</f>
        <v>0</v>
      </c>
      <c r="ED8" s="2174"/>
      <c r="EE8" s="2215">
        <f>+I8-EG8</f>
        <v>31800000</v>
      </c>
      <c r="EF8" s="2174">
        <f>+EG8-V8</f>
        <v>0</v>
      </c>
      <c r="EG8" s="2215">
        <f>+T8+AH8+AK8++AN8+AT8+AW8+BF8+BL8+BO8+BR8+BU8+BX8+CB8+CF8+CI8+CM8+CY8+DC8+DF8+DI8+DN8</f>
        <v>0</v>
      </c>
      <c r="EI8" s="2216"/>
      <c r="EM8" s="2216"/>
      <c r="EN8" s="2216"/>
    </row>
    <row r="9" spans="1:144" ht="17.25" customHeight="1" outlineLevel="1">
      <c r="A9" s="2205">
        <v>5021</v>
      </c>
      <c r="B9" s="2206" t="s">
        <v>65</v>
      </c>
      <c r="C9" s="2217">
        <v>1865000</v>
      </c>
      <c r="D9" s="2217">
        <v>2604500</v>
      </c>
      <c r="E9" s="2217">
        <v>2604500</v>
      </c>
      <c r="F9" s="2217">
        <v>2604500</v>
      </c>
      <c r="G9" s="2217">
        <v>2604500</v>
      </c>
      <c r="H9" s="2217">
        <v>2076500</v>
      </c>
      <c r="I9" s="2217">
        <f t="shared" ref="I9:I14" si="2">SUM(J9:R9)+SUM(V9:AF9)+AI9+AL9+SUM(AO9:AR9)+AU9+BD9+BJ9+BM9+BP9+BS9+BV9+BY9+BZ9+CC9+CD9+CG9+SUM(CJ9:CK9)+CT9+CW9+CZ9+DA9+DD9+DG9+DJ9+DK9+SUM(DO9:EA9)+CN9+CQ9+U9</f>
        <v>2076500</v>
      </c>
      <c r="J9" s="2218"/>
      <c r="K9" s="2219"/>
      <c r="L9" s="2219"/>
      <c r="M9" s="2219"/>
      <c r="N9" s="2219"/>
      <c r="O9" s="2219"/>
      <c r="P9" s="2219">
        <f>+'[1] návrh 2025'!$C$19+'[1] návrh 2025'!$D$19</f>
        <v>0</v>
      </c>
      <c r="Q9" s="2219">
        <f>+'[1] návrh 2025'!$C$18+'[1] návrh 2025'!$D$18</f>
        <v>0</v>
      </c>
      <c r="R9" s="2219">
        <f t="shared" ref="R9:R15" si="3">+S9+T9</f>
        <v>1532500</v>
      </c>
      <c r="S9" s="2220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T9" s="2221"/>
      <c r="U9" s="2219">
        <f>+'[1] návrh 2025'!$C$15+'[1] návrh 2025'!$D$15</f>
        <v>0</v>
      </c>
      <c r="V9" s="2222">
        <f>+'[1] návrh 2025'!$C$10+'[1] návrh 2025'!$D$10</f>
        <v>50000</v>
      </c>
      <c r="W9" s="2219">
        <f>+'[1] návrh 2025'!$C$6+'[1] návrh 2025'!$D$6</f>
        <v>0</v>
      </c>
      <c r="X9" s="2219"/>
      <c r="Y9" s="2219"/>
      <c r="Z9" s="2219">
        <f>+'[1] návrh 2025'!$C$4+'[1] návrh 2025'!$D$4</f>
        <v>72000</v>
      </c>
      <c r="AA9" s="2219">
        <f>+'[1] návrh 2025'!$C$7+'[1] návrh 2025'!$D$7</f>
        <v>12000</v>
      </c>
      <c r="AB9" s="2219"/>
      <c r="AC9" s="2219">
        <f>+'[1] návrh 2025'!$C$8+'[1] návrh 2025'!$D$8</f>
        <v>50000</v>
      </c>
      <c r="AD9" s="2219">
        <f>+'[1] návrh 2025'!$C$9+'[1] návrh 2025'!$D$9</f>
        <v>240000</v>
      </c>
      <c r="AE9" s="2219"/>
      <c r="AF9" s="2219"/>
      <c r="AG9" s="2220"/>
      <c r="AH9" s="2220"/>
      <c r="AI9" s="2219">
        <f>+'[1] návrh 2025'!$C$11+'[1] návrh 2025'!$D$11</f>
        <v>0</v>
      </c>
      <c r="AJ9" s="2220"/>
      <c r="AK9" s="2220"/>
      <c r="AL9" s="2219"/>
      <c r="AM9" s="2220"/>
      <c r="AN9" s="2220"/>
      <c r="AO9" s="2219">
        <f>+'[1] návrh 2025'!$C$5+'[1] návrh 2025'!$D$5</f>
        <v>120000</v>
      </c>
      <c r="AP9" s="2219"/>
      <c r="AQ9" s="2219"/>
      <c r="AR9" s="2219"/>
      <c r="AS9" s="2220"/>
      <c r="AT9" s="2220"/>
      <c r="AU9" s="2219"/>
      <c r="AV9" s="2220"/>
      <c r="AW9" s="2220"/>
      <c r="AX9" s="2219"/>
      <c r="AY9" s="2220"/>
      <c r="AZ9" s="2220"/>
      <c r="BA9" s="2219"/>
      <c r="BB9" s="2220"/>
      <c r="BC9" s="2220"/>
      <c r="BD9" s="2219"/>
      <c r="BE9" s="2220"/>
      <c r="BF9" s="2220"/>
      <c r="BG9" s="2219">
        <v>0</v>
      </c>
      <c r="BH9" s="2220"/>
      <c r="BI9" s="2220"/>
      <c r="BJ9" s="2219">
        <f>+'[1] návrh 2025'!$C$12+'[1] návrh 2025'!$D$12</f>
        <v>0</v>
      </c>
      <c r="BK9" s="2220"/>
      <c r="BL9" s="2220"/>
      <c r="BM9" s="2219"/>
      <c r="BN9" s="2220"/>
      <c r="BO9" s="2220"/>
      <c r="BP9" s="2219"/>
      <c r="BQ9" s="2220"/>
      <c r="BR9" s="2220"/>
      <c r="BS9" s="2219"/>
      <c r="BT9" s="2220"/>
      <c r="BU9" s="2220"/>
      <c r="BV9" s="2219"/>
      <c r="BW9" s="2220"/>
      <c r="BX9" s="2220"/>
      <c r="BY9" s="2219"/>
      <c r="BZ9" s="2219"/>
      <c r="CA9" s="2220"/>
      <c r="CB9" s="2220"/>
      <c r="CC9" s="2219"/>
      <c r="CD9" s="2219"/>
      <c r="CE9" s="2220"/>
      <c r="CF9" s="2220"/>
      <c r="CG9" s="2219"/>
      <c r="CH9" s="2220"/>
      <c r="CI9" s="2220"/>
      <c r="CJ9" s="2219"/>
      <c r="CK9" s="2219"/>
      <c r="CL9" s="2220"/>
      <c r="CM9" s="2220"/>
      <c r="CN9" s="2219"/>
      <c r="CO9" s="2220"/>
      <c r="CP9" s="2220"/>
      <c r="CQ9" s="2219"/>
      <c r="CR9" s="2220"/>
      <c r="CS9" s="2220"/>
      <c r="CT9" s="2219"/>
      <c r="CU9" s="2220"/>
      <c r="CV9" s="2220"/>
      <c r="CW9" s="2219"/>
      <c r="CX9" s="2220"/>
      <c r="CY9" s="2220"/>
      <c r="CZ9" s="2219"/>
      <c r="DA9" s="2219"/>
      <c r="DB9" s="2220"/>
      <c r="DC9" s="2220"/>
      <c r="DD9" s="2219"/>
      <c r="DE9" s="2220"/>
      <c r="DF9" s="2220"/>
      <c r="DG9" s="2219"/>
      <c r="DH9" s="2220"/>
      <c r="DI9" s="2220"/>
      <c r="DJ9" s="2219"/>
      <c r="DK9" s="2219"/>
      <c r="DL9" s="2220"/>
      <c r="DM9" s="2220"/>
      <c r="DN9" s="2220"/>
      <c r="DO9" s="2219"/>
      <c r="DP9" s="2219"/>
      <c r="DQ9" s="2219"/>
      <c r="DR9" s="2219"/>
      <c r="DS9" s="2219"/>
      <c r="DT9" s="2219"/>
      <c r="DU9" s="2219"/>
      <c r="DV9" s="2219"/>
      <c r="DW9" s="2220"/>
      <c r="DX9" s="2220"/>
      <c r="DY9" s="2219"/>
      <c r="DZ9" s="2219"/>
      <c r="EA9" s="2223"/>
      <c r="EB9" s="2214">
        <f t="shared" ref="EB9:EB15" si="4">+J9+K9+L9+N9+P9+Q9+R9+U9+V9+W9+Y9+Z9+AA9+AC9+AD9+AE9+AF9+AI9+AL9+AO9+AP9+AQ9+AR9+AU9+BD9+BJ9+BM9+BP9+BS9+BV9+BY9+BZ9+CC9+CD9+CG9+CJ9+CK9+CN9+CQ9+CT9+CW9+CZ9+DA9+DD9+DG9+DJ9+DK9+DO9+DP9+DQ9+DR9+DS9+DU9+DV9+DY9+DZ9+EA9+BG9+BA9+AX9+AB9</f>
        <v>2076500</v>
      </c>
      <c r="EC9" s="2173">
        <f t="shared" ref="EC9:EC15" si="5">EB9-I9</f>
        <v>0</v>
      </c>
      <c r="ED9" s="2174"/>
      <c r="EE9" s="2217">
        <f t="shared" ref="EE9:EE15" si="6">+I9-EG9</f>
        <v>2076500</v>
      </c>
      <c r="EF9" s="2174">
        <f t="shared" ref="EF9:EF72" si="7">+EG9-V9</f>
        <v>-50000</v>
      </c>
      <c r="EG9" s="2217">
        <f t="shared" ref="EG9:EG15" si="8">+T9+AH9+AK9++AN9+AT9+AW9+BF9+BL9+BO9+BR9+BU9+BX9+CB9+CF9+CI9+CM9+CY9+DC9+DF9+DI9+DN9</f>
        <v>0</v>
      </c>
      <c r="EI9" s="2216"/>
      <c r="EM9" s="2216"/>
      <c r="EN9" s="2216"/>
    </row>
    <row r="10" spans="1:144" ht="17.25" customHeight="1" outlineLevel="1">
      <c r="A10" s="2205">
        <v>5023</v>
      </c>
      <c r="B10" s="2206" t="s">
        <v>478</v>
      </c>
      <c r="C10" s="2217">
        <v>3020000</v>
      </c>
      <c r="D10" s="2217">
        <v>3500000</v>
      </c>
      <c r="E10" s="2217">
        <v>3500000</v>
      </c>
      <c r="F10" s="2217">
        <v>3500000</v>
      </c>
      <c r="G10" s="2217">
        <v>3500000</v>
      </c>
      <c r="H10" s="2217">
        <v>3500000</v>
      </c>
      <c r="I10" s="2217">
        <f t="shared" si="2"/>
        <v>3500000</v>
      </c>
      <c r="J10" s="2218" t="s">
        <v>582</v>
      </c>
      <c r="K10" s="2219"/>
      <c r="L10" s="2219"/>
      <c r="M10" s="2219"/>
      <c r="N10" s="2219"/>
      <c r="O10" s="2219"/>
      <c r="P10" s="2219">
        <f>+'[1] návrh 2025'!$E$19</f>
        <v>3500000</v>
      </c>
      <c r="Q10" s="2219">
        <f>+'[1] návrh 2025'!$E$18</f>
        <v>0</v>
      </c>
      <c r="R10" s="2219">
        <f t="shared" si="3"/>
        <v>0</v>
      </c>
      <c r="S10" s="2220">
        <f>+'[1] návrh 2025'!$E$3+'[1] návrh 2025'!$E$13+'[1] návrh 2025'!$E$14+'[1] návrh 2025'!$E$16+'[1] návrh 2025'!$E$17</f>
        <v>0</v>
      </c>
      <c r="T10" s="2221"/>
      <c r="U10" s="2219">
        <f>+'[1] návrh 2025'!$E$15</f>
        <v>0</v>
      </c>
      <c r="V10" s="2222">
        <f>+'[1] návrh 2025'!$E$10</f>
        <v>0</v>
      </c>
      <c r="W10" s="2209">
        <f>+'[1] návrh 2025'!$E$6</f>
        <v>0</v>
      </c>
      <c r="X10" s="2209"/>
      <c r="Y10" s="2219"/>
      <c r="Z10" s="2209">
        <f>+'[1] návrh 2025'!$E$4</f>
        <v>0</v>
      </c>
      <c r="AA10" s="2209">
        <f>+'[1] návrh 2025'!$E$7</f>
        <v>0</v>
      </c>
      <c r="AB10" s="2209"/>
      <c r="AC10" s="2209">
        <f>+'[1] návrh 2025'!$E$8</f>
        <v>0</v>
      </c>
      <c r="AD10" s="2209">
        <f>+'[1] návrh 2025'!$E$9</f>
        <v>0</v>
      </c>
      <c r="AE10" s="2219"/>
      <c r="AF10" s="2219"/>
      <c r="AG10" s="2220"/>
      <c r="AH10" s="2220"/>
      <c r="AI10" s="2209">
        <f>+'[1] návrh 2025'!$E$11</f>
        <v>0</v>
      </c>
      <c r="AJ10" s="2220"/>
      <c r="AK10" s="2220"/>
      <c r="AL10" s="2219"/>
      <c r="AM10" s="2220"/>
      <c r="AN10" s="2220"/>
      <c r="AO10" s="2209">
        <f>+'[1] návrh 2025'!$E$5</f>
        <v>0</v>
      </c>
      <c r="AP10" s="2219"/>
      <c r="AQ10" s="2219"/>
      <c r="AR10" s="2219"/>
      <c r="AS10" s="2220"/>
      <c r="AT10" s="2220"/>
      <c r="AU10" s="2219"/>
      <c r="AV10" s="2220"/>
      <c r="AW10" s="2220"/>
      <c r="AX10" s="2219"/>
      <c r="AY10" s="2220"/>
      <c r="AZ10" s="2220"/>
      <c r="BA10" s="2219"/>
      <c r="BB10" s="2220"/>
      <c r="BC10" s="2220"/>
      <c r="BD10" s="2219"/>
      <c r="BE10" s="2220"/>
      <c r="BF10" s="2220"/>
      <c r="BG10" s="2209">
        <v>0</v>
      </c>
      <c r="BH10" s="2220"/>
      <c r="BI10" s="2220"/>
      <c r="BJ10" s="2209">
        <f>+'[1] návrh 2025'!$E$12</f>
        <v>0</v>
      </c>
      <c r="BK10" s="2220"/>
      <c r="BL10" s="2220"/>
      <c r="BM10" s="2219"/>
      <c r="BN10" s="2220"/>
      <c r="BO10" s="2220"/>
      <c r="BP10" s="2219"/>
      <c r="BQ10" s="2220"/>
      <c r="BR10" s="2220"/>
      <c r="BS10" s="2219"/>
      <c r="BT10" s="2220"/>
      <c r="BU10" s="2220"/>
      <c r="BV10" s="2219"/>
      <c r="BW10" s="2220"/>
      <c r="BX10" s="2220"/>
      <c r="BY10" s="2219"/>
      <c r="BZ10" s="2219"/>
      <c r="CA10" s="2220"/>
      <c r="CB10" s="2220"/>
      <c r="CC10" s="2219"/>
      <c r="CD10" s="2219"/>
      <c r="CE10" s="2220"/>
      <c r="CF10" s="2220"/>
      <c r="CG10" s="2219"/>
      <c r="CH10" s="2220"/>
      <c r="CI10" s="2220"/>
      <c r="CJ10" s="2219"/>
      <c r="CK10" s="2219"/>
      <c r="CL10" s="2220"/>
      <c r="CM10" s="2220"/>
      <c r="CN10" s="2219"/>
      <c r="CO10" s="2220"/>
      <c r="CP10" s="2220"/>
      <c r="CQ10" s="2219"/>
      <c r="CR10" s="2220"/>
      <c r="CS10" s="2220"/>
      <c r="CT10" s="2219"/>
      <c r="CU10" s="2220"/>
      <c r="CV10" s="2220"/>
      <c r="CW10" s="2219"/>
      <c r="CX10" s="2220"/>
      <c r="CY10" s="2220"/>
      <c r="CZ10" s="2219"/>
      <c r="DA10" s="2219"/>
      <c r="DB10" s="2220"/>
      <c r="DC10" s="2220"/>
      <c r="DD10" s="2219"/>
      <c r="DE10" s="2220"/>
      <c r="DF10" s="2220"/>
      <c r="DG10" s="2219"/>
      <c r="DH10" s="2220"/>
      <c r="DI10" s="2220"/>
      <c r="DJ10" s="2219"/>
      <c r="DK10" s="2219"/>
      <c r="DL10" s="2220"/>
      <c r="DM10" s="2220"/>
      <c r="DN10" s="2220"/>
      <c r="DO10" s="2219"/>
      <c r="DP10" s="2219"/>
      <c r="DQ10" s="2219"/>
      <c r="DR10" s="2219"/>
      <c r="DS10" s="2219"/>
      <c r="DT10" s="2219"/>
      <c r="DU10" s="2219"/>
      <c r="DV10" s="2219"/>
      <c r="DW10" s="2220"/>
      <c r="DX10" s="2220"/>
      <c r="DY10" s="2219"/>
      <c r="DZ10" s="2219"/>
      <c r="EA10" s="2223"/>
      <c r="EB10" s="2214">
        <f>+P10</f>
        <v>3500000</v>
      </c>
      <c r="EC10" s="2173">
        <f t="shared" si="5"/>
        <v>0</v>
      </c>
      <c r="ED10" s="2174"/>
      <c r="EE10" s="2217">
        <f t="shared" si="6"/>
        <v>3500000</v>
      </c>
      <c r="EF10" s="2174">
        <f t="shared" si="7"/>
        <v>0</v>
      </c>
      <c r="EG10" s="2217">
        <f t="shared" si="8"/>
        <v>0</v>
      </c>
      <c r="EI10" s="2216"/>
      <c r="EM10" s="2216"/>
      <c r="EN10" s="2216"/>
    </row>
    <row r="11" spans="1:144" ht="17.25" hidden="1" customHeight="1" outlineLevel="1">
      <c r="A11" s="2205">
        <v>5024</v>
      </c>
      <c r="B11" s="2206" t="s">
        <v>733</v>
      </c>
      <c r="C11" s="2217">
        <v>0</v>
      </c>
      <c r="D11" s="2217">
        <v>0</v>
      </c>
      <c r="E11" s="2217">
        <v>0</v>
      </c>
      <c r="F11" s="2217">
        <v>0</v>
      </c>
      <c r="G11" s="2217">
        <v>0</v>
      </c>
      <c r="H11" s="2217">
        <v>0</v>
      </c>
      <c r="I11" s="2217">
        <f t="shared" si="2"/>
        <v>0</v>
      </c>
      <c r="J11" s="2218"/>
      <c r="K11" s="2219"/>
      <c r="L11" s="2219"/>
      <c r="M11" s="2219"/>
      <c r="N11" s="2219"/>
      <c r="O11" s="2219"/>
      <c r="P11" s="2219">
        <f>+'[1] návrh 2025'!$F$19</f>
        <v>0</v>
      </c>
      <c r="Q11" s="2219">
        <f>+'[1] návrh 2025'!$F$18</f>
        <v>0</v>
      </c>
      <c r="R11" s="2219">
        <f t="shared" si="3"/>
        <v>0</v>
      </c>
      <c r="S11" s="2220">
        <f>+'[1] návrh 2025'!$F$17+'[1] návrh 2025'!$F$16+'[1] návrh 2025'!$F$13+'[1] návrh 2025'!$F$14+'[1] návrh 2025'!$F$3</f>
        <v>0</v>
      </c>
      <c r="T11" s="2221"/>
      <c r="U11" s="2219">
        <f>+'[1] návrh 2025'!$F$15</f>
        <v>0</v>
      </c>
      <c r="V11" s="2222">
        <f>+'[1] návrh 2025'!$F$10</f>
        <v>0</v>
      </c>
      <c r="W11" s="2209">
        <f>+'[1] návrh 2025'!$F$6</f>
        <v>0</v>
      </c>
      <c r="X11" s="2209"/>
      <c r="Y11" s="2219"/>
      <c r="Z11" s="2209">
        <f>+'[1] návrh 2025'!$F$4</f>
        <v>0</v>
      </c>
      <c r="AA11" s="2209">
        <f>+'[1] návrh 2025'!$F$7</f>
        <v>0</v>
      </c>
      <c r="AB11" s="2209"/>
      <c r="AC11" s="2209">
        <f>+'[1] návrh 2025'!$F$8</f>
        <v>0</v>
      </c>
      <c r="AD11" s="2209">
        <f>+'[1] návrh 2025'!$F$9</f>
        <v>0</v>
      </c>
      <c r="AE11" s="2219"/>
      <c r="AF11" s="2219"/>
      <c r="AG11" s="2220"/>
      <c r="AH11" s="2220"/>
      <c r="AI11" s="2209">
        <f>+'[1] návrh 2025'!$F$11</f>
        <v>0</v>
      </c>
      <c r="AJ11" s="2220"/>
      <c r="AK11" s="2220"/>
      <c r="AL11" s="2219"/>
      <c r="AM11" s="2220"/>
      <c r="AN11" s="2220"/>
      <c r="AO11" s="2209">
        <f>+'[1] návrh 2025'!$F$5</f>
        <v>0</v>
      </c>
      <c r="AP11" s="2219"/>
      <c r="AQ11" s="2219"/>
      <c r="AR11" s="2219"/>
      <c r="AS11" s="2220"/>
      <c r="AT11" s="2220"/>
      <c r="AU11" s="2219"/>
      <c r="AV11" s="2220"/>
      <c r="AW11" s="2220"/>
      <c r="AX11" s="2219"/>
      <c r="AY11" s="2220"/>
      <c r="AZ11" s="2220"/>
      <c r="BA11" s="2219"/>
      <c r="BB11" s="2220"/>
      <c r="BC11" s="2220"/>
      <c r="BD11" s="2219"/>
      <c r="BE11" s="2220"/>
      <c r="BF11" s="2220"/>
      <c r="BG11" s="2209">
        <v>0</v>
      </c>
      <c r="BH11" s="2220"/>
      <c r="BI11" s="2220"/>
      <c r="BJ11" s="2209">
        <f>+'[1] návrh 2025'!$F$12</f>
        <v>0</v>
      </c>
      <c r="BK11" s="2220"/>
      <c r="BL11" s="2220"/>
      <c r="BM11" s="2219"/>
      <c r="BN11" s="2220"/>
      <c r="BO11" s="2220"/>
      <c r="BP11" s="2219"/>
      <c r="BQ11" s="2220"/>
      <c r="BR11" s="2220"/>
      <c r="BS11" s="2219"/>
      <c r="BT11" s="2220"/>
      <c r="BU11" s="2220"/>
      <c r="BV11" s="2219"/>
      <c r="BW11" s="2220"/>
      <c r="BX11" s="2220"/>
      <c r="BY11" s="2219"/>
      <c r="BZ11" s="2219"/>
      <c r="CA11" s="2220"/>
      <c r="CB11" s="2220"/>
      <c r="CC11" s="2219"/>
      <c r="CD11" s="2219"/>
      <c r="CE11" s="2220"/>
      <c r="CF11" s="2220"/>
      <c r="CG11" s="2219"/>
      <c r="CH11" s="2220"/>
      <c r="CI11" s="2220"/>
      <c r="CJ11" s="2219"/>
      <c r="CK11" s="2219"/>
      <c r="CL11" s="2220"/>
      <c r="CM11" s="2220"/>
      <c r="CN11" s="2219"/>
      <c r="CO11" s="2220"/>
      <c r="CP11" s="2220"/>
      <c r="CQ11" s="2219"/>
      <c r="CR11" s="2220"/>
      <c r="CS11" s="2220"/>
      <c r="CT11" s="2219"/>
      <c r="CU11" s="2220"/>
      <c r="CV11" s="2220"/>
      <c r="CW11" s="2219"/>
      <c r="CX11" s="2220"/>
      <c r="CY11" s="2220"/>
      <c r="CZ11" s="2219"/>
      <c r="DA11" s="2219"/>
      <c r="DB11" s="2220"/>
      <c r="DC11" s="2220"/>
      <c r="DD11" s="2219"/>
      <c r="DE11" s="2220"/>
      <c r="DF11" s="2220"/>
      <c r="DG11" s="2219"/>
      <c r="DH11" s="2220"/>
      <c r="DI11" s="2220"/>
      <c r="DJ11" s="2219"/>
      <c r="DK11" s="2219"/>
      <c r="DL11" s="2220"/>
      <c r="DM11" s="2220"/>
      <c r="DN11" s="2220"/>
      <c r="DO11" s="2219"/>
      <c r="DP11" s="2219"/>
      <c r="DQ11" s="2219"/>
      <c r="DR11" s="2219"/>
      <c r="DS11" s="2219"/>
      <c r="DT11" s="2219"/>
      <c r="DU11" s="2219"/>
      <c r="DV11" s="2219"/>
      <c r="DW11" s="2220"/>
      <c r="DX11" s="2220"/>
      <c r="DY11" s="2219"/>
      <c r="DZ11" s="2219"/>
      <c r="EA11" s="2223"/>
      <c r="EB11" s="2214">
        <f t="shared" si="4"/>
        <v>0</v>
      </c>
      <c r="EC11" s="2173">
        <f t="shared" si="5"/>
        <v>0</v>
      </c>
      <c r="ED11" s="2174"/>
      <c r="EE11" s="2217">
        <f t="shared" si="6"/>
        <v>0</v>
      </c>
      <c r="EF11" s="2174">
        <f t="shared" si="7"/>
        <v>0</v>
      </c>
      <c r="EG11" s="2217">
        <f t="shared" si="8"/>
        <v>0</v>
      </c>
      <c r="EI11" s="2216"/>
      <c r="EM11" s="2216"/>
      <c r="EN11" s="2216"/>
    </row>
    <row r="12" spans="1:144" ht="17.25" customHeight="1" outlineLevel="1">
      <c r="A12" s="2205">
        <v>5029</v>
      </c>
      <c r="B12" s="2206" t="s">
        <v>66</v>
      </c>
      <c r="C12" s="2217">
        <v>30000</v>
      </c>
      <c r="D12" s="2217">
        <v>30000</v>
      </c>
      <c r="E12" s="2217">
        <v>30000</v>
      </c>
      <c r="F12" s="2217">
        <v>30000</v>
      </c>
      <c r="G12" s="2217">
        <v>30000</v>
      </c>
      <c r="H12" s="2217">
        <v>30000</v>
      </c>
      <c r="I12" s="2217">
        <f>SUM(J12:R12)+SUM(V12:AF12)+AI12+AL12+SUM(AO12:AR12)+AU12+BD12+BJ12+BM12+BP12+BS12+BV12+BY12+BZ12+CC12+CD12+CG12+SUM(CJ12:CK12)+CT12+CW12+CZ12+DA12+DD12+DG12+DJ12+DK12+SUM(DO12:EA12)+CN12+CQ12+U12</f>
        <v>30000</v>
      </c>
      <c r="J12" s="2218"/>
      <c r="K12" s="2219"/>
      <c r="L12" s="2219"/>
      <c r="M12" s="2219"/>
      <c r="N12" s="2219"/>
      <c r="O12" s="2219"/>
      <c r="P12" s="2219">
        <f>+'[1] návrh 2025'!$G$19</f>
        <v>0</v>
      </c>
      <c r="Q12" s="2219">
        <f>+'[1] návrh 2025'!$G$18</f>
        <v>0</v>
      </c>
      <c r="R12" s="2219">
        <f t="shared" si="3"/>
        <v>0</v>
      </c>
      <c r="S12" s="2220">
        <f>+'[1] návrh 2025'!$G$3+'[1] návrh 2025'!$G$13+'[1] návrh 2025'!$G$14+'[1] návrh 2025'!$G$16+'[1] návrh 2025'!$G$17</f>
        <v>0</v>
      </c>
      <c r="T12" s="2221"/>
      <c r="U12" s="2219">
        <f>+'[1] návrh 2025'!$G$15</f>
        <v>0</v>
      </c>
      <c r="V12" s="2222">
        <f>+'[1] návrh 2025'!$G$10</f>
        <v>0</v>
      </c>
      <c r="W12" s="2209">
        <f>+'[1] návrh 2025'!$G$6</f>
        <v>0</v>
      </c>
      <c r="X12" s="2209"/>
      <c r="Y12" s="2219"/>
      <c r="Z12" s="2209">
        <f>+'[1] návrh 2025'!$G$4</f>
        <v>0</v>
      </c>
      <c r="AA12" s="2209">
        <f>+'[1] návrh 2025'!$G$7</f>
        <v>0</v>
      </c>
      <c r="AB12" s="2209"/>
      <c r="AC12" s="2209">
        <f>+'[1] návrh 2025'!$G$8</f>
        <v>0</v>
      </c>
      <c r="AD12" s="2209">
        <f>+'[1] návrh 2025'!$G$9</f>
        <v>0</v>
      </c>
      <c r="AE12" s="2219"/>
      <c r="AF12" s="2219"/>
      <c r="AG12" s="2220"/>
      <c r="AH12" s="2220"/>
      <c r="AI12" s="2209">
        <f>+'[1] návrh 2025'!$G$11</f>
        <v>0</v>
      </c>
      <c r="AJ12" s="2220"/>
      <c r="AK12" s="2220"/>
      <c r="AL12" s="2219"/>
      <c r="AM12" s="2220"/>
      <c r="AN12" s="2220"/>
      <c r="AO12" s="2209">
        <f>+'[1] návrh 2025'!$G$5</f>
        <v>30000</v>
      </c>
      <c r="AP12" s="2219"/>
      <c r="AQ12" s="2219"/>
      <c r="AR12" s="2219"/>
      <c r="AS12" s="2220"/>
      <c r="AT12" s="2220"/>
      <c r="AU12" s="2219"/>
      <c r="AV12" s="2220"/>
      <c r="AW12" s="2220"/>
      <c r="AX12" s="2219"/>
      <c r="AY12" s="2220"/>
      <c r="AZ12" s="2220"/>
      <c r="BA12" s="2219"/>
      <c r="BB12" s="2220"/>
      <c r="BC12" s="2220"/>
      <c r="BD12" s="2219"/>
      <c r="BE12" s="2220"/>
      <c r="BF12" s="2220"/>
      <c r="BG12" s="2209">
        <v>0</v>
      </c>
      <c r="BH12" s="2220"/>
      <c r="BI12" s="2220"/>
      <c r="BJ12" s="2209">
        <f>+'[1] návrh 2025'!$G$12</f>
        <v>0</v>
      </c>
      <c r="BK12" s="2220"/>
      <c r="BL12" s="2220"/>
      <c r="BM12" s="2219"/>
      <c r="BN12" s="2220"/>
      <c r="BO12" s="2220"/>
      <c r="BP12" s="2219"/>
      <c r="BQ12" s="2220"/>
      <c r="BR12" s="2220"/>
      <c r="BS12" s="2219"/>
      <c r="BT12" s="2220"/>
      <c r="BU12" s="2220"/>
      <c r="BV12" s="2219"/>
      <c r="BW12" s="2220"/>
      <c r="BX12" s="2220"/>
      <c r="BY12" s="2219"/>
      <c r="BZ12" s="2219"/>
      <c r="CA12" s="2220"/>
      <c r="CB12" s="2220"/>
      <c r="CC12" s="2219"/>
      <c r="CD12" s="2219"/>
      <c r="CE12" s="2220"/>
      <c r="CF12" s="2220"/>
      <c r="CG12" s="2219"/>
      <c r="CH12" s="2220"/>
      <c r="CI12" s="2220"/>
      <c r="CJ12" s="2219"/>
      <c r="CK12" s="2219"/>
      <c r="CL12" s="2220"/>
      <c r="CM12" s="2220"/>
      <c r="CN12" s="2219"/>
      <c r="CO12" s="2220"/>
      <c r="CP12" s="2220"/>
      <c r="CQ12" s="2219"/>
      <c r="CR12" s="2220"/>
      <c r="CS12" s="2220"/>
      <c r="CT12" s="2219"/>
      <c r="CU12" s="2220"/>
      <c r="CV12" s="2220"/>
      <c r="CW12" s="2219"/>
      <c r="CX12" s="2220"/>
      <c r="CY12" s="2220"/>
      <c r="CZ12" s="2219"/>
      <c r="DA12" s="2219"/>
      <c r="DB12" s="2220"/>
      <c r="DC12" s="2220"/>
      <c r="DD12" s="2219"/>
      <c r="DE12" s="2220"/>
      <c r="DF12" s="2220"/>
      <c r="DG12" s="2219"/>
      <c r="DH12" s="2220"/>
      <c r="DI12" s="2220"/>
      <c r="DJ12" s="2219"/>
      <c r="DK12" s="2219"/>
      <c r="DL12" s="2220"/>
      <c r="DM12" s="2220"/>
      <c r="DN12" s="2220"/>
      <c r="DO12" s="2219"/>
      <c r="DP12" s="2219"/>
      <c r="DQ12" s="2219"/>
      <c r="DR12" s="2219"/>
      <c r="DS12" s="2219"/>
      <c r="DT12" s="2219"/>
      <c r="DU12" s="2219"/>
      <c r="DV12" s="2219"/>
      <c r="DW12" s="2220"/>
      <c r="DX12" s="2220"/>
      <c r="DY12" s="2219"/>
      <c r="DZ12" s="2219"/>
      <c r="EA12" s="2223"/>
      <c r="EB12" s="2214">
        <f t="shared" si="4"/>
        <v>30000</v>
      </c>
      <c r="EC12" s="2173">
        <f t="shared" si="5"/>
        <v>0</v>
      </c>
      <c r="ED12" s="2174"/>
      <c r="EE12" s="2217">
        <f t="shared" si="6"/>
        <v>30000</v>
      </c>
      <c r="EF12" s="2174">
        <f t="shared" si="7"/>
        <v>0</v>
      </c>
      <c r="EG12" s="2217">
        <f t="shared" si="8"/>
        <v>0</v>
      </c>
      <c r="EI12" s="2216"/>
      <c r="EM12" s="2216"/>
      <c r="EN12" s="2216"/>
    </row>
    <row r="13" spans="1:144" ht="17.25" customHeight="1" outlineLevel="1">
      <c r="A13" s="2205">
        <v>5031</v>
      </c>
      <c r="B13" s="2206" t="s">
        <v>67</v>
      </c>
      <c r="C13" s="2217">
        <v>8112500</v>
      </c>
      <c r="D13" s="2217">
        <v>9344125</v>
      </c>
      <c r="E13" s="2217">
        <v>9344125</v>
      </c>
      <c r="F13" s="2217">
        <v>9344125</v>
      </c>
      <c r="G13" s="2217">
        <v>9344125</v>
      </c>
      <c r="H13" s="2217">
        <v>9344125</v>
      </c>
      <c r="I13" s="2217">
        <f t="shared" si="2"/>
        <v>9344125</v>
      </c>
      <c r="J13" s="2218"/>
      <c r="K13" s="2219"/>
      <c r="L13" s="2219"/>
      <c r="M13" s="2219"/>
      <c r="N13" s="2219"/>
      <c r="O13" s="2219"/>
      <c r="P13" s="2219">
        <f>+'[1] návrh 2025'!$H$19</f>
        <v>875000</v>
      </c>
      <c r="Q13" s="2219">
        <f>+'[1] návrh 2025'!$H$18</f>
        <v>0</v>
      </c>
      <c r="R13" s="2219">
        <f t="shared" si="3"/>
        <v>5270625</v>
      </c>
      <c r="S13" s="2220">
        <f>+'[1] návrh 2025'!$H$17+'[1] návrh 2025'!$H$16+'[1] návrh 2025'!$H$14+'[1] návrh 2025'!$H$13+'[1] návrh 2025'!$H$3</f>
        <v>5270625</v>
      </c>
      <c r="T13" s="2221"/>
      <c r="U13" s="2219">
        <f>+'[1] návrh 2025'!$H$15</f>
        <v>525000</v>
      </c>
      <c r="V13" s="2222">
        <f>+'[1] návrh 2025'!$H$10</f>
        <v>12500</v>
      </c>
      <c r="W13" s="2209">
        <f>+'[1] návrh 2025'!$H$6</f>
        <v>462500</v>
      </c>
      <c r="X13" s="2209"/>
      <c r="Y13" s="2219"/>
      <c r="Z13" s="2209">
        <f>+'[1] návrh 2025'!$H$4</f>
        <v>1693000</v>
      </c>
      <c r="AA13" s="2209">
        <f>+'[1] návrh 2025'!$H$7</f>
        <v>3000</v>
      </c>
      <c r="AB13" s="2209"/>
      <c r="AC13" s="2209">
        <f>+'[1] návrh 2025'!$H$8</f>
        <v>412500</v>
      </c>
      <c r="AD13" s="2209">
        <f>+'[1] návrh 2025'!$H$9</f>
        <v>60000</v>
      </c>
      <c r="AE13" s="2219"/>
      <c r="AF13" s="2219"/>
      <c r="AG13" s="2220"/>
      <c r="AH13" s="2220"/>
      <c r="AI13" s="2209">
        <f>+'[1] návrh 2025'!$H$11</f>
        <v>0</v>
      </c>
      <c r="AJ13" s="2220"/>
      <c r="AK13" s="2220"/>
      <c r="AL13" s="2219"/>
      <c r="AM13" s="2220"/>
      <c r="AN13" s="2220"/>
      <c r="AO13" s="2209">
        <f>+'[1] návrh 2025'!$H$5</f>
        <v>30000</v>
      </c>
      <c r="AP13" s="2219"/>
      <c r="AQ13" s="2219"/>
      <c r="AR13" s="2219"/>
      <c r="AS13" s="2220"/>
      <c r="AT13" s="2220"/>
      <c r="AU13" s="2219"/>
      <c r="AV13" s="2220"/>
      <c r="AW13" s="2220"/>
      <c r="AX13" s="2219"/>
      <c r="AY13" s="2220"/>
      <c r="AZ13" s="2220"/>
      <c r="BA13" s="2219"/>
      <c r="BB13" s="2220"/>
      <c r="BC13" s="2220"/>
      <c r="BD13" s="2219"/>
      <c r="BE13" s="2220"/>
      <c r="BF13" s="2220"/>
      <c r="BG13" s="2209">
        <v>0</v>
      </c>
      <c r="BH13" s="2220"/>
      <c r="BI13" s="2220"/>
      <c r="BJ13" s="2209">
        <f>+'[1] návrh 2025'!$H$12</f>
        <v>0</v>
      </c>
      <c r="BK13" s="2220"/>
      <c r="BL13" s="2220"/>
      <c r="BM13" s="2219"/>
      <c r="BN13" s="2220"/>
      <c r="BO13" s="2220"/>
      <c r="BP13" s="2219"/>
      <c r="BQ13" s="2220"/>
      <c r="BR13" s="2220"/>
      <c r="BS13" s="2219"/>
      <c r="BT13" s="2220"/>
      <c r="BU13" s="2220"/>
      <c r="BV13" s="2219"/>
      <c r="BW13" s="2220"/>
      <c r="BX13" s="2220"/>
      <c r="BY13" s="2219"/>
      <c r="BZ13" s="2219"/>
      <c r="CA13" s="2220"/>
      <c r="CB13" s="2220"/>
      <c r="CC13" s="2219"/>
      <c r="CD13" s="2219"/>
      <c r="CE13" s="2220"/>
      <c r="CF13" s="2220"/>
      <c r="CG13" s="2219"/>
      <c r="CH13" s="2220"/>
      <c r="CI13" s="2220"/>
      <c r="CJ13" s="2219"/>
      <c r="CK13" s="2219"/>
      <c r="CL13" s="2220"/>
      <c r="CM13" s="2220"/>
      <c r="CN13" s="2219"/>
      <c r="CO13" s="2220"/>
      <c r="CP13" s="2220"/>
      <c r="CQ13" s="2219"/>
      <c r="CR13" s="2220"/>
      <c r="CS13" s="2220"/>
      <c r="CT13" s="2219"/>
      <c r="CU13" s="2220"/>
      <c r="CV13" s="2220"/>
      <c r="CW13" s="2219"/>
      <c r="CX13" s="2220"/>
      <c r="CY13" s="2220"/>
      <c r="CZ13" s="2219"/>
      <c r="DA13" s="2219"/>
      <c r="DB13" s="2220"/>
      <c r="DC13" s="2220"/>
      <c r="DD13" s="2219"/>
      <c r="DE13" s="2220"/>
      <c r="DF13" s="2220"/>
      <c r="DG13" s="2219"/>
      <c r="DH13" s="2220"/>
      <c r="DI13" s="2220"/>
      <c r="DJ13" s="2219"/>
      <c r="DK13" s="2219"/>
      <c r="DL13" s="2220"/>
      <c r="DM13" s="2220"/>
      <c r="DN13" s="2220"/>
      <c r="DO13" s="2219"/>
      <c r="DP13" s="2219"/>
      <c r="DQ13" s="2219"/>
      <c r="DR13" s="2219"/>
      <c r="DS13" s="2219"/>
      <c r="DT13" s="2219"/>
      <c r="DU13" s="2219"/>
      <c r="DV13" s="2219"/>
      <c r="DW13" s="2220"/>
      <c r="DX13" s="2220"/>
      <c r="DY13" s="2219"/>
      <c r="DZ13" s="2219"/>
      <c r="EA13" s="2223"/>
      <c r="EB13" s="2214">
        <f t="shared" si="4"/>
        <v>9344125</v>
      </c>
      <c r="EC13" s="2173">
        <f t="shared" si="5"/>
        <v>0</v>
      </c>
      <c r="ED13" s="2174"/>
      <c r="EE13" s="2217">
        <f t="shared" si="6"/>
        <v>9344125</v>
      </c>
      <c r="EF13" s="2174">
        <f t="shared" si="7"/>
        <v>-12500</v>
      </c>
      <c r="EG13" s="2217">
        <f t="shared" si="8"/>
        <v>0</v>
      </c>
      <c r="EI13" s="2216"/>
      <c r="EM13" s="2216"/>
      <c r="EN13" s="2216"/>
    </row>
    <row r="14" spans="1:144" ht="17.25" customHeight="1" outlineLevel="1">
      <c r="A14" s="2205">
        <v>5032</v>
      </c>
      <c r="B14" s="2206" t="s">
        <v>68</v>
      </c>
      <c r="C14" s="2217">
        <v>2920500</v>
      </c>
      <c r="D14" s="2217">
        <v>3363885</v>
      </c>
      <c r="E14" s="2217">
        <v>3363885</v>
      </c>
      <c r="F14" s="2217">
        <v>3363885</v>
      </c>
      <c r="G14" s="2217">
        <v>3363885</v>
      </c>
      <c r="H14" s="2217">
        <v>3363885</v>
      </c>
      <c r="I14" s="2217">
        <f t="shared" si="2"/>
        <v>3363885</v>
      </c>
      <c r="J14" s="2218"/>
      <c r="K14" s="2219"/>
      <c r="L14" s="2219"/>
      <c r="M14" s="2219"/>
      <c r="N14" s="2219"/>
      <c r="O14" s="2219"/>
      <c r="P14" s="2219">
        <f>+'[1] návrh 2025'!$I$19</f>
        <v>315000</v>
      </c>
      <c r="Q14" s="2219">
        <f>+'[1] návrh 2025'!$I$18</f>
        <v>0</v>
      </c>
      <c r="R14" s="2219">
        <f t="shared" si="3"/>
        <v>1897425</v>
      </c>
      <c r="S14" s="2220">
        <f>+'[1] návrh 2025'!$I$3+'[1] návrh 2025'!$I$13+'[1] návrh 2025'!$I$14+'[1] návrh 2025'!$I$16+'[1] návrh 2025'!$I$17</f>
        <v>1897425</v>
      </c>
      <c r="T14" s="2221"/>
      <c r="U14" s="2219">
        <f>+'[1] návrh 2025'!$I$15</f>
        <v>189000</v>
      </c>
      <c r="V14" s="2222">
        <f>+'[1] návrh 2025'!$I$10</f>
        <v>4500</v>
      </c>
      <c r="W14" s="2209">
        <f>+'[1] návrh 2025'!$I$6</f>
        <v>166500</v>
      </c>
      <c r="X14" s="2209"/>
      <c r="Y14" s="2219"/>
      <c r="Z14" s="2209">
        <f>+'[1] návrh 2025'!$I$4</f>
        <v>609480</v>
      </c>
      <c r="AA14" s="2209">
        <f>+'[1] návrh 2025'!$I$7</f>
        <v>1080</v>
      </c>
      <c r="AB14" s="2209"/>
      <c r="AC14" s="2209">
        <f>+'[1] návrh 2025'!$I$8</f>
        <v>148500</v>
      </c>
      <c r="AD14" s="2209">
        <f>+'[1] návrh 2025'!$I$9</f>
        <v>21600</v>
      </c>
      <c r="AE14" s="2219"/>
      <c r="AF14" s="2219"/>
      <c r="AG14" s="2220"/>
      <c r="AH14" s="2220"/>
      <c r="AI14" s="2209">
        <f>+'[1] návrh 2025'!$I$11</f>
        <v>0</v>
      </c>
      <c r="AJ14" s="2220"/>
      <c r="AK14" s="2220"/>
      <c r="AL14" s="2219"/>
      <c r="AM14" s="2220"/>
      <c r="AN14" s="2220"/>
      <c r="AO14" s="2209">
        <f>++'[1] návrh 2025'!$I$5</f>
        <v>10800</v>
      </c>
      <c r="AP14" s="2219"/>
      <c r="AQ14" s="2219"/>
      <c r="AR14" s="2219"/>
      <c r="AS14" s="2220"/>
      <c r="AT14" s="2220"/>
      <c r="AU14" s="2219"/>
      <c r="AV14" s="2220"/>
      <c r="AW14" s="2220"/>
      <c r="AX14" s="2219"/>
      <c r="AY14" s="2220"/>
      <c r="AZ14" s="2220"/>
      <c r="BA14" s="2219"/>
      <c r="BB14" s="2220"/>
      <c r="BC14" s="2220"/>
      <c r="BD14" s="2219"/>
      <c r="BE14" s="2220"/>
      <c r="BF14" s="2220"/>
      <c r="BG14" s="2209">
        <v>0</v>
      </c>
      <c r="BH14" s="2220"/>
      <c r="BI14" s="2220"/>
      <c r="BJ14" s="2209">
        <f>+'[1] návrh 2025'!$I$12</f>
        <v>0</v>
      </c>
      <c r="BK14" s="2220"/>
      <c r="BL14" s="2220"/>
      <c r="BM14" s="2219"/>
      <c r="BN14" s="2220"/>
      <c r="BO14" s="2220"/>
      <c r="BP14" s="2219"/>
      <c r="BQ14" s="2220"/>
      <c r="BR14" s="2220"/>
      <c r="BS14" s="2219"/>
      <c r="BT14" s="2220"/>
      <c r="BU14" s="2220"/>
      <c r="BV14" s="2219"/>
      <c r="BW14" s="2220"/>
      <c r="BX14" s="2220"/>
      <c r="BY14" s="2219"/>
      <c r="BZ14" s="2219"/>
      <c r="CA14" s="2220"/>
      <c r="CB14" s="2220"/>
      <c r="CC14" s="2219"/>
      <c r="CD14" s="2219"/>
      <c r="CE14" s="2220"/>
      <c r="CF14" s="2220"/>
      <c r="CG14" s="2219"/>
      <c r="CH14" s="2220"/>
      <c r="CI14" s="2220"/>
      <c r="CJ14" s="2219"/>
      <c r="CK14" s="2219"/>
      <c r="CL14" s="2220"/>
      <c r="CM14" s="2220"/>
      <c r="CN14" s="2219"/>
      <c r="CO14" s="2220"/>
      <c r="CP14" s="2220"/>
      <c r="CQ14" s="2219"/>
      <c r="CR14" s="2220"/>
      <c r="CS14" s="2220"/>
      <c r="CT14" s="2219"/>
      <c r="CU14" s="2220"/>
      <c r="CV14" s="2220"/>
      <c r="CW14" s="2219"/>
      <c r="CX14" s="2220"/>
      <c r="CY14" s="2220"/>
      <c r="CZ14" s="2219"/>
      <c r="DA14" s="2219"/>
      <c r="DB14" s="2220"/>
      <c r="DC14" s="2220"/>
      <c r="DD14" s="2219"/>
      <c r="DE14" s="2220"/>
      <c r="DF14" s="2220"/>
      <c r="DG14" s="2219"/>
      <c r="DH14" s="2220"/>
      <c r="DI14" s="2220"/>
      <c r="DJ14" s="2219"/>
      <c r="DK14" s="2219"/>
      <c r="DL14" s="2220"/>
      <c r="DM14" s="2220"/>
      <c r="DN14" s="2220"/>
      <c r="DO14" s="2219"/>
      <c r="DP14" s="2219"/>
      <c r="DQ14" s="2219"/>
      <c r="DR14" s="2219"/>
      <c r="DS14" s="2219"/>
      <c r="DT14" s="2219"/>
      <c r="DU14" s="2219"/>
      <c r="DV14" s="2219"/>
      <c r="DW14" s="2220"/>
      <c r="DX14" s="2220"/>
      <c r="DY14" s="2219"/>
      <c r="DZ14" s="2219"/>
      <c r="EA14" s="2223"/>
      <c r="EB14" s="2214">
        <f t="shared" si="4"/>
        <v>3363885</v>
      </c>
      <c r="EC14" s="2173">
        <f t="shared" si="5"/>
        <v>0</v>
      </c>
      <c r="ED14" s="2174"/>
      <c r="EE14" s="2217">
        <f t="shared" si="6"/>
        <v>3363885</v>
      </c>
      <c r="EF14" s="2174">
        <f t="shared" si="7"/>
        <v>-4500</v>
      </c>
      <c r="EG14" s="2217">
        <f t="shared" si="8"/>
        <v>0</v>
      </c>
      <c r="EI14" s="2216"/>
      <c r="EM14" s="2216"/>
      <c r="EN14" s="2216"/>
    </row>
    <row r="15" spans="1:144" ht="17.25" customHeight="1" outlineLevel="1">
      <c r="A15" s="2205">
        <v>5038</v>
      </c>
      <c r="B15" s="2206" t="s">
        <v>69</v>
      </c>
      <c r="C15" s="2217">
        <v>136289.99999999997</v>
      </c>
      <c r="D15" s="2217">
        <v>156981.29999999999</v>
      </c>
      <c r="E15" s="2217">
        <v>156981.29999999999</v>
      </c>
      <c r="F15" s="2217">
        <v>156981.29999999999</v>
      </c>
      <c r="G15" s="2217">
        <v>156981.29999999999</v>
      </c>
      <c r="H15" s="2217">
        <v>156981.29999999999</v>
      </c>
      <c r="I15" s="2217">
        <f>SUM(J15:R15)+SUM(V15:AF15)+AI15+AL15+SUM(AO15:AR15)+AU15+BD15+BJ15+BM15+BP15+BS15+BV15+BY15+BZ15+CC15+CD15+CG15+SUM(CJ15:CK15)+CT15+CW15+CZ15+DA15+DD15+DG15+DJ15+DK15+SUM(DO15:EA15)+CN15+CQ15+U15</f>
        <v>156981.29999999999</v>
      </c>
      <c r="J15" s="2218"/>
      <c r="K15" s="2219"/>
      <c r="L15" s="2219"/>
      <c r="M15" s="2219"/>
      <c r="N15" s="2219"/>
      <c r="O15" s="2219"/>
      <c r="P15" s="2219">
        <f>+'[1] návrh 2025'!$J$19</f>
        <v>14700</v>
      </c>
      <c r="Q15" s="2219">
        <f>+'[1] návrh 2025'!$J$18</f>
        <v>0</v>
      </c>
      <c r="R15" s="2219">
        <f t="shared" si="3"/>
        <v>88546.5</v>
      </c>
      <c r="S15" s="2220">
        <f>+'[1] návrh 2025'!$J$17+'[1] návrh 2025'!$J$16+'[1] návrh 2025'!$J$14+'[1] návrh 2025'!$J$13+'[1] návrh 2025'!$J$3</f>
        <v>88546.5</v>
      </c>
      <c r="T15" s="2221"/>
      <c r="U15" s="2219">
        <f>+'[1] návrh 2025'!$J$15</f>
        <v>8820</v>
      </c>
      <c r="V15" s="2222">
        <f>+'[1] návrh 2025'!$J$10</f>
        <v>210</v>
      </c>
      <c r="W15" s="2209">
        <f>+'[1] návrh 2025'!$J$6</f>
        <v>7769.9999999999991</v>
      </c>
      <c r="X15" s="2209"/>
      <c r="Y15" s="2219"/>
      <c r="Z15" s="2209">
        <f>+'[1] návrh 2025'!$J$4</f>
        <v>28442.400000000001</v>
      </c>
      <c r="AA15" s="2209">
        <f>+'[1] návrh 2025'!$J$7</f>
        <v>50.4</v>
      </c>
      <c r="AB15" s="2209"/>
      <c r="AC15" s="2209">
        <f>+'[1] návrh 2025'!$J$8</f>
        <v>6930</v>
      </c>
      <c r="AD15" s="2209">
        <f>+'[1] návrh 2025'!$J$9</f>
        <v>1007.9999999999999</v>
      </c>
      <c r="AE15" s="2219"/>
      <c r="AF15" s="2219"/>
      <c r="AG15" s="2220"/>
      <c r="AH15" s="2220"/>
      <c r="AI15" s="2209">
        <f>+'[1] návrh 2025'!$J$11</f>
        <v>0</v>
      </c>
      <c r="AJ15" s="2220"/>
      <c r="AK15" s="2220"/>
      <c r="AL15" s="2219"/>
      <c r="AM15" s="2220"/>
      <c r="AN15" s="2220"/>
      <c r="AO15" s="2209">
        <f>+'[1] návrh 2025'!$J$5</f>
        <v>503.99999999999994</v>
      </c>
      <c r="AP15" s="2219"/>
      <c r="AQ15" s="2219"/>
      <c r="AR15" s="2219"/>
      <c r="AS15" s="2220"/>
      <c r="AT15" s="2220"/>
      <c r="AU15" s="2219"/>
      <c r="AV15" s="2220"/>
      <c r="AW15" s="2220"/>
      <c r="AX15" s="2219"/>
      <c r="AY15" s="2220"/>
      <c r="AZ15" s="2220"/>
      <c r="BA15" s="2219"/>
      <c r="BB15" s="2220"/>
      <c r="BC15" s="2220"/>
      <c r="BD15" s="2219"/>
      <c r="BE15" s="2220"/>
      <c r="BF15" s="2220"/>
      <c r="BG15" s="2209">
        <v>0</v>
      </c>
      <c r="BH15" s="2220"/>
      <c r="BI15" s="2220"/>
      <c r="BJ15" s="2209">
        <f>+'[1] návrh 2025'!$J$12</f>
        <v>0</v>
      </c>
      <c r="BK15" s="2220"/>
      <c r="BL15" s="2220"/>
      <c r="BM15" s="2219"/>
      <c r="BN15" s="2220"/>
      <c r="BO15" s="2220"/>
      <c r="BP15" s="2219"/>
      <c r="BQ15" s="2220"/>
      <c r="BR15" s="2220"/>
      <c r="BS15" s="2219"/>
      <c r="BT15" s="2220"/>
      <c r="BU15" s="2220"/>
      <c r="BV15" s="2219"/>
      <c r="BW15" s="2220"/>
      <c r="BX15" s="2220"/>
      <c r="BY15" s="2219"/>
      <c r="BZ15" s="2219"/>
      <c r="CA15" s="2220"/>
      <c r="CB15" s="2220"/>
      <c r="CC15" s="2219"/>
      <c r="CD15" s="2219"/>
      <c r="CE15" s="2220"/>
      <c r="CF15" s="2220"/>
      <c r="CG15" s="2219"/>
      <c r="CH15" s="2220"/>
      <c r="CI15" s="2220"/>
      <c r="CJ15" s="2219"/>
      <c r="CK15" s="2219"/>
      <c r="CL15" s="2220"/>
      <c r="CM15" s="2220"/>
      <c r="CN15" s="2219"/>
      <c r="CO15" s="2220"/>
      <c r="CP15" s="2220"/>
      <c r="CQ15" s="2219"/>
      <c r="CR15" s="2220"/>
      <c r="CS15" s="2220"/>
      <c r="CT15" s="2219"/>
      <c r="CU15" s="2220"/>
      <c r="CV15" s="2220"/>
      <c r="CW15" s="2219"/>
      <c r="CX15" s="2220"/>
      <c r="CY15" s="2220"/>
      <c r="CZ15" s="2219"/>
      <c r="DA15" s="2219"/>
      <c r="DB15" s="2220"/>
      <c r="DC15" s="2220"/>
      <c r="DD15" s="2219"/>
      <c r="DE15" s="2220"/>
      <c r="DF15" s="2220"/>
      <c r="DG15" s="2219"/>
      <c r="DH15" s="2220"/>
      <c r="DI15" s="2220"/>
      <c r="DJ15" s="2219"/>
      <c r="DK15" s="2219"/>
      <c r="DL15" s="2220"/>
      <c r="DM15" s="2220"/>
      <c r="DN15" s="2220"/>
      <c r="DO15" s="2219"/>
      <c r="DP15" s="2219"/>
      <c r="DQ15" s="2219"/>
      <c r="DR15" s="2219"/>
      <c r="DS15" s="2219"/>
      <c r="DT15" s="2219"/>
      <c r="DU15" s="2219"/>
      <c r="DV15" s="2219"/>
      <c r="DW15" s="2220"/>
      <c r="DX15" s="2220"/>
      <c r="DY15" s="2219"/>
      <c r="DZ15" s="2219"/>
      <c r="EA15" s="2223"/>
      <c r="EB15" s="2214">
        <f t="shared" si="4"/>
        <v>156981.29999999999</v>
      </c>
      <c r="EC15" s="2173">
        <f t="shared" si="5"/>
        <v>0</v>
      </c>
      <c r="ED15" s="2174"/>
      <c r="EE15" s="2217">
        <f t="shared" si="6"/>
        <v>156981.29999999999</v>
      </c>
      <c r="EF15" s="2174">
        <f t="shared" si="7"/>
        <v>-210</v>
      </c>
      <c r="EG15" s="2217">
        <f t="shared" si="8"/>
        <v>0</v>
      </c>
      <c r="EI15" s="2216"/>
      <c r="EM15" s="2216"/>
      <c r="EN15" s="2216"/>
    </row>
    <row r="16" spans="1:144" ht="15.75" customHeight="1" thickBot="1">
      <c r="A16" s="2224" t="s">
        <v>70</v>
      </c>
      <c r="B16" s="2225" t="s">
        <v>121</v>
      </c>
      <c r="C16" s="2226">
        <v>44009290</v>
      </c>
      <c r="D16" s="2226">
        <v>50799491.299999997</v>
      </c>
      <c r="E16" s="2226">
        <v>50799491.299999997</v>
      </c>
      <c r="F16" s="2226">
        <v>50799491.299999997</v>
      </c>
      <c r="G16" s="2226">
        <v>50799491.299999997</v>
      </c>
      <c r="H16" s="2226">
        <v>50271491.299999997</v>
      </c>
      <c r="I16" s="2226">
        <f t="shared" ref="I16:T16" si="9">SUM(I8:I15)</f>
        <v>50271491.299999997</v>
      </c>
      <c r="J16" s="2227">
        <f t="shared" si="9"/>
        <v>0</v>
      </c>
      <c r="K16" s="2228">
        <f t="shared" si="9"/>
        <v>0</v>
      </c>
      <c r="L16" s="2228">
        <f t="shared" si="9"/>
        <v>0</v>
      </c>
      <c r="M16" s="2228">
        <f t="shared" si="9"/>
        <v>0</v>
      </c>
      <c r="N16" s="2228">
        <f t="shared" si="9"/>
        <v>0</v>
      </c>
      <c r="O16" s="2228">
        <f t="shared" si="9"/>
        <v>0</v>
      </c>
      <c r="P16" s="2228">
        <f t="shared" si="9"/>
        <v>4704700</v>
      </c>
      <c r="Q16" s="2228">
        <f t="shared" ref="Q16" si="10">SUM(Q8:Q15)</f>
        <v>0</v>
      </c>
      <c r="R16" s="2228">
        <f t="shared" si="9"/>
        <v>28339096.5</v>
      </c>
      <c r="S16" s="2229">
        <f t="shared" si="9"/>
        <v>28339096.5</v>
      </c>
      <c r="T16" s="2230">
        <f t="shared" si="9"/>
        <v>0</v>
      </c>
      <c r="U16" s="2228">
        <f t="shared" ref="U16" si="11">SUM(U8:U15)</f>
        <v>2822820</v>
      </c>
      <c r="V16" s="2231">
        <f t="shared" ref="V16:AF16" si="12">SUM(V8:V15)</f>
        <v>67210</v>
      </c>
      <c r="W16" s="2228">
        <f t="shared" si="12"/>
        <v>2486770</v>
      </c>
      <c r="X16" s="2228">
        <f t="shared" ref="X16" si="13">SUM(X8:X15)</f>
        <v>0</v>
      </c>
      <c r="Y16" s="2228">
        <f t="shared" si="12"/>
        <v>0</v>
      </c>
      <c r="Z16" s="2228">
        <f t="shared" si="12"/>
        <v>9102922.4000000004</v>
      </c>
      <c r="AA16" s="2228">
        <f>SUM(AA9:AA15)</f>
        <v>16130.4</v>
      </c>
      <c r="AB16" s="2228">
        <f t="shared" ref="AB16" si="14">SUM(AB8:AB15)</f>
        <v>0</v>
      </c>
      <c r="AC16" s="2228">
        <f t="shared" si="12"/>
        <v>2217930</v>
      </c>
      <c r="AD16" s="2228">
        <f t="shared" si="12"/>
        <v>322608</v>
      </c>
      <c r="AE16" s="2228">
        <f t="shared" si="12"/>
        <v>0</v>
      </c>
      <c r="AF16" s="2228">
        <f t="shared" si="12"/>
        <v>0</v>
      </c>
      <c r="AG16" s="2229">
        <f t="shared" ref="AG16:DC16" si="15">SUM(AG8:AG15)</f>
        <v>0</v>
      </c>
      <c r="AH16" s="2229">
        <f t="shared" si="15"/>
        <v>0</v>
      </c>
      <c r="AI16" s="2228">
        <f t="shared" si="15"/>
        <v>0</v>
      </c>
      <c r="AJ16" s="2229">
        <f t="shared" si="15"/>
        <v>0</v>
      </c>
      <c r="AK16" s="2229">
        <f t="shared" si="15"/>
        <v>0</v>
      </c>
      <c r="AL16" s="2228">
        <f t="shared" si="15"/>
        <v>0</v>
      </c>
      <c r="AM16" s="2229">
        <f t="shared" si="15"/>
        <v>0</v>
      </c>
      <c r="AN16" s="2229">
        <f t="shared" si="15"/>
        <v>0</v>
      </c>
      <c r="AO16" s="2228">
        <f t="shared" si="15"/>
        <v>191304</v>
      </c>
      <c r="AP16" s="2228">
        <f t="shared" si="15"/>
        <v>0</v>
      </c>
      <c r="AQ16" s="2228">
        <f t="shared" si="15"/>
        <v>0</v>
      </c>
      <c r="AR16" s="2228">
        <f t="shared" si="15"/>
        <v>0</v>
      </c>
      <c r="AS16" s="2229">
        <f t="shared" si="15"/>
        <v>0</v>
      </c>
      <c r="AT16" s="2229">
        <f t="shared" si="15"/>
        <v>0</v>
      </c>
      <c r="AU16" s="2228">
        <f t="shared" si="15"/>
        <v>0</v>
      </c>
      <c r="AV16" s="2229">
        <f t="shared" si="15"/>
        <v>0</v>
      </c>
      <c r="AW16" s="2229">
        <f t="shared" si="15"/>
        <v>0</v>
      </c>
      <c r="AX16" s="2228">
        <f t="shared" ref="AX16:AZ16" si="16">SUM(AX8:AX15)</f>
        <v>0</v>
      </c>
      <c r="AY16" s="2229">
        <f t="shared" si="16"/>
        <v>0</v>
      </c>
      <c r="AZ16" s="2229">
        <f t="shared" si="16"/>
        <v>0</v>
      </c>
      <c r="BA16" s="2228">
        <f t="shared" ref="BA16:BC16" si="17">SUM(BA8:BA15)</f>
        <v>0</v>
      </c>
      <c r="BB16" s="2229">
        <f t="shared" si="17"/>
        <v>0</v>
      </c>
      <c r="BC16" s="2229">
        <f t="shared" si="17"/>
        <v>0</v>
      </c>
      <c r="BD16" s="2228">
        <f t="shared" si="15"/>
        <v>0</v>
      </c>
      <c r="BE16" s="2229">
        <f t="shared" si="15"/>
        <v>0</v>
      </c>
      <c r="BF16" s="2229">
        <f t="shared" si="15"/>
        <v>0</v>
      </c>
      <c r="BG16" s="2228">
        <f t="shared" ref="BG16:BI16" si="18">SUM(BG8:BG15)</f>
        <v>0</v>
      </c>
      <c r="BH16" s="2229">
        <f t="shared" si="18"/>
        <v>0</v>
      </c>
      <c r="BI16" s="2229">
        <f t="shared" si="18"/>
        <v>0</v>
      </c>
      <c r="BJ16" s="2228">
        <f t="shared" si="15"/>
        <v>0</v>
      </c>
      <c r="BK16" s="2229">
        <f t="shared" si="15"/>
        <v>0</v>
      </c>
      <c r="BL16" s="2229">
        <f t="shared" si="15"/>
        <v>0</v>
      </c>
      <c r="BM16" s="2228">
        <f t="shared" si="15"/>
        <v>0</v>
      </c>
      <c r="BN16" s="2229">
        <f t="shared" si="15"/>
        <v>0</v>
      </c>
      <c r="BO16" s="2229">
        <f t="shared" si="15"/>
        <v>0</v>
      </c>
      <c r="BP16" s="2228">
        <f t="shared" si="15"/>
        <v>0</v>
      </c>
      <c r="BQ16" s="2229">
        <f t="shared" si="15"/>
        <v>0</v>
      </c>
      <c r="BR16" s="2229">
        <f t="shared" si="15"/>
        <v>0</v>
      </c>
      <c r="BS16" s="2228">
        <f t="shared" si="15"/>
        <v>0</v>
      </c>
      <c r="BT16" s="2229">
        <f t="shared" si="15"/>
        <v>0</v>
      </c>
      <c r="BU16" s="2229">
        <f t="shared" si="15"/>
        <v>0</v>
      </c>
      <c r="BV16" s="2228">
        <f t="shared" si="15"/>
        <v>0</v>
      </c>
      <c r="BW16" s="2229">
        <f t="shared" si="15"/>
        <v>0</v>
      </c>
      <c r="BX16" s="2229">
        <f t="shared" si="15"/>
        <v>0</v>
      </c>
      <c r="BY16" s="2228">
        <f t="shared" si="15"/>
        <v>0</v>
      </c>
      <c r="BZ16" s="2228">
        <f t="shared" si="15"/>
        <v>0</v>
      </c>
      <c r="CA16" s="2229">
        <f t="shared" si="15"/>
        <v>0</v>
      </c>
      <c r="CB16" s="2229">
        <f t="shared" si="15"/>
        <v>0</v>
      </c>
      <c r="CC16" s="2228">
        <f t="shared" si="15"/>
        <v>0</v>
      </c>
      <c r="CD16" s="2228">
        <f t="shared" si="15"/>
        <v>0</v>
      </c>
      <c r="CE16" s="2229">
        <f t="shared" si="15"/>
        <v>0</v>
      </c>
      <c r="CF16" s="2229">
        <f t="shared" si="15"/>
        <v>0</v>
      </c>
      <c r="CG16" s="2228">
        <f t="shared" si="15"/>
        <v>0</v>
      </c>
      <c r="CH16" s="2229">
        <f t="shared" si="15"/>
        <v>0</v>
      </c>
      <c r="CI16" s="2229">
        <f t="shared" si="15"/>
        <v>0</v>
      </c>
      <c r="CJ16" s="2228">
        <f t="shared" si="15"/>
        <v>0</v>
      </c>
      <c r="CK16" s="2228">
        <f t="shared" si="15"/>
        <v>0</v>
      </c>
      <c r="CL16" s="2229">
        <f t="shared" si="15"/>
        <v>0</v>
      </c>
      <c r="CM16" s="2229">
        <f t="shared" si="15"/>
        <v>0</v>
      </c>
      <c r="CN16" s="2228">
        <f t="shared" si="15"/>
        <v>0</v>
      </c>
      <c r="CO16" s="2229">
        <f t="shared" si="15"/>
        <v>0</v>
      </c>
      <c r="CP16" s="2229">
        <f t="shared" si="15"/>
        <v>0</v>
      </c>
      <c r="CQ16" s="2228">
        <f t="shared" si="15"/>
        <v>0</v>
      </c>
      <c r="CR16" s="2229">
        <f t="shared" ref="CR16:CS16" si="19">SUM(CR8:CR15)</f>
        <v>0</v>
      </c>
      <c r="CS16" s="2229">
        <f t="shared" si="19"/>
        <v>0</v>
      </c>
      <c r="CT16" s="2228">
        <f t="shared" si="15"/>
        <v>0</v>
      </c>
      <c r="CU16" s="2229">
        <f t="shared" si="15"/>
        <v>0</v>
      </c>
      <c r="CV16" s="2229">
        <f t="shared" si="15"/>
        <v>0</v>
      </c>
      <c r="CW16" s="2228">
        <f t="shared" si="15"/>
        <v>0</v>
      </c>
      <c r="CX16" s="2229">
        <f t="shared" si="15"/>
        <v>0</v>
      </c>
      <c r="CY16" s="2229">
        <f t="shared" si="15"/>
        <v>0</v>
      </c>
      <c r="CZ16" s="2228">
        <f t="shared" si="15"/>
        <v>0</v>
      </c>
      <c r="DA16" s="2228">
        <f t="shared" si="15"/>
        <v>0</v>
      </c>
      <c r="DB16" s="2229">
        <f t="shared" si="15"/>
        <v>0</v>
      </c>
      <c r="DC16" s="2229">
        <f t="shared" si="15"/>
        <v>0</v>
      </c>
      <c r="DD16" s="2228">
        <f t="shared" ref="DD16:EA16" si="20">SUM(DD8:DD15)</f>
        <v>0</v>
      </c>
      <c r="DE16" s="2229">
        <f t="shared" si="20"/>
        <v>0</v>
      </c>
      <c r="DF16" s="2229">
        <f t="shared" si="20"/>
        <v>0</v>
      </c>
      <c r="DG16" s="2228">
        <f t="shared" si="20"/>
        <v>0</v>
      </c>
      <c r="DH16" s="2229">
        <f t="shared" si="20"/>
        <v>0</v>
      </c>
      <c r="DI16" s="2229">
        <f t="shared" si="20"/>
        <v>0</v>
      </c>
      <c r="DJ16" s="2228">
        <f t="shared" si="20"/>
        <v>0</v>
      </c>
      <c r="DK16" s="2228">
        <f t="shared" si="20"/>
        <v>0</v>
      </c>
      <c r="DL16" s="2229">
        <f t="shared" si="20"/>
        <v>0</v>
      </c>
      <c r="DM16" s="2229">
        <f t="shared" si="20"/>
        <v>0</v>
      </c>
      <c r="DN16" s="2229">
        <f t="shared" si="20"/>
        <v>0</v>
      </c>
      <c r="DO16" s="2228">
        <f t="shared" si="20"/>
        <v>0</v>
      </c>
      <c r="DP16" s="2228">
        <f t="shared" si="20"/>
        <v>0</v>
      </c>
      <c r="DQ16" s="2228">
        <f t="shared" si="20"/>
        <v>0</v>
      </c>
      <c r="DR16" s="2228">
        <f t="shared" ref="DR16" si="21">SUM(DR8:DR15)</f>
        <v>0</v>
      </c>
      <c r="DS16" s="2228">
        <f t="shared" si="20"/>
        <v>0</v>
      </c>
      <c r="DT16" s="2228">
        <f t="shared" si="20"/>
        <v>0</v>
      </c>
      <c r="DU16" s="2228">
        <f t="shared" si="20"/>
        <v>0</v>
      </c>
      <c r="DV16" s="2228">
        <f t="shared" si="20"/>
        <v>0</v>
      </c>
      <c r="DW16" s="2229">
        <f t="shared" ref="DW16:DX16" si="22">SUM(DW8:DW15)</f>
        <v>0</v>
      </c>
      <c r="DX16" s="2229">
        <f t="shared" si="22"/>
        <v>0</v>
      </c>
      <c r="DY16" s="2228">
        <f t="shared" si="20"/>
        <v>0</v>
      </c>
      <c r="DZ16" s="2228">
        <f t="shared" si="20"/>
        <v>0</v>
      </c>
      <c r="EA16" s="2232">
        <f t="shared" si="20"/>
        <v>0</v>
      </c>
      <c r="EB16" s="2214"/>
      <c r="EC16" s="2173"/>
      <c r="ED16" s="2174"/>
      <c r="EE16" s="2226">
        <f>SUM(EE8:EE15)</f>
        <v>50271491.299999997</v>
      </c>
      <c r="EF16" s="2174">
        <f t="shared" si="7"/>
        <v>-67210</v>
      </c>
      <c r="EG16" s="2226">
        <f>SUM(EG8:EG15)</f>
        <v>0</v>
      </c>
      <c r="EI16" s="2216"/>
    </row>
    <row r="17" spans="1:139" ht="13.5" hidden="1" customHeight="1">
      <c r="A17" s="2233">
        <v>5178</v>
      </c>
      <c r="B17" s="2206" t="s">
        <v>71</v>
      </c>
      <c r="C17" s="2215">
        <v>0</v>
      </c>
      <c r="D17" s="2215">
        <v>0</v>
      </c>
      <c r="E17" s="2215">
        <v>0</v>
      </c>
      <c r="F17" s="2215">
        <v>0</v>
      </c>
      <c r="G17" s="2215">
        <v>0</v>
      </c>
      <c r="H17" s="2215">
        <v>0</v>
      </c>
      <c r="I17" s="2215">
        <f t="shared" ref="I17:I18" si="23">SUM(J17:R17)+SUM(W17:AF17)+AI17+AL17+SUM(AO17:AR17)+AU17+BD17+BJ17+BM17+BP17+BS17+BV17+BY17+BZ17+CC17+CD17+CG17+SUM(CJ17:CK17)+CT17+CW17+CZ17+DA17+DD17+DG17+DJ17+DK17+SUM(DO17:EA17)+CN17+CQ17</f>
        <v>0</v>
      </c>
      <c r="J17" s="2208"/>
      <c r="K17" s="2209"/>
      <c r="L17" s="2209"/>
      <c r="M17" s="2209"/>
      <c r="N17" s="2209"/>
      <c r="O17" s="2209"/>
      <c r="P17" s="2209"/>
      <c r="Q17" s="2209"/>
      <c r="R17" s="2209">
        <f>+S17+T17</f>
        <v>0</v>
      </c>
      <c r="S17" s="2210"/>
      <c r="T17" s="2211"/>
      <c r="U17" s="2209"/>
      <c r="V17" s="2234"/>
      <c r="W17" s="2209"/>
      <c r="X17" s="2209"/>
      <c r="Y17" s="2209"/>
      <c r="Z17" s="2209"/>
      <c r="AA17" s="2209"/>
      <c r="AB17" s="2209"/>
      <c r="AC17" s="2209"/>
      <c r="AD17" s="2209"/>
      <c r="AE17" s="2209"/>
      <c r="AF17" s="2209">
        <f>+AG17+AH17</f>
        <v>0</v>
      </c>
      <c r="AG17" s="2210"/>
      <c r="AH17" s="2210"/>
      <c r="AI17" s="2209">
        <f>+AJ17+AK17</f>
        <v>0</v>
      </c>
      <c r="AJ17" s="2210"/>
      <c r="AK17" s="2210"/>
      <c r="AL17" s="2209">
        <f>+AM17+AN17</f>
        <v>0</v>
      </c>
      <c r="AM17" s="2210"/>
      <c r="AN17" s="2210"/>
      <c r="AO17" s="2209"/>
      <c r="AP17" s="2209"/>
      <c r="AQ17" s="2209"/>
      <c r="AR17" s="2209">
        <f>+AS17+AT17</f>
        <v>0</v>
      </c>
      <c r="AS17" s="2210"/>
      <c r="AT17" s="2210"/>
      <c r="AU17" s="2209">
        <f>+AV17+AW17</f>
        <v>0</v>
      </c>
      <c r="AV17" s="2210"/>
      <c r="AW17" s="2210"/>
      <c r="AX17" s="2209">
        <f>+AY17+AZ17</f>
        <v>0</v>
      </c>
      <c r="AY17" s="2210"/>
      <c r="AZ17" s="2210"/>
      <c r="BA17" s="2209">
        <f>+BB17+BC17</f>
        <v>0</v>
      </c>
      <c r="BB17" s="2210"/>
      <c r="BC17" s="2210"/>
      <c r="BD17" s="2209">
        <f>+BE17+BF17</f>
        <v>0</v>
      </c>
      <c r="BE17" s="2210"/>
      <c r="BF17" s="2210"/>
      <c r="BG17" s="2209">
        <f>+BH17+BI17</f>
        <v>0</v>
      </c>
      <c r="BH17" s="2210"/>
      <c r="BI17" s="2210"/>
      <c r="BJ17" s="2209">
        <f>+BK17+BL17</f>
        <v>0</v>
      </c>
      <c r="BK17" s="2210"/>
      <c r="BL17" s="2210"/>
      <c r="BM17" s="2209">
        <f>+BN17+BO17</f>
        <v>0</v>
      </c>
      <c r="BN17" s="2210"/>
      <c r="BO17" s="2210"/>
      <c r="BP17" s="2209">
        <f>+BQ17+BR17</f>
        <v>0</v>
      </c>
      <c r="BQ17" s="2210"/>
      <c r="BR17" s="2210"/>
      <c r="BS17" s="2209">
        <f>+BT17+BU17</f>
        <v>0</v>
      </c>
      <c r="BT17" s="2210"/>
      <c r="BU17" s="2210"/>
      <c r="BV17" s="2209">
        <f>+BW17+BX17</f>
        <v>0</v>
      </c>
      <c r="BW17" s="2210"/>
      <c r="BX17" s="2210"/>
      <c r="BY17" s="2209"/>
      <c r="BZ17" s="2209">
        <f>+CA17+CB17</f>
        <v>0</v>
      </c>
      <c r="CA17" s="2210"/>
      <c r="CB17" s="2210"/>
      <c r="CC17" s="2209"/>
      <c r="CD17" s="2209">
        <f>+CE17+CF17</f>
        <v>0</v>
      </c>
      <c r="CE17" s="2210"/>
      <c r="CF17" s="2210"/>
      <c r="CG17" s="2209">
        <f>+CH17+CI17</f>
        <v>0</v>
      </c>
      <c r="CH17" s="2210"/>
      <c r="CI17" s="2210"/>
      <c r="CJ17" s="2209"/>
      <c r="CK17" s="2209">
        <f>+CL17+CM17</f>
        <v>0</v>
      </c>
      <c r="CL17" s="2210"/>
      <c r="CM17" s="2210"/>
      <c r="CN17" s="2209"/>
      <c r="CO17" s="2210"/>
      <c r="CP17" s="2210"/>
      <c r="CQ17" s="2209"/>
      <c r="CR17" s="2210"/>
      <c r="CS17" s="2210"/>
      <c r="CT17" s="2209"/>
      <c r="CU17" s="2210"/>
      <c r="CV17" s="2210"/>
      <c r="CW17" s="2209">
        <f>+CX17+CY17</f>
        <v>0</v>
      </c>
      <c r="CX17" s="2210"/>
      <c r="CY17" s="2210"/>
      <c r="CZ17" s="2209"/>
      <c r="DA17" s="2209">
        <f>+DB17+DC17</f>
        <v>0</v>
      </c>
      <c r="DB17" s="2210"/>
      <c r="DC17" s="2210"/>
      <c r="DD17" s="2209">
        <f>+DE17+DF17</f>
        <v>0</v>
      </c>
      <c r="DE17" s="2210"/>
      <c r="DF17" s="2210"/>
      <c r="DG17" s="2209">
        <f>+DH17+DI17</f>
        <v>0</v>
      </c>
      <c r="DH17" s="2210"/>
      <c r="DI17" s="2210"/>
      <c r="DJ17" s="2209"/>
      <c r="DK17" s="2209">
        <f>+DL17+DM17+DN17</f>
        <v>0</v>
      </c>
      <c r="DL17" s="2210"/>
      <c r="DM17" s="2210"/>
      <c r="DN17" s="2210"/>
      <c r="DO17" s="2209"/>
      <c r="DP17" s="2209"/>
      <c r="DQ17" s="2209"/>
      <c r="DR17" s="2209"/>
      <c r="DS17" s="2209"/>
      <c r="DT17" s="2209"/>
      <c r="DU17" s="2209"/>
      <c r="DV17" s="2209"/>
      <c r="DW17" s="2210"/>
      <c r="DX17" s="2210"/>
      <c r="DY17" s="2209"/>
      <c r="DZ17" s="2209"/>
      <c r="EA17" s="2213"/>
      <c r="EB17" s="2214">
        <f>+J17+K17+L17+N17+P17+Q17+R17+U17+V17+W17+Y17+Z17+AA17+AC17+AD17+AE17+AF17+AI17+AL17+AO17+AP17+AQ17+AR17+AU17+BD17+BJ17+BM17+BP17+BS17+BV17+BY17+BZ17+CC17+CD17+CG17+CJ17+CK17+CN17+CQ17+CT17+CW17+CZ17+DA17+DD17+DG17+DJ17+DK17+DO17+DP17+DQ17+DR17+DS17+DU17+DV17+DY17+DZ17+EA17-V17</f>
        <v>0</v>
      </c>
      <c r="EC17" s="2173">
        <f t="shared" ref="EC17:EC32" si="24">EB17-I17</f>
        <v>0</v>
      </c>
      <c r="ED17" s="2174"/>
      <c r="EE17" s="2215">
        <f t="shared" ref="EE17:EG50" si="25">+R17+AF17+AI17++AL17+AR17+AU17+BD17+BJ17+BM17+BP17+BS17+BV17+BZ17+CD17+CG17+CK17+CW17+DA17+DD17+DG17+DL17</f>
        <v>0</v>
      </c>
      <c r="EF17" s="2174">
        <f t="shared" si="7"/>
        <v>0</v>
      </c>
      <c r="EG17" s="2215">
        <f t="shared" si="25"/>
        <v>0</v>
      </c>
      <c r="EI17" s="2216"/>
    </row>
    <row r="18" spans="1:139" ht="13.5" hidden="1" customHeight="1">
      <c r="A18" s="2233">
        <v>5132</v>
      </c>
      <c r="B18" s="2206" t="s">
        <v>72</v>
      </c>
      <c r="C18" s="2217">
        <v>0</v>
      </c>
      <c r="D18" s="2217">
        <v>0</v>
      </c>
      <c r="E18" s="2217">
        <v>0</v>
      </c>
      <c r="F18" s="2217">
        <v>0</v>
      </c>
      <c r="G18" s="2217">
        <v>0</v>
      </c>
      <c r="H18" s="2217">
        <v>0</v>
      </c>
      <c r="I18" s="2217">
        <f t="shared" si="23"/>
        <v>0</v>
      </c>
      <c r="J18" s="2218"/>
      <c r="K18" s="2219"/>
      <c r="L18" s="2219"/>
      <c r="M18" s="2219"/>
      <c r="N18" s="2219"/>
      <c r="O18" s="2219"/>
      <c r="P18" s="2219"/>
      <c r="Q18" s="2219"/>
      <c r="R18" s="2219">
        <f t="shared" ref="R18:R51" si="26">+S18+T18</f>
        <v>0</v>
      </c>
      <c r="S18" s="2220"/>
      <c r="T18" s="2221"/>
      <c r="U18" s="2219"/>
      <c r="V18" s="2235"/>
      <c r="W18" s="2219"/>
      <c r="X18" s="2219"/>
      <c r="Y18" s="2219"/>
      <c r="Z18" s="2219"/>
      <c r="AA18" s="2219"/>
      <c r="AB18" s="2219"/>
      <c r="AC18" s="2219"/>
      <c r="AD18" s="2219"/>
      <c r="AE18" s="2219"/>
      <c r="AF18" s="2219">
        <f t="shared" ref="AF18:AF50" si="27">+AG18+AH18</f>
        <v>0</v>
      </c>
      <c r="AG18" s="2220"/>
      <c r="AH18" s="2220"/>
      <c r="AI18" s="2219">
        <f t="shared" ref="AI18:AI50" si="28">+AJ18+AK18</f>
        <v>0</v>
      </c>
      <c r="AJ18" s="2220"/>
      <c r="AK18" s="2220"/>
      <c r="AL18" s="2219">
        <f t="shared" ref="AL18:AL50" si="29">+AM18+AN18</f>
        <v>0</v>
      </c>
      <c r="AM18" s="2220"/>
      <c r="AN18" s="2220"/>
      <c r="AO18" s="2219"/>
      <c r="AP18" s="2219"/>
      <c r="AQ18" s="2219"/>
      <c r="AR18" s="2219">
        <f t="shared" ref="AR18:AR50" si="30">+AS18+AT18</f>
        <v>0</v>
      </c>
      <c r="AS18" s="2220"/>
      <c r="AT18" s="2220"/>
      <c r="AU18" s="2219">
        <f t="shared" ref="AU18:AU50" si="31">+AV18+AW18</f>
        <v>0</v>
      </c>
      <c r="AV18" s="2220"/>
      <c r="AW18" s="2220"/>
      <c r="AX18" s="2219">
        <f t="shared" ref="AX18:AX22" si="32">+AY18+AZ18</f>
        <v>0</v>
      </c>
      <c r="AY18" s="2220"/>
      <c r="AZ18" s="2220"/>
      <c r="BA18" s="2219">
        <f t="shared" ref="BA18:BA22" si="33">+BB18+BC18</f>
        <v>0</v>
      </c>
      <c r="BB18" s="2220"/>
      <c r="BC18" s="2220"/>
      <c r="BD18" s="2219">
        <f t="shared" ref="BD18:BD50" si="34">+BE18+BF18</f>
        <v>0</v>
      </c>
      <c r="BE18" s="2220"/>
      <c r="BF18" s="2220"/>
      <c r="BG18" s="2219">
        <f t="shared" ref="BG18:BG46" si="35">+BH18+BI18</f>
        <v>0</v>
      </c>
      <c r="BH18" s="2220"/>
      <c r="BI18" s="2220"/>
      <c r="BJ18" s="2219">
        <f t="shared" ref="BJ18:BJ50" si="36">+BK18+BL18</f>
        <v>0</v>
      </c>
      <c r="BK18" s="2220"/>
      <c r="BL18" s="2220"/>
      <c r="BM18" s="2219">
        <f t="shared" ref="BM18:BM50" si="37">+BN18+BO18</f>
        <v>0</v>
      </c>
      <c r="BN18" s="2220"/>
      <c r="BO18" s="2220"/>
      <c r="BP18" s="2219">
        <f t="shared" ref="BP18:BP50" si="38">+BQ18+BR18</f>
        <v>0</v>
      </c>
      <c r="BQ18" s="2220"/>
      <c r="BR18" s="2220"/>
      <c r="BS18" s="2219">
        <f t="shared" ref="BS18:BS50" si="39">+BT18+BU18</f>
        <v>0</v>
      </c>
      <c r="BT18" s="2220"/>
      <c r="BU18" s="2220"/>
      <c r="BV18" s="2219">
        <f t="shared" ref="BV18:BV50" si="40">+BW18+BX18</f>
        <v>0</v>
      </c>
      <c r="BW18" s="2220"/>
      <c r="BX18" s="2220"/>
      <c r="BY18" s="2219"/>
      <c r="BZ18" s="2219">
        <f t="shared" ref="BZ18:BZ50" si="41">+CA18+CB18</f>
        <v>0</v>
      </c>
      <c r="CA18" s="2220"/>
      <c r="CB18" s="2220"/>
      <c r="CC18" s="2219"/>
      <c r="CD18" s="2219">
        <f t="shared" ref="CD18:CD50" si="42">+CE18+CF18</f>
        <v>0</v>
      </c>
      <c r="CE18" s="2220"/>
      <c r="CF18" s="2220"/>
      <c r="CG18" s="2219">
        <f t="shared" ref="CG18:CG50" si="43">+CH18+CI18</f>
        <v>0</v>
      </c>
      <c r="CH18" s="2220"/>
      <c r="CI18" s="2220"/>
      <c r="CJ18" s="2219"/>
      <c r="CK18" s="2219">
        <f t="shared" ref="CK18:CK50" si="44">+CL18+CM18</f>
        <v>0</v>
      </c>
      <c r="CL18" s="2220"/>
      <c r="CM18" s="2220"/>
      <c r="CN18" s="2219"/>
      <c r="CO18" s="2220"/>
      <c r="CP18" s="2220"/>
      <c r="CQ18" s="2219"/>
      <c r="CR18" s="2220"/>
      <c r="CS18" s="2220"/>
      <c r="CT18" s="2219"/>
      <c r="CU18" s="2220"/>
      <c r="CV18" s="2220"/>
      <c r="CW18" s="2219">
        <f t="shared" ref="CW18:CW50" si="45">+CX18+CY18</f>
        <v>0</v>
      </c>
      <c r="CX18" s="2220"/>
      <c r="CY18" s="2220"/>
      <c r="CZ18" s="2219"/>
      <c r="DA18" s="2219">
        <f t="shared" ref="DA18:DA50" si="46">+DB18+DC18</f>
        <v>0</v>
      </c>
      <c r="DB18" s="2220"/>
      <c r="DC18" s="2220"/>
      <c r="DD18" s="2219">
        <f t="shared" ref="DD18:DD50" si="47">+DE18+DF18</f>
        <v>0</v>
      </c>
      <c r="DE18" s="2220"/>
      <c r="DF18" s="2220"/>
      <c r="DG18" s="2219">
        <f t="shared" ref="DG18:DG50" si="48">+DH18+DI18</f>
        <v>0</v>
      </c>
      <c r="DH18" s="2220"/>
      <c r="DI18" s="2220"/>
      <c r="DJ18" s="2219"/>
      <c r="DK18" s="2219">
        <f t="shared" ref="DK18:DK50" si="49">+DL18+DM18+DN18</f>
        <v>0</v>
      </c>
      <c r="DL18" s="2220"/>
      <c r="DM18" s="2220"/>
      <c r="DN18" s="2220"/>
      <c r="DO18" s="2219"/>
      <c r="DP18" s="2219"/>
      <c r="DQ18" s="2219"/>
      <c r="DR18" s="2219"/>
      <c r="DS18" s="2219"/>
      <c r="DT18" s="2219"/>
      <c r="DU18" s="2219"/>
      <c r="DV18" s="2219"/>
      <c r="DW18" s="2220"/>
      <c r="DX18" s="2220"/>
      <c r="DY18" s="2219"/>
      <c r="DZ18" s="2219"/>
      <c r="EA18" s="2223"/>
      <c r="EB18" s="2214">
        <f t="shared" ref="EB18:EB73" si="50">+J18+K18+L18+N18+P18+Q18+R18+U18+V18+W18+Y18+Z18+AA18+AC18+AD18+AE18+AF18+AI18+AL18+AO18+AP18+AQ18+AR18+AU18+BD18+BJ18+BM18+BP18+BS18+BV18+BY18+BZ18+CC18+CD18+CG18+CJ18+CK18+CN18+CQ18+CT18+CW18+CZ18+DA18+DD18+DG18+DJ18+DK18+DO18+DP18+DQ18+DR18+DS18+DU18+DV18+DY18+DZ18+EA18-V18</f>
        <v>0</v>
      </c>
      <c r="EC18" s="2173">
        <f t="shared" si="24"/>
        <v>0</v>
      </c>
      <c r="ED18" s="2174"/>
      <c r="EE18" s="2217">
        <f t="shared" si="25"/>
        <v>0</v>
      </c>
      <c r="EF18" s="2174">
        <f t="shared" si="7"/>
        <v>0</v>
      </c>
      <c r="EG18" s="2217">
        <f t="shared" si="25"/>
        <v>0</v>
      </c>
      <c r="EI18" s="2216"/>
    </row>
    <row r="19" spans="1:139" ht="13.5" customHeight="1" outlineLevel="1">
      <c r="A19" s="2233">
        <v>5134</v>
      </c>
      <c r="B19" s="2206" t="s">
        <v>73</v>
      </c>
      <c r="C19" s="2217">
        <v>195000</v>
      </c>
      <c r="D19" s="2217">
        <v>395000</v>
      </c>
      <c r="E19" s="2217">
        <v>395000</v>
      </c>
      <c r="F19" s="2217">
        <v>395000</v>
      </c>
      <c r="G19" s="2217">
        <v>395000</v>
      </c>
      <c r="H19" s="2217">
        <v>395000</v>
      </c>
      <c r="I19" s="2217">
        <f t="shared" ref="I19:I51" si="51">SUM(J19:R19)+SUM(W19:AF19)+AI19+AL19+SUM(AO19:AR19)+AU19+BD19+BJ19+BM19+BP19+BS19+BV19+BY19+BZ19+CC19+CD19+CG19+SUM(CJ19:CK19)+CT19+CW19+CZ19+DA19+DD19+DG19+DJ19+DK19+SUM(DO19:DV19)+CN19+CQ19+SUM(DY19:EA19)+U19+AX19+BA19+BG19</f>
        <v>395000</v>
      </c>
      <c r="J19" s="2218"/>
      <c r="K19" s="2219"/>
      <c r="L19" s="2219"/>
      <c r="M19" s="2219"/>
      <c r="N19" s="2219"/>
      <c r="O19" s="2219"/>
      <c r="P19" s="2219"/>
      <c r="Q19" s="2219"/>
      <c r="R19" s="2219">
        <f t="shared" si="26"/>
        <v>0</v>
      </c>
      <c r="S19" s="2220"/>
      <c r="T19" s="2221"/>
      <c r="U19" s="2219"/>
      <c r="V19" s="2235">
        <f t="shared" ref="V19:V21" si="52">+T19+AT19+CI19+CF19+CB19+DN19+AH19+AN19+AW19+BF19+BL19+BO19+BR19+BU19+BX19+CM19+CY19+DC19+DF19+DI19+AK19+DX19</f>
        <v>0</v>
      </c>
      <c r="W19" s="2219">
        <f>+'[2]Pečovatelská služba'!$B$4</f>
        <v>20000</v>
      </c>
      <c r="X19" s="2219"/>
      <c r="Y19" s="2219"/>
      <c r="Z19" s="2219">
        <f>+'[2]Městská policie'!$B$4</f>
        <v>275000</v>
      </c>
      <c r="AA19" s="2219"/>
      <c r="AB19" s="2219"/>
      <c r="AC19" s="2219"/>
      <c r="AD19" s="2219"/>
      <c r="AE19" s="2219"/>
      <c r="AF19" s="2219">
        <f t="shared" si="27"/>
        <v>0</v>
      </c>
      <c r="AG19" s="2220"/>
      <c r="AH19" s="2220"/>
      <c r="AI19" s="2219">
        <f t="shared" si="28"/>
        <v>0</v>
      </c>
      <c r="AJ19" s="2220"/>
      <c r="AK19" s="2220"/>
      <c r="AL19" s="2219">
        <f t="shared" si="29"/>
        <v>0</v>
      </c>
      <c r="AM19" s="2220"/>
      <c r="AN19" s="2220"/>
      <c r="AO19" s="2236">
        <f>+[2]Hasiči!$B$4</f>
        <v>100000</v>
      </c>
      <c r="AP19" s="2219"/>
      <c r="AQ19" s="2219"/>
      <c r="AR19" s="2219">
        <f t="shared" si="30"/>
        <v>0</v>
      </c>
      <c r="AS19" s="2220"/>
      <c r="AT19" s="2220"/>
      <c r="AU19" s="2219">
        <f t="shared" si="31"/>
        <v>0</v>
      </c>
      <c r="AV19" s="2220"/>
      <c r="AW19" s="2220"/>
      <c r="AX19" s="2219">
        <f t="shared" si="32"/>
        <v>0</v>
      </c>
      <c r="AY19" s="2220"/>
      <c r="AZ19" s="2220"/>
      <c r="BA19" s="2219">
        <f t="shared" si="33"/>
        <v>0</v>
      </c>
      <c r="BB19" s="2220"/>
      <c r="BC19" s="2220"/>
      <c r="BD19" s="2219">
        <f t="shared" si="34"/>
        <v>0</v>
      </c>
      <c r="BE19" s="2220"/>
      <c r="BF19" s="2220"/>
      <c r="BG19" s="2219">
        <f t="shared" si="35"/>
        <v>0</v>
      </c>
      <c r="BH19" s="2220"/>
      <c r="BI19" s="2220"/>
      <c r="BJ19" s="2219">
        <f t="shared" si="36"/>
        <v>0</v>
      </c>
      <c r="BK19" s="2220"/>
      <c r="BL19" s="2220"/>
      <c r="BM19" s="2219">
        <f t="shared" si="37"/>
        <v>0</v>
      </c>
      <c r="BN19" s="2220"/>
      <c r="BO19" s="2220"/>
      <c r="BP19" s="2219">
        <f t="shared" si="38"/>
        <v>0</v>
      </c>
      <c r="BQ19" s="2220"/>
      <c r="BR19" s="2220"/>
      <c r="BS19" s="2219">
        <f t="shared" si="39"/>
        <v>0</v>
      </c>
      <c r="BT19" s="2220"/>
      <c r="BU19" s="2220"/>
      <c r="BV19" s="2219">
        <f t="shared" si="40"/>
        <v>0</v>
      </c>
      <c r="BW19" s="2220"/>
      <c r="BX19" s="2220"/>
      <c r="BY19" s="2219"/>
      <c r="BZ19" s="2219">
        <f t="shared" si="41"/>
        <v>0</v>
      </c>
      <c r="CA19" s="2220"/>
      <c r="CB19" s="2220"/>
      <c r="CC19" s="2219"/>
      <c r="CD19" s="2219">
        <f t="shared" si="42"/>
        <v>0</v>
      </c>
      <c r="CE19" s="2220"/>
      <c r="CF19" s="2220"/>
      <c r="CG19" s="2219">
        <f t="shared" si="43"/>
        <v>0</v>
      </c>
      <c r="CH19" s="2220"/>
      <c r="CI19" s="2220"/>
      <c r="CJ19" s="2219"/>
      <c r="CK19" s="2219">
        <f t="shared" si="44"/>
        <v>0</v>
      </c>
      <c r="CL19" s="2220"/>
      <c r="CM19" s="2220"/>
      <c r="CN19" s="2219"/>
      <c r="CO19" s="2220"/>
      <c r="CP19" s="2220"/>
      <c r="CQ19" s="2219"/>
      <c r="CR19" s="2220"/>
      <c r="CS19" s="2220"/>
      <c r="CT19" s="2219"/>
      <c r="CU19" s="2220"/>
      <c r="CV19" s="2220"/>
      <c r="CW19" s="2219">
        <f t="shared" si="45"/>
        <v>0</v>
      </c>
      <c r="CX19" s="2220"/>
      <c r="CY19" s="2220"/>
      <c r="CZ19" s="2219"/>
      <c r="DA19" s="2219">
        <f t="shared" si="46"/>
        <v>0</v>
      </c>
      <c r="DB19" s="2220"/>
      <c r="DC19" s="2220"/>
      <c r="DD19" s="2219">
        <f t="shared" si="47"/>
        <v>0</v>
      </c>
      <c r="DE19" s="2220"/>
      <c r="DF19" s="2220"/>
      <c r="DG19" s="2219">
        <f t="shared" si="48"/>
        <v>0</v>
      </c>
      <c r="DH19" s="2220"/>
      <c r="DI19" s="2220"/>
      <c r="DJ19" s="2219"/>
      <c r="DK19" s="2219">
        <f t="shared" si="49"/>
        <v>0</v>
      </c>
      <c r="DM19" s="2220"/>
      <c r="DN19" s="2220"/>
      <c r="DO19" s="2219"/>
      <c r="DP19" s="2219"/>
      <c r="DQ19" s="2219"/>
      <c r="DR19" s="2219"/>
      <c r="DS19" s="2219"/>
      <c r="DT19" s="2219"/>
      <c r="DU19" s="2219"/>
      <c r="DV19" s="2219"/>
      <c r="DW19" s="2220"/>
      <c r="DX19" s="2220"/>
      <c r="DY19" s="2219"/>
      <c r="DZ19" s="2219"/>
      <c r="EA19" s="2223"/>
      <c r="EB19" s="2214">
        <f t="shared" ref="EB19:EB33" si="53">+J19+K19+L19+N19+P19+Q19+R19+U19+V19+W19+Y19+Z19+AA19+AC19+AD19+AE19+AF19+AI19+AL19+AO19+AP19+AQ19+AR19+AU19+BD19+BJ19+BM19+BP19+BS19+BV19+BY19+BZ19+CC19+CD19+CG19+CJ19+CK19+CN19+CQ19+CT19+CW19+CZ19+DA19+DD19+DG19+DJ19+DK19+DO19+DP19+DQ19+DR19+DS19+DU19+DV19+DY19+DZ19+EA19+BG19+BA19+AX19+AB19-V19+M19+O19+X19</f>
        <v>395000</v>
      </c>
      <c r="EC19" s="2173">
        <f t="shared" si="24"/>
        <v>0</v>
      </c>
      <c r="ED19" s="2174"/>
      <c r="EE19" s="2217">
        <f t="shared" ref="EE19:EE51" si="54">+I19-EG19</f>
        <v>395000</v>
      </c>
      <c r="EF19" s="2174">
        <f t="shared" si="7"/>
        <v>0</v>
      </c>
      <c r="EG19" s="2217">
        <f t="shared" si="25"/>
        <v>0</v>
      </c>
      <c r="EI19" s="2216"/>
    </row>
    <row r="20" spans="1:139" ht="13.5" customHeight="1" outlineLevel="1">
      <c r="A20" s="2233">
        <v>5136</v>
      </c>
      <c r="B20" s="2206" t="s">
        <v>74</v>
      </c>
      <c r="C20" s="2217">
        <v>313000</v>
      </c>
      <c r="D20" s="2217">
        <v>363000</v>
      </c>
      <c r="E20" s="2217">
        <v>363000</v>
      </c>
      <c r="F20" s="2217">
        <v>363000</v>
      </c>
      <c r="G20" s="2217">
        <v>363000</v>
      </c>
      <c r="H20" s="2217">
        <v>363000</v>
      </c>
      <c r="I20" s="2217">
        <f t="shared" si="51"/>
        <v>363000</v>
      </c>
      <c r="J20" s="2218"/>
      <c r="K20" s="2219"/>
      <c r="L20" s="2219"/>
      <c r="M20" s="2219"/>
      <c r="N20" s="2219"/>
      <c r="O20" s="2219"/>
      <c r="P20" s="2219">
        <f>+[2]Zastupitelé!$B$4</f>
        <v>8000</v>
      </c>
      <c r="Q20" s="2219"/>
      <c r="R20" s="2219">
        <f t="shared" si="26"/>
        <v>45000</v>
      </c>
      <c r="S20" s="2220">
        <f>+[2]Správa!$D$4</f>
        <v>45000</v>
      </c>
      <c r="T20" s="2221">
        <f>+[2]Správa!$E$4</f>
        <v>0</v>
      </c>
      <c r="U20" s="2219"/>
      <c r="V20" s="2235">
        <f t="shared" si="52"/>
        <v>0</v>
      </c>
      <c r="W20" s="2219"/>
      <c r="X20" s="2219"/>
      <c r="Y20" s="2219"/>
      <c r="Z20" s="2219">
        <f>+'[2]Městská policie'!$B$11</f>
        <v>5000</v>
      </c>
      <c r="AA20" s="2219">
        <f>+[2]Kronika!$B$4</f>
        <v>5000</v>
      </c>
      <c r="AB20" s="2219"/>
      <c r="AC20" s="2219">
        <f>+[2]Knihovna!$B$4</f>
        <v>300000</v>
      </c>
      <c r="AD20" s="2219"/>
      <c r="AE20" s="2219"/>
      <c r="AF20" s="2219">
        <f t="shared" si="27"/>
        <v>0</v>
      </c>
      <c r="AG20" s="2220"/>
      <c r="AH20" s="2220"/>
      <c r="AI20" s="2219">
        <f t="shared" si="28"/>
        <v>0</v>
      </c>
      <c r="AJ20" s="2220"/>
      <c r="AK20" s="2220"/>
      <c r="AL20" s="2219">
        <f t="shared" si="29"/>
        <v>0</v>
      </c>
      <c r="AM20" s="2220"/>
      <c r="AN20" s="2220"/>
      <c r="AO20" s="2219"/>
      <c r="AP20" s="2219"/>
      <c r="AQ20" s="2219"/>
      <c r="AR20" s="2219">
        <f t="shared" si="30"/>
        <v>0</v>
      </c>
      <c r="AS20" s="2220"/>
      <c r="AT20" s="2220"/>
      <c r="AU20" s="2219">
        <f t="shared" si="31"/>
        <v>0</v>
      </c>
      <c r="AV20" s="2220"/>
      <c r="AW20" s="2220"/>
      <c r="AX20" s="2219">
        <f t="shared" si="32"/>
        <v>0</v>
      </c>
      <c r="AY20" s="2220"/>
      <c r="AZ20" s="2220"/>
      <c r="BA20" s="2219">
        <f t="shared" si="33"/>
        <v>0</v>
      </c>
      <c r="BB20" s="2220"/>
      <c r="BC20" s="2220"/>
      <c r="BD20" s="2219">
        <f t="shared" si="34"/>
        <v>0</v>
      </c>
      <c r="BE20" s="2220"/>
      <c r="BF20" s="2220"/>
      <c r="BG20" s="2219">
        <f t="shared" si="35"/>
        <v>0</v>
      </c>
      <c r="BH20" s="2220"/>
      <c r="BI20" s="2220"/>
      <c r="BJ20" s="2219">
        <f t="shared" si="36"/>
        <v>0</v>
      </c>
      <c r="BK20" s="2220"/>
      <c r="BL20" s="2220"/>
      <c r="BM20" s="2219">
        <f t="shared" si="37"/>
        <v>0</v>
      </c>
      <c r="BN20" s="2220"/>
      <c r="BO20" s="2220"/>
      <c r="BP20" s="2219">
        <f t="shared" si="38"/>
        <v>0</v>
      </c>
      <c r="BQ20" s="2220"/>
      <c r="BR20" s="2220"/>
      <c r="BS20" s="2219">
        <f t="shared" si="39"/>
        <v>0</v>
      </c>
      <c r="BT20" s="2220"/>
      <c r="BU20" s="2220"/>
      <c r="BV20" s="2219">
        <f t="shared" si="40"/>
        <v>0</v>
      </c>
      <c r="BW20" s="2220"/>
      <c r="BX20" s="2220"/>
      <c r="BY20" s="2219"/>
      <c r="BZ20" s="2219">
        <f t="shared" si="41"/>
        <v>0</v>
      </c>
      <c r="CA20" s="2220"/>
      <c r="CB20" s="2220"/>
      <c r="CC20" s="2219"/>
      <c r="CD20" s="2219">
        <f t="shared" si="42"/>
        <v>0</v>
      </c>
      <c r="CE20" s="2220"/>
      <c r="CF20" s="2220"/>
      <c r="CG20" s="2219">
        <f t="shared" si="43"/>
        <v>0</v>
      </c>
      <c r="CH20" s="2220"/>
      <c r="CI20" s="2220"/>
      <c r="CJ20" s="2219"/>
      <c r="CK20" s="2219">
        <f t="shared" si="44"/>
        <v>0</v>
      </c>
      <c r="CL20" s="2220"/>
      <c r="CM20" s="2220"/>
      <c r="CN20" s="2219"/>
      <c r="CO20" s="2220"/>
      <c r="CP20" s="2220"/>
      <c r="CQ20" s="2219"/>
      <c r="CR20" s="2220"/>
      <c r="CS20" s="2220"/>
      <c r="CT20" s="2219"/>
      <c r="CU20" s="2220"/>
      <c r="CV20" s="2220"/>
      <c r="CW20" s="2219">
        <f t="shared" si="45"/>
        <v>0</v>
      </c>
      <c r="CX20" s="2220"/>
      <c r="CY20" s="2220"/>
      <c r="CZ20" s="2219"/>
      <c r="DA20" s="2219">
        <f t="shared" si="46"/>
        <v>0</v>
      </c>
      <c r="DB20" s="2220"/>
      <c r="DC20" s="2220"/>
      <c r="DD20" s="2219">
        <f t="shared" si="47"/>
        <v>0</v>
      </c>
      <c r="DE20" s="2220"/>
      <c r="DF20" s="2220"/>
      <c r="DG20" s="2219">
        <f t="shared" si="48"/>
        <v>0</v>
      </c>
      <c r="DH20" s="2220"/>
      <c r="DI20" s="2220"/>
      <c r="DJ20" s="2219"/>
      <c r="DK20" s="2219">
        <f t="shared" si="49"/>
        <v>0</v>
      </c>
      <c r="DL20" s="2220"/>
      <c r="DM20" s="2220"/>
      <c r="DN20" s="2220"/>
      <c r="DO20" s="2219"/>
      <c r="DP20" s="2219"/>
      <c r="DQ20" s="2219"/>
      <c r="DR20" s="2219"/>
      <c r="DS20" s="2219"/>
      <c r="DT20" s="2219"/>
      <c r="DU20" s="2219"/>
      <c r="DV20" s="2219"/>
      <c r="DW20" s="2220"/>
      <c r="DX20" s="2220"/>
      <c r="DY20" s="2219"/>
      <c r="DZ20" s="2219"/>
      <c r="EA20" s="2223"/>
      <c r="EB20" s="2214">
        <f t="shared" si="53"/>
        <v>363000</v>
      </c>
      <c r="EC20" s="2173">
        <f t="shared" si="24"/>
        <v>0</v>
      </c>
      <c r="ED20" s="2174"/>
      <c r="EE20" s="2217">
        <f t="shared" si="54"/>
        <v>363000</v>
      </c>
      <c r="EF20" s="2174">
        <f t="shared" si="7"/>
        <v>0</v>
      </c>
      <c r="EG20" s="2217">
        <f t="shared" si="25"/>
        <v>0</v>
      </c>
      <c r="EI20" s="2216"/>
    </row>
    <row r="21" spans="1:139" ht="13.5" customHeight="1" outlineLevel="1">
      <c r="A21" s="2233">
        <v>5137</v>
      </c>
      <c r="B21" s="2206" t="s">
        <v>75</v>
      </c>
      <c r="C21" s="2217">
        <v>2110000</v>
      </c>
      <c r="D21" s="2217">
        <v>2317000</v>
      </c>
      <c r="E21" s="2217">
        <v>2317000</v>
      </c>
      <c r="F21" s="2217">
        <v>2317000</v>
      </c>
      <c r="G21" s="2217">
        <v>2317000</v>
      </c>
      <c r="H21" s="2217">
        <v>2317000</v>
      </c>
      <c r="I21" s="2217">
        <f t="shared" si="51"/>
        <v>2317000</v>
      </c>
      <c r="J21" s="2218"/>
      <c r="K21" s="2219"/>
      <c r="L21" s="2219"/>
      <c r="M21" s="2219"/>
      <c r="N21" s="2219"/>
      <c r="O21" s="2219"/>
      <c r="P21" s="2219">
        <f>+[2]Zastupitelé!$B$10</f>
        <v>50000</v>
      </c>
      <c r="Q21" s="2219"/>
      <c r="R21" s="2219">
        <f t="shared" si="26"/>
        <v>694000</v>
      </c>
      <c r="S21" s="2220">
        <f>+[2]Správa!$D$11</f>
        <v>694000</v>
      </c>
      <c r="T21" s="2221">
        <f>+[2]Správa!$E$11</f>
        <v>0</v>
      </c>
      <c r="U21" s="2219"/>
      <c r="V21" s="2235">
        <f t="shared" si="52"/>
        <v>0</v>
      </c>
      <c r="W21" s="2219">
        <f>+'[2]Pečovatelská služba'!$B$11</f>
        <v>50000</v>
      </c>
      <c r="X21" s="2219"/>
      <c r="Y21" s="2219"/>
      <c r="Z21" s="2219">
        <f>+'[2]Městská policie'!$B$18</f>
        <v>333000</v>
      </c>
      <c r="AA21" s="2219"/>
      <c r="AB21" s="2219">
        <f>+'[3]Hotel Budka'!$B$4</f>
        <v>0</v>
      </c>
      <c r="AC21" s="2219">
        <f>+[2]Knihovna!$B$11+[3]Knihovna!$B$4</f>
        <v>145000</v>
      </c>
      <c r="AD21" s="2219"/>
      <c r="AE21" s="2219">
        <f>+[2]Kultura!$B$4</f>
        <v>120000</v>
      </c>
      <c r="AF21" s="2219">
        <f t="shared" si="27"/>
        <v>400000</v>
      </c>
      <c r="AG21" s="2220">
        <f>+[3]Byty!$D$4</f>
        <v>400000</v>
      </c>
      <c r="AH21" s="2220">
        <f>+[3]Byty!$E$4</f>
        <v>0</v>
      </c>
      <c r="AI21" s="2219">
        <f t="shared" si="28"/>
        <v>30000</v>
      </c>
      <c r="AJ21" s="2220">
        <f>+[3]DPS!$D$4</f>
        <v>30000</v>
      </c>
      <c r="AK21" s="2220">
        <f>+[3]DPS!$E$4</f>
        <v>0</v>
      </c>
      <c r="AL21" s="2219">
        <f t="shared" si="29"/>
        <v>0</v>
      </c>
      <c r="AM21" s="2220"/>
      <c r="AN21" s="2220"/>
      <c r="AO21" s="2219">
        <f>+[2]Hasiči!$B$11</f>
        <v>195000</v>
      </c>
      <c r="AP21" s="2219"/>
      <c r="AQ21" s="2219"/>
      <c r="AR21" s="2219">
        <f t="shared" si="30"/>
        <v>0</v>
      </c>
      <c r="AS21" s="2220"/>
      <c r="AT21" s="2220"/>
      <c r="AU21" s="2219">
        <f t="shared" si="31"/>
        <v>100000</v>
      </c>
      <c r="AV21" s="2220">
        <f>+[3]koupaliště!$D$4</f>
        <v>100000</v>
      </c>
      <c r="AW21" s="2220">
        <f>+[3]koupaliště!$E$4</f>
        <v>0</v>
      </c>
      <c r="AX21" s="2219">
        <f t="shared" si="32"/>
        <v>0</v>
      </c>
      <c r="AY21" s="2220"/>
      <c r="AZ21" s="2220"/>
      <c r="BA21" s="2219">
        <f t="shared" si="33"/>
        <v>0</v>
      </c>
      <c r="BB21" s="2220"/>
      <c r="BC21" s="2220"/>
      <c r="BD21" s="2219">
        <f t="shared" si="34"/>
        <v>0</v>
      </c>
      <c r="BE21" s="2220"/>
      <c r="BF21" s="2220"/>
      <c r="BG21" s="2219">
        <f t="shared" si="35"/>
        <v>0</v>
      </c>
      <c r="BH21" s="2220"/>
      <c r="BI21" s="2220"/>
      <c r="BJ21" s="2219">
        <f t="shared" si="36"/>
        <v>0</v>
      </c>
      <c r="BK21" s="2220">
        <f>+[2]č.p.65!$D$4</f>
        <v>0</v>
      </c>
      <c r="BL21" s="2220">
        <v>0</v>
      </c>
      <c r="BM21" s="2219">
        <f t="shared" si="37"/>
        <v>0</v>
      </c>
      <c r="BN21" s="2220"/>
      <c r="BO21" s="2220"/>
      <c r="BP21" s="2219">
        <f t="shared" si="38"/>
        <v>0</v>
      </c>
      <c r="BQ21" s="2220"/>
      <c r="BR21" s="2220"/>
      <c r="BS21" s="2219">
        <f t="shared" si="39"/>
        <v>0</v>
      </c>
      <c r="BT21" s="2220"/>
      <c r="BU21" s="2220"/>
      <c r="BV21" s="2219">
        <f t="shared" si="40"/>
        <v>0</v>
      </c>
      <c r="BW21" s="2220"/>
      <c r="BX21" s="2220"/>
      <c r="BY21" s="2219"/>
      <c r="BZ21" s="2219">
        <f t="shared" si="41"/>
        <v>0</v>
      </c>
      <c r="CA21" s="2220"/>
      <c r="CB21" s="2220"/>
      <c r="CC21" s="2219"/>
      <c r="CD21" s="2219">
        <f t="shared" si="42"/>
        <v>0</v>
      </c>
      <c r="CE21" s="2220"/>
      <c r="CF21" s="2220"/>
      <c r="CG21" s="2219">
        <f t="shared" si="43"/>
        <v>200000</v>
      </c>
      <c r="CH21" s="2238">
        <f>+[3]Silnice!$D$4</f>
        <v>200000</v>
      </c>
      <c r="CI21" s="2220">
        <f>+[3]Silnice!$E$4</f>
        <v>0</v>
      </c>
      <c r="CJ21" s="2219"/>
      <c r="CK21" s="2219">
        <f t="shared" si="44"/>
        <v>0</v>
      </c>
      <c r="CL21" s="2220"/>
      <c r="CM21" s="2220"/>
      <c r="CN21" s="2219"/>
      <c r="CO21" s="2220"/>
      <c r="CP21" s="2220"/>
      <c r="CQ21" s="2219"/>
      <c r="CR21" s="2220"/>
      <c r="CS21" s="2220"/>
      <c r="CT21" s="2219"/>
      <c r="CU21" s="2220"/>
      <c r="CV21" s="2220"/>
      <c r="CW21" s="2219">
        <f t="shared" si="45"/>
        <v>0</v>
      </c>
      <c r="CX21" s="2220"/>
      <c r="CY21" s="2220"/>
      <c r="CZ21" s="2219"/>
      <c r="DA21" s="2219">
        <f t="shared" si="46"/>
        <v>0</v>
      </c>
      <c r="DB21" s="2220"/>
      <c r="DC21" s="2220"/>
      <c r="DD21" s="2219">
        <f t="shared" si="47"/>
        <v>0</v>
      </c>
      <c r="DE21" s="2220"/>
      <c r="DF21" s="2220"/>
      <c r="DG21" s="2219">
        <f t="shared" si="48"/>
        <v>0</v>
      </c>
      <c r="DH21" s="2220"/>
      <c r="DI21" s="2220"/>
      <c r="DJ21" s="2219"/>
      <c r="DK21" s="2219">
        <f t="shared" si="49"/>
        <v>0</v>
      </c>
      <c r="DL21" s="2220"/>
      <c r="DM21" s="2220"/>
      <c r="DN21" s="2220"/>
      <c r="DO21" s="2219"/>
      <c r="DP21" s="2219"/>
      <c r="DQ21" s="2219"/>
      <c r="DR21" s="2219"/>
      <c r="DS21" s="2219"/>
      <c r="DT21" s="2219"/>
      <c r="DU21" s="2219"/>
      <c r="DV21" s="2219"/>
      <c r="DW21" s="2220"/>
      <c r="DX21" s="2220"/>
      <c r="DY21" s="2219"/>
      <c r="DZ21" s="2219"/>
      <c r="EA21" s="2223"/>
      <c r="EB21" s="2214">
        <f t="shared" si="53"/>
        <v>2317000</v>
      </c>
      <c r="EC21" s="2173">
        <f t="shared" si="24"/>
        <v>0</v>
      </c>
      <c r="ED21" s="2174"/>
      <c r="EE21" s="2217">
        <f t="shared" si="54"/>
        <v>2317000</v>
      </c>
      <c r="EF21" s="2174">
        <f t="shared" si="7"/>
        <v>0</v>
      </c>
      <c r="EG21" s="2217">
        <f t="shared" si="25"/>
        <v>0</v>
      </c>
      <c r="EI21" s="2216"/>
    </row>
    <row r="22" spans="1:139" ht="13.5" customHeight="1" outlineLevel="1">
      <c r="A22" s="2233">
        <v>5139</v>
      </c>
      <c r="B22" s="2206" t="s">
        <v>76</v>
      </c>
      <c r="C22" s="2217">
        <v>2119000</v>
      </c>
      <c r="D22" s="2217">
        <v>3866000</v>
      </c>
      <c r="E22" s="2217">
        <v>3866000</v>
      </c>
      <c r="F22" s="2217">
        <v>3866000</v>
      </c>
      <c r="G22" s="2217">
        <v>3866000</v>
      </c>
      <c r="H22" s="2217">
        <v>3866000</v>
      </c>
      <c r="I22" s="2217">
        <f>SUM(J22:R22)+SUM(W22:AF22)+AI22+AL22+SUM(AO22:AR22)+AU22+BD22+BJ22+BM22+BP22+BS22+BV22+BY22+BZ22+CC22+CD22+CG22+SUM(CJ22:CK22)+CT22+CW22+CZ22+DA22+DD22+DG22+DJ22+DK22+SUM(DO22:DV22)+CN22+CQ22+SUM(DY22:EA22)+U22+AX22+BA22+BG22</f>
        <v>3866000</v>
      </c>
      <c r="J22" s="2218"/>
      <c r="K22" s="2219"/>
      <c r="L22" s="2219"/>
      <c r="M22" s="2219"/>
      <c r="N22" s="2219"/>
      <c r="O22" s="2219"/>
      <c r="P22" s="2219">
        <f>+[2]Zastupitelé!$B$17</f>
        <v>55000</v>
      </c>
      <c r="Q22" s="2219"/>
      <c r="R22" s="2219">
        <f t="shared" si="26"/>
        <v>720000</v>
      </c>
      <c r="S22" s="2220">
        <f>+[2]Správa!$D$18</f>
        <v>650000</v>
      </c>
      <c r="T22" s="2221">
        <f>+[2]Správa!$E$18</f>
        <v>70000</v>
      </c>
      <c r="U22" s="2219"/>
      <c r="V22" s="2239">
        <f>+T22+AT22+CI22+CF22+CB22+DN22+AH22+AN22+AW22+BF22+BL22+BO22+BR22+BU22+BX22+CM22+CY22+DC22+DF22+DI22+AK22+DX22</f>
        <v>90000</v>
      </c>
      <c r="W22" s="2219">
        <f>+'[2]Pečovatelská služba'!$B$18</f>
        <v>70000</v>
      </c>
      <c r="X22" s="2219"/>
      <c r="Y22" s="2219"/>
      <c r="Z22" s="2219">
        <f>+'[2]Městská policie'!$B$28</f>
        <v>117000</v>
      </c>
      <c r="AA22" s="2219">
        <f>+[2]Kronika!$B$11</f>
        <v>4000</v>
      </c>
      <c r="AB22" s="2219">
        <f>+'[3]Hotel Budka'!$B$11</f>
        <v>0</v>
      </c>
      <c r="AC22" s="2219">
        <f>+[2]Knihovna!$B$19+[3]Knihovna!$B$12</f>
        <v>50000</v>
      </c>
      <c r="AD22" s="2219"/>
      <c r="AE22" s="2219">
        <f>+[2]Kultura!$B$13</f>
        <v>100000</v>
      </c>
      <c r="AF22" s="2219">
        <f t="shared" si="27"/>
        <v>50000</v>
      </c>
      <c r="AG22" s="2220">
        <f>+[3]Byty!$D$11</f>
        <v>50000</v>
      </c>
      <c r="AH22" s="2220">
        <f>+[3]Byty!$E$11</f>
        <v>0</v>
      </c>
      <c r="AI22" s="2219">
        <f t="shared" si="28"/>
        <v>250000</v>
      </c>
      <c r="AJ22" s="2220">
        <f>+[3]DPS!$D$12</f>
        <v>250000</v>
      </c>
      <c r="AK22" s="2220">
        <f>+[3]DPS!$E$12</f>
        <v>0</v>
      </c>
      <c r="AL22" s="2219">
        <f t="shared" si="29"/>
        <v>0</v>
      </c>
      <c r="AM22" s="2220"/>
      <c r="AN22" s="2220"/>
      <c r="AO22" s="2219">
        <f>+[2]Hasiči!$B$19+[3]Hasiči!$B$4</f>
        <v>70000</v>
      </c>
      <c r="AP22" s="2219"/>
      <c r="AQ22" s="2219"/>
      <c r="AR22" s="2219">
        <f t="shared" ref="AR22" si="55">+AS22+AT22</f>
        <v>50000</v>
      </c>
      <c r="AS22" s="2220">
        <f>+[3]Hřbitov!$D$4</f>
        <v>30000</v>
      </c>
      <c r="AT22" s="2220">
        <f>+[3]Hřbitov!$E$4</f>
        <v>20000</v>
      </c>
      <c r="AU22" s="2219">
        <f t="shared" si="31"/>
        <v>0</v>
      </c>
      <c r="AV22" s="2220"/>
      <c r="AW22" s="2220"/>
      <c r="AX22" s="2219">
        <f t="shared" si="32"/>
        <v>0</v>
      </c>
      <c r="AY22" s="2220"/>
      <c r="AZ22" s="2220"/>
      <c r="BA22" s="2219">
        <f t="shared" si="33"/>
        <v>0</v>
      </c>
      <c r="BB22" s="2220"/>
      <c r="BC22" s="2220"/>
      <c r="BD22" s="2219">
        <f t="shared" si="34"/>
        <v>0</v>
      </c>
      <c r="BE22" s="2220"/>
      <c r="BF22" s="2220"/>
      <c r="BG22" s="2219">
        <f t="shared" si="35"/>
        <v>0</v>
      </c>
      <c r="BH22" s="2220"/>
      <c r="BI22" s="2220"/>
      <c r="BJ22" s="2219">
        <f t="shared" si="36"/>
        <v>30000</v>
      </c>
      <c r="BK22" s="2220">
        <f>+[2]č.p.65!$D$11</f>
        <v>30000</v>
      </c>
      <c r="BL22" s="2220">
        <v>0</v>
      </c>
      <c r="BM22" s="2219">
        <f t="shared" si="37"/>
        <v>0</v>
      </c>
      <c r="BN22" s="2220"/>
      <c r="BO22" s="2220"/>
      <c r="BP22" s="2219">
        <f t="shared" si="38"/>
        <v>0</v>
      </c>
      <c r="BQ22" s="2220"/>
      <c r="BR22" s="2220"/>
      <c r="BS22" s="2219">
        <f t="shared" si="39"/>
        <v>0</v>
      </c>
      <c r="BT22" s="2220"/>
      <c r="BU22" s="2220"/>
      <c r="BV22" s="2219">
        <f t="shared" si="40"/>
        <v>0</v>
      </c>
      <c r="BW22" s="2220"/>
      <c r="BX22" s="2220"/>
      <c r="BY22" s="2219"/>
      <c r="BZ22" s="2219">
        <f t="shared" si="41"/>
        <v>0</v>
      </c>
      <c r="CA22" s="2220"/>
      <c r="CB22" s="2220"/>
      <c r="CC22" s="2219"/>
      <c r="CD22" s="2219">
        <f t="shared" si="42"/>
        <v>150000</v>
      </c>
      <c r="CE22" s="2220">
        <f>+[3]VO!$D$4</f>
        <v>150000</v>
      </c>
      <c r="CF22" s="2220">
        <f>+[3]VO!$E$4</f>
        <v>0</v>
      </c>
      <c r="CG22" s="2219">
        <f t="shared" si="43"/>
        <v>1950000</v>
      </c>
      <c r="CH22" s="2220">
        <f>+'[4]Silnice nákup materiálu'!$D$3</f>
        <v>1950000</v>
      </c>
      <c r="CI22" s="2220">
        <f>+'[4]Silnice nákup materiálu'!$E$3</f>
        <v>0</v>
      </c>
      <c r="CJ22" s="2219"/>
      <c r="CK22" s="2219">
        <f t="shared" si="44"/>
        <v>0</v>
      </c>
      <c r="CL22" s="2220"/>
      <c r="CM22" s="2220"/>
      <c r="CN22" s="2219"/>
      <c r="CO22" s="2220"/>
      <c r="CP22" s="2220"/>
      <c r="CQ22" s="2219"/>
      <c r="CR22" s="2220"/>
      <c r="CS22" s="2220"/>
      <c r="CT22" s="2219"/>
      <c r="CU22" s="2220"/>
      <c r="CV22" s="2220"/>
      <c r="CW22" s="2219">
        <f t="shared" si="45"/>
        <v>0</v>
      </c>
      <c r="CX22" s="2220"/>
      <c r="CY22" s="2220"/>
      <c r="CZ22" s="2219"/>
      <c r="DA22" s="2219">
        <f t="shared" si="46"/>
        <v>0</v>
      </c>
      <c r="DB22" s="2220"/>
      <c r="DC22" s="2220"/>
      <c r="DD22" s="2219">
        <f t="shared" si="47"/>
        <v>0</v>
      </c>
      <c r="DE22" s="2220"/>
      <c r="DF22" s="2220"/>
      <c r="DG22" s="2219">
        <f t="shared" si="48"/>
        <v>0</v>
      </c>
      <c r="DH22" s="2220"/>
      <c r="DI22" s="2220"/>
      <c r="DJ22" s="2219"/>
      <c r="DK22" s="2240">
        <f>+DL22+DM22+DN22</f>
        <v>200000</v>
      </c>
      <c r="DL22" s="2220">
        <f>'[5]Příroda 3749'!$D$4</f>
        <v>200000</v>
      </c>
      <c r="DM22" s="2220"/>
      <c r="DN22" s="2238">
        <f>'[5]Příroda 3749'!$E$4</f>
        <v>0</v>
      </c>
      <c r="DO22" s="2219"/>
      <c r="DP22" s="2219"/>
      <c r="DQ22" s="2219"/>
      <c r="DR22" s="2219"/>
      <c r="DS22" s="2219"/>
      <c r="DT22" s="2219"/>
      <c r="DU22" s="2219"/>
      <c r="DV22" s="2219"/>
      <c r="DW22" s="2220"/>
      <c r="DX22" s="2238"/>
      <c r="DY22" s="2219"/>
      <c r="DZ22" s="2219"/>
      <c r="EA22" s="2223"/>
      <c r="EB22" s="2214">
        <f t="shared" si="53"/>
        <v>3866000</v>
      </c>
      <c r="EC22" s="2173">
        <f t="shared" si="24"/>
        <v>0</v>
      </c>
      <c r="ED22" s="2241"/>
      <c r="EE22" s="2217">
        <f t="shared" si="54"/>
        <v>3776000</v>
      </c>
      <c r="EF22" s="2241">
        <f t="shared" si="7"/>
        <v>0</v>
      </c>
      <c r="EG22" s="2217">
        <f t="shared" si="25"/>
        <v>90000</v>
      </c>
      <c r="EI22" s="2216"/>
    </row>
    <row r="23" spans="1:139" ht="13.5" customHeight="1" outlineLevel="1">
      <c r="A23" s="2233">
        <v>5151</v>
      </c>
      <c r="B23" s="2206" t="s">
        <v>77</v>
      </c>
      <c r="C23" s="2217">
        <v>710000</v>
      </c>
      <c r="D23" s="2217">
        <v>688000</v>
      </c>
      <c r="E23" s="2217">
        <v>688000</v>
      </c>
      <c r="F23" s="2217">
        <v>688000</v>
      </c>
      <c r="G23" s="2217">
        <v>688000</v>
      </c>
      <c r="H23" s="2217">
        <v>688000</v>
      </c>
      <c r="I23" s="2217">
        <f t="shared" si="51"/>
        <v>688000</v>
      </c>
      <c r="J23" s="2218"/>
      <c r="K23" s="2219"/>
      <c r="L23" s="2219"/>
      <c r="M23" s="2219"/>
      <c r="N23" s="2219"/>
      <c r="O23" s="2219"/>
      <c r="P23" s="2219"/>
      <c r="Q23" s="2219"/>
      <c r="R23" s="2219">
        <f t="shared" si="26"/>
        <v>75000</v>
      </c>
      <c r="S23" s="2220">
        <f>+[6]Správa!$D$4</f>
        <v>75000</v>
      </c>
      <c r="T23" s="2221">
        <f>+[6]Správa!$E$4</f>
        <v>0</v>
      </c>
      <c r="U23" s="2219"/>
      <c r="V23" s="2235">
        <f t="shared" ref="V23:V50" si="56">+T23+AT23+CI23+CF23+CB23+DN23+AH23+AN23+AW23+BF23+BL23+BO23+BR23+BU23+BX23+CM23+CY23+DC23+DF23+DI23+AK23+DX23</f>
        <v>0</v>
      </c>
      <c r="W23" s="2219"/>
      <c r="X23" s="2219"/>
      <c r="Y23" s="2219"/>
      <c r="Z23" s="2219"/>
      <c r="AA23" s="2219"/>
      <c r="AB23" s="2219">
        <f>+'[6]Hotel Budka'!$B$4</f>
        <v>0</v>
      </c>
      <c r="AC23" s="2219">
        <f>+[6]Knihovna!$B$4</f>
        <v>5000</v>
      </c>
      <c r="AD23" s="2219"/>
      <c r="AE23" s="2219"/>
      <c r="AF23" s="2219">
        <f t="shared" si="27"/>
        <v>30000</v>
      </c>
      <c r="AG23" s="2220">
        <f>+[6]Byty!$B$4</f>
        <v>30000</v>
      </c>
      <c r="AH23" s="2220"/>
      <c r="AI23" s="2219">
        <f t="shared" si="28"/>
        <v>500000</v>
      </c>
      <c r="AJ23" s="2220">
        <f>+[6]DPS!$B$4</f>
        <v>500000</v>
      </c>
      <c r="AK23" s="2220"/>
      <c r="AL23" s="2219">
        <f t="shared" si="29"/>
        <v>30000</v>
      </c>
      <c r="AM23" s="2220">
        <f>+[6]Nebyty!$B$4</f>
        <v>30000</v>
      </c>
      <c r="AN23" s="2220"/>
      <c r="AO23" s="2219">
        <f>+[6]Hasiči!$B$4</f>
        <v>3000</v>
      </c>
      <c r="AP23" s="2219"/>
      <c r="AQ23" s="2219"/>
      <c r="AR23" s="2219">
        <f t="shared" si="30"/>
        <v>10000</v>
      </c>
      <c r="AS23" s="2220">
        <f>+[6]Hřbitov!$B$4</f>
        <v>10000</v>
      </c>
      <c r="AT23" s="2220"/>
      <c r="AU23" s="2219">
        <f>+AV23+AW23</f>
        <v>0</v>
      </c>
      <c r="AV23" s="2220"/>
      <c r="AW23" s="2220"/>
      <c r="AX23" s="2219">
        <f>+AY23+AZ23</f>
        <v>0</v>
      </c>
      <c r="AY23" s="2220"/>
      <c r="AZ23" s="2220"/>
      <c r="BA23" s="2219">
        <f>+BB23+BC23</f>
        <v>0</v>
      </c>
      <c r="BB23" s="2220"/>
      <c r="BC23" s="2220"/>
      <c r="BD23" s="2219">
        <f t="shared" si="34"/>
        <v>0</v>
      </c>
      <c r="BE23" s="2220">
        <f>+[6]ZŠ!$B$4</f>
        <v>0</v>
      </c>
      <c r="BF23" s="2220"/>
      <c r="BG23" s="2219">
        <f t="shared" si="35"/>
        <v>0</v>
      </c>
      <c r="BH23" s="2220">
        <f>+[6]SŠ!$B$4</f>
        <v>0</v>
      </c>
      <c r="BI23" s="2220"/>
      <c r="BJ23" s="2219">
        <f t="shared" si="36"/>
        <v>20000</v>
      </c>
      <c r="BK23" s="2220">
        <f>+[6]č.p.65!$B$4</f>
        <v>20000</v>
      </c>
      <c r="BL23" s="2220"/>
      <c r="BM23" s="2219">
        <f t="shared" si="37"/>
        <v>0</v>
      </c>
      <c r="BN23" s="2220"/>
      <c r="BO23" s="2220"/>
      <c r="BP23" s="2219">
        <f t="shared" si="38"/>
        <v>0</v>
      </c>
      <c r="BQ23" s="2220"/>
      <c r="BR23" s="2220"/>
      <c r="BS23" s="2219">
        <f t="shared" si="39"/>
        <v>0</v>
      </c>
      <c r="BT23" s="2220"/>
      <c r="BU23" s="2220"/>
      <c r="BV23" s="2219">
        <f t="shared" si="40"/>
        <v>0</v>
      </c>
      <c r="BW23" s="2220"/>
      <c r="BX23" s="2220"/>
      <c r="BY23" s="2219"/>
      <c r="BZ23" s="2219">
        <f t="shared" si="41"/>
        <v>0</v>
      </c>
      <c r="CA23" s="2220"/>
      <c r="CB23" s="2220"/>
      <c r="CC23" s="2219"/>
      <c r="CD23" s="2219">
        <f t="shared" si="42"/>
        <v>0</v>
      </c>
      <c r="CE23" s="2220"/>
      <c r="CF23" s="2220"/>
      <c r="CG23" s="2219">
        <f t="shared" si="43"/>
        <v>15000</v>
      </c>
      <c r="CH23" s="2220">
        <f>+[6]Silnice!$B$4</f>
        <v>15000</v>
      </c>
      <c r="CI23" s="2220"/>
      <c r="CJ23" s="2219"/>
      <c r="CK23" s="2219">
        <f t="shared" si="44"/>
        <v>0</v>
      </c>
      <c r="CL23" s="2220"/>
      <c r="CM23" s="2220"/>
      <c r="CN23" s="2219"/>
      <c r="CO23" s="2220"/>
      <c r="CP23" s="2220"/>
      <c r="CQ23" s="2219"/>
      <c r="CR23" s="2220"/>
      <c r="CS23" s="2220"/>
      <c r="CT23" s="2219"/>
      <c r="CU23" s="2220"/>
      <c r="CV23" s="2220"/>
      <c r="CW23" s="2219">
        <f t="shared" si="45"/>
        <v>0</v>
      </c>
      <c r="CX23" s="2220"/>
      <c r="CY23" s="2220"/>
      <c r="CZ23" s="2219"/>
      <c r="DA23" s="2219">
        <f t="shared" si="46"/>
        <v>0</v>
      </c>
      <c r="DB23" s="2220"/>
      <c r="DC23" s="2220"/>
      <c r="DD23" s="2219">
        <f t="shared" si="47"/>
        <v>0</v>
      </c>
      <c r="DE23" s="2220"/>
      <c r="DF23" s="2220"/>
      <c r="DG23" s="2219">
        <f t="shared" si="48"/>
        <v>0</v>
      </c>
      <c r="DH23" s="2220"/>
      <c r="DI23" s="2220"/>
      <c r="DJ23" s="2219"/>
      <c r="DK23" s="2219">
        <f t="shared" si="49"/>
        <v>0</v>
      </c>
      <c r="DL23" s="2220"/>
      <c r="DM23" s="2220"/>
      <c r="DN23" s="2220"/>
      <c r="DO23" s="2219"/>
      <c r="DP23" s="2219"/>
      <c r="DQ23" s="2219"/>
      <c r="DR23" s="2219"/>
      <c r="DS23" s="2219"/>
      <c r="DT23" s="2219"/>
      <c r="DU23" s="2219"/>
      <c r="DV23" s="2219"/>
      <c r="DW23" s="2220"/>
      <c r="DX23" s="2220"/>
      <c r="DY23" s="2219"/>
      <c r="DZ23" s="2219"/>
      <c r="EA23" s="2223"/>
      <c r="EB23" s="2214">
        <f t="shared" si="53"/>
        <v>688000</v>
      </c>
      <c r="EC23" s="2173">
        <f t="shared" si="24"/>
        <v>0</v>
      </c>
      <c r="ED23" s="2174"/>
      <c r="EE23" s="2217">
        <f t="shared" si="54"/>
        <v>688000</v>
      </c>
      <c r="EF23" s="2174">
        <f t="shared" si="7"/>
        <v>0</v>
      </c>
      <c r="EG23" s="2217">
        <f t="shared" si="25"/>
        <v>0</v>
      </c>
      <c r="EI23" s="2216"/>
    </row>
    <row r="24" spans="1:139" s="2242" customFormat="1" ht="13.5" customHeight="1" outlineLevel="1">
      <c r="A24" s="2233">
        <v>5153</v>
      </c>
      <c r="B24" s="2206" t="s">
        <v>78</v>
      </c>
      <c r="C24" s="2217">
        <v>5440450</v>
      </c>
      <c r="D24" s="2217">
        <v>4034750</v>
      </c>
      <c r="E24" s="2217">
        <v>4036990</v>
      </c>
      <c r="F24" s="2217">
        <v>4036990</v>
      </c>
      <c r="G24" s="2217">
        <v>4036990</v>
      </c>
      <c r="H24" s="2217">
        <v>4036990</v>
      </c>
      <c r="I24" s="2217">
        <f t="shared" si="51"/>
        <v>4036990</v>
      </c>
      <c r="J24" s="2218"/>
      <c r="K24" s="2219"/>
      <c r="L24" s="2219"/>
      <c r="M24" s="2219"/>
      <c r="N24" s="2219"/>
      <c r="O24" s="2219"/>
      <c r="P24" s="2219"/>
      <c r="Q24" s="2219"/>
      <c r="R24" s="2219">
        <f t="shared" si="26"/>
        <v>682500</v>
      </c>
      <c r="S24" s="2220">
        <f>+[6]Správa!$D$11</f>
        <v>682500</v>
      </c>
      <c r="T24" s="2221">
        <f>+[6]Správa!$E$11</f>
        <v>0</v>
      </c>
      <c r="U24" s="2219"/>
      <c r="V24" s="2235">
        <f t="shared" si="56"/>
        <v>0</v>
      </c>
      <c r="W24" s="2219"/>
      <c r="X24" s="2219"/>
      <c r="Y24" s="2219"/>
      <c r="Z24" s="2219"/>
      <c r="AA24" s="2219"/>
      <c r="AB24" s="2219">
        <f>+'[6]Hotel Budka'!$B$11</f>
        <v>2240</v>
      </c>
      <c r="AC24" s="2219">
        <f>+[6]Knihovna!$B$11</f>
        <v>9750</v>
      </c>
      <c r="AD24" s="2219"/>
      <c r="AE24" s="2219"/>
      <c r="AF24" s="2219">
        <f t="shared" si="27"/>
        <v>234000</v>
      </c>
      <c r="AG24" s="2220">
        <f>+[6]Byty!$B$11</f>
        <v>234000</v>
      </c>
      <c r="AH24" s="2220"/>
      <c r="AI24" s="2219">
        <f t="shared" si="28"/>
        <v>1815000</v>
      </c>
      <c r="AJ24" s="2220">
        <f>+[6]DPS!$B$11</f>
        <v>1815000</v>
      </c>
      <c r="AK24" s="2220"/>
      <c r="AL24" s="2219">
        <f t="shared" si="29"/>
        <v>975000</v>
      </c>
      <c r="AM24" s="2220">
        <f>+[6]Nebyty!$B$11</f>
        <v>975000</v>
      </c>
      <c r="AN24" s="2220"/>
      <c r="AO24" s="2219">
        <f>+[6]Hasiči!$B$11</f>
        <v>123500</v>
      </c>
      <c r="AP24" s="2219"/>
      <c r="AQ24" s="2219"/>
      <c r="AR24" s="2219">
        <f t="shared" si="30"/>
        <v>0</v>
      </c>
      <c r="AS24" s="2220"/>
      <c r="AT24" s="2220"/>
      <c r="AU24" s="2219">
        <f t="shared" si="31"/>
        <v>0</v>
      </c>
      <c r="AV24" s="2220"/>
      <c r="AW24" s="2220"/>
      <c r="AX24" s="2219">
        <f t="shared" ref="AX24:AX46" si="57">+AY24+AZ24</f>
        <v>0</v>
      </c>
      <c r="AY24" s="2220"/>
      <c r="AZ24" s="2220"/>
      <c r="BA24" s="2219">
        <f t="shared" ref="BA24:BA46" si="58">+BB24+BC24</f>
        <v>0</v>
      </c>
      <c r="BB24" s="2220"/>
      <c r="BC24" s="2220"/>
      <c r="BD24" s="2219">
        <f t="shared" si="34"/>
        <v>0</v>
      </c>
      <c r="BE24" s="2220">
        <f>+[6]ZŠ!$B$11</f>
        <v>0</v>
      </c>
      <c r="BF24" s="2220"/>
      <c r="BG24" s="2219">
        <f t="shared" si="35"/>
        <v>0</v>
      </c>
      <c r="BH24" s="2220">
        <f>+[6]SŠ!$B$11</f>
        <v>0</v>
      </c>
      <c r="BI24" s="2220"/>
      <c r="BJ24" s="2219">
        <f t="shared" si="36"/>
        <v>195000</v>
      </c>
      <c r="BK24" s="2220">
        <f>+[6]č.p.65!$B$11</f>
        <v>195000</v>
      </c>
      <c r="BL24" s="2220"/>
      <c r="BM24" s="2219">
        <f t="shared" si="37"/>
        <v>0</v>
      </c>
      <c r="BN24" s="2220"/>
      <c r="BO24" s="2220"/>
      <c r="BP24" s="2219">
        <f t="shared" si="38"/>
        <v>0</v>
      </c>
      <c r="BQ24" s="2220"/>
      <c r="BR24" s="2220"/>
      <c r="BS24" s="2219">
        <f t="shared" si="39"/>
        <v>0</v>
      </c>
      <c r="BT24" s="2220"/>
      <c r="BU24" s="2220"/>
      <c r="BV24" s="2219">
        <f t="shared" si="40"/>
        <v>0</v>
      </c>
      <c r="BW24" s="2220"/>
      <c r="BX24" s="2220"/>
      <c r="BY24" s="2219"/>
      <c r="BZ24" s="2219">
        <f t="shared" si="41"/>
        <v>0</v>
      </c>
      <c r="CA24" s="2220"/>
      <c r="CB24" s="2220"/>
      <c r="CC24" s="2219"/>
      <c r="CD24" s="2219">
        <f t="shared" si="42"/>
        <v>0</v>
      </c>
      <c r="CE24" s="2220"/>
      <c r="CF24" s="2220"/>
      <c r="CG24" s="2219">
        <f t="shared" si="43"/>
        <v>0</v>
      </c>
      <c r="CH24" s="2220"/>
      <c r="CI24" s="2220"/>
      <c r="CJ24" s="2219"/>
      <c r="CK24" s="2219">
        <f t="shared" si="44"/>
        <v>0</v>
      </c>
      <c r="CL24" s="2220"/>
      <c r="CM24" s="2220"/>
      <c r="CN24" s="2219"/>
      <c r="CO24" s="2220"/>
      <c r="CP24" s="2220"/>
      <c r="CQ24" s="2219"/>
      <c r="CR24" s="2220"/>
      <c r="CS24" s="2220"/>
      <c r="CT24" s="2219"/>
      <c r="CU24" s="2220"/>
      <c r="CV24" s="2220"/>
      <c r="CW24" s="2219">
        <f t="shared" si="45"/>
        <v>0</v>
      </c>
      <c r="CX24" s="2220"/>
      <c r="CY24" s="2220"/>
      <c r="CZ24" s="2219"/>
      <c r="DA24" s="2219">
        <f t="shared" si="46"/>
        <v>0</v>
      </c>
      <c r="DB24" s="2220"/>
      <c r="DC24" s="2220"/>
      <c r="DD24" s="2219">
        <f t="shared" si="47"/>
        <v>0</v>
      </c>
      <c r="DE24" s="2220"/>
      <c r="DF24" s="2220"/>
      <c r="DG24" s="2219">
        <f t="shared" si="48"/>
        <v>0</v>
      </c>
      <c r="DH24" s="2220"/>
      <c r="DI24" s="2220"/>
      <c r="DJ24" s="2219"/>
      <c r="DK24" s="2219">
        <f t="shared" si="49"/>
        <v>0</v>
      </c>
      <c r="DL24" s="2220"/>
      <c r="DM24" s="2220"/>
      <c r="DN24" s="2220"/>
      <c r="DO24" s="2219"/>
      <c r="DP24" s="2219"/>
      <c r="DQ24" s="2219"/>
      <c r="DR24" s="2219"/>
      <c r="DS24" s="2219"/>
      <c r="DT24" s="2219"/>
      <c r="DU24" s="2219"/>
      <c r="DV24" s="2219"/>
      <c r="DW24" s="2220"/>
      <c r="DX24" s="2220"/>
      <c r="DY24" s="2219"/>
      <c r="DZ24" s="2219"/>
      <c r="EA24" s="2223"/>
      <c r="EB24" s="2214">
        <f t="shared" si="53"/>
        <v>4036990</v>
      </c>
      <c r="EC24" s="2173">
        <f t="shared" si="24"/>
        <v>0</v>
      </c>
      <c r="ED24" s="2174"/>
      <c r="EE24" s="2217">
        <f t="shared" si="54"/>
        <v>4036990</v>
      </c>
      <c r="EF24" s="2174">
        <f t="shared" si="7"/>
        <v>0</v>
      </c>
      <c r="EG24" s="2217">
        <f t="shared" si="25"/>
        <v>0</v>
      </c>
      <c r="EI24" s="2216"/>
    </row>
    <row r="25" spans="1:139" ht="13.5" customHeight="1" outlineLevel="1">
      <c r="A25" s="2233">
        <v>5154</v>
      </c>
      <c r="B25" s="2206" t="s">
        <v>79</v>
      </c>
      <c r="C25" s="2217">
        <v>7444800</v>
      </c>
      <c r="D25" s="2217">
        <v>5656300</v>
      </c>
      <c r="E25" s="2217">
        <v>5680300</v>
      </c>
      <c r="F25" s="2217">
        <v>5680300</v>
      </c>
      <c r="G25" s="2217">
        <v>5680300</v>
      </c>
      <c r="H25" s="2217">
        <v>5680300</v>
      </c>
      <c r="I25" s="2217">
        <f t="shared" si="51"/>
        <v>5680300</v>
      </c>
      <c r="J25" s="2218"/>
      <c r="K25" s="2219"/>
      <c r="L25" s="2219"/>
      <c r="M25" s="2219"/>
      <c r="N25" s="2219"/>
      <c r="O25" s="2219"/>
      <c r="P25" s="2219"/>
      <c r="Q25" s="2219"/>
      <c r="R25" s="2219">
        <f t="shared" si="26"/>
        <v>884000</v>
      </c>
      <c r="S25" s="2220">
        <f>+[6]Správa!$D$18</f>
        <v>884000</v>
      </c>
      <c r="T25" s="2221">
        <f>+[6]Správa!$E$18</f>
        <v>0</v>
      </c>
      <c r="U25" s="2219"/>
      <c r="V25" s="2235">
        <f t="shared" si="56"/>
        <v>0</v>
      </c>
      <c r="W25" s="2219"/>
      <c r="X25" s="2219"/>
      <c r="Y25" s="2219"/>
      <c r="Z25" s="2219"/>
      <c r="AA25" s="2219"/>
      <c r="AB25" s="2219">
        <f>+'[6]Hotel Budka'!$B$18</f>
        <v>24000</v>
      </c>
      <c r="AC25" s="2219">
        <f>+[6]Knihovna!$B$18</f>
        <v>230100</v>
      </c>
      <c r="AD25" s="2219"/>
      <c r="AE25" s="2219"/>
      <c r="AF25" s="2219">
        <f t="shared" si="27"/>
        <v>195000</v>
      </c>
      <c r="AG25" s="2220">
        <f>+[6]Byty!$B$18</f>
        <v>195000</v>
      </c>
      <c r="AH25" s="2220"/>
      <c r="AI25" s="2219">
        <f t="shared" si="28"/>
        <v>585000</v>
      </c>
      <c r="AJ25" s="2220">
        <f>+[6]DPS!$B$18</f>
        <v>585000</v>
      </c>
      <c r="AK25" s="2220"/>
      <c r="AL25" s="2219">
        <f t="shared" si="29"/>
        <v>605800</v>
      </c>
      <c r="AM25" s="2220">
        <f>+[6]Nebyty!$B$18</f>
        <v>605800</v>
      </c>
      <c r="AN25" s="2220"/>
      <c r="AO25" s="2219">
        <f>+[6]Hasiči!$B$18</f>
        <v>106400</v>
      </c>
      <c r="AP25" s="2219"/>
      <c r="AQ25" s="2219">
        <f>+[6]TESKO!$B$4</f>
        <v>0</v>
      </c>
      <c r="AR25" s="2219">
        <f t="shared" si="30"/>
        <v>0</v>
      </c>
      <c r="AS25" s="2220"/>
      <c r="AT25" s="2220"/>
      <c r="AU25" s="2219">
        <f t="shared" si="31"/>
        <v>0</v>
      </c>
      <c r="AV25" s="2220">
        <f>+[6]Koupaliště!$B$4</f>
        <v>0</v>
      </c>
      <c r="AW25" s="2220"/>
      <c r="AX25" s="2219">
        <f t="shared" si="57"/>
        <v>60000</v>
      </c>
      <c r="AY25" s="2220">
        <f>+[6]Hřiště!$B$4</f>
        <v>60000</v>
      </c>
      <c r="AZ25" s="2220"/>
      <c r="BA25" s="2219">
        <f t="shared" si="58"/>
        <v>0</v>
      </c>
      <c r="BB25" s="2220">
        <f>+[6]Spolky!$B$4</f>
        <v>0</v>
      </c>
      <c r="BC25" s="2220"/>
      <c r="BD25" s="2219">
        <f t="shared" si="34"/>
        <v>0</v>
      </c>
      <c r="BE25" s="2220">
        <f>+[6]ZŠ!$B$18</f>
        <v>0</v>
      </c>
      <c r="BF25" s="2220"/>
      <c r="BG25" s="2219">
        <f t="shared" si="35"/>
        <v>0</v>
      </c>
      <c r="BH25" s="2220">
        <f>+[6]SŠ!$B$18</f>
        <v>0</v>
      </c>
      <c r="BI25" s="2220"/>
      <c r="BJ25" s="2219">
        <f t="shared" si="36"/>
        <v>195000</v>
      </c>
      <c r="BK25" s="2220">
        <f>+[6]č.p.65!$B$18</f>
        <v>195000</v>
      </c>
      <c r="BL25" s="2220"/>
      <c r="BM25" s="2219">
        <f t="shared" si="37"/>
        <v>0</v>
      </c>
      <c r="BN25" s="2220"/>
      <c r="BO25" s="2220"/>
      <c r="BP25" s="2219">
        <f t="shared" si="38"/>
        <v>0</v>
      </c>
      <c r="BQ25" s="2220"/>
      <c r="BR25" s="2220"/>
      <c r="BS25" s="2219">
        <f t="shared" si="39"/>
        <v>0</v>
      </c>
      <c r="BT25" s="2220"/>
      <c r="BU25" s="2220"/>
      <c r="BV25" s="2219">
        <f t="shared" si="40"/>
        <v>0</v>
      </c>
      <c r="BW25" s="2220"/>
      <c r="BX25" s="2220"/>
      <c r="BY25" s="2219"/>
      <c r="BZ25" s="2219">
        <f t="shared" si="41"/>
        <v>0</v>
      </c>
      <c r="CA25" s="2220"/>
      <c r="CB25" s="2220"/>
      <c r="CC25" s="2219"/>
      <c r="CD25" s="2219">
        <f t="shared" si="42"/>
        <v>2030000</v>
      </c>
      <c r="CE25" s="2220">
        <f>+[3]VO!$D$12</f>
        <v>2030000</v>
      </c>
      <c r="CF25" s="2220">
        <f>+[3]VO!$E$12</f>
        <v>0</v>
      </c>
      <c r="CG25" s="2219">
        <f t="shared" si="43"/>
        <v>205000</v>
      </c>
      <c r="CH25" s="2238">
        <f>+[3]Silnice!$D$11</f>
        <v>205000</v>
      </c>
      <c r="CI25" s="2220">
        <f>+[3]Silnice!$E$11</f>
        <v>0</v>
      </c>
      <c r="CJ25" s="2219">
        <f>+[4]Doprava!$B$4</f>
        <v>50000</v>
      </c>
      <c r="CK25" s="2219">
        <f t="shared" si="44"/>
        <v>430000</v>
      </c>
      <c r="CL25" s="2220">
        <f>+[3]Vodovod!$D$4</f>
        <v>430000</v>
      </c>
      <c r="CM25" s="2220">
        <f>+[3]Vodovod!$E$4</f>
        <v>0</v>
      </c>
      <c r="CN25" s="2219"/>
      <c r="CO25" s="2220"/>
      <c r="CP25" s="2220"/>
      <c r="CQ25" s="2219">
        <f>+CR25+CS25</f>
        <v>80000</v>
      </c>
      <c r="CR25" s="2220">
        <f>+[3]Kanalizace!$D$4</f>
        <v>80000</v>
      </c>
      <c r="CS25" s="2220">
        <f>+[3]Kanalizace!$E$4</f>
        <v>0</v>
      </c>
      <c r="CT25" s="2219"/>
      <c r="CU25" s="2220"/>
      <c r="CV25" s="2220"/>
      <c r="CW25" s="2219">
        <f t="shared" si="45"/>
        <v>0</v>
      </c>
      <c r="CX25" s="2220"/>
      <c r="CY25" s="2220"/>
      <c r="CZ25" s="2219"/>
      <c r="DA25" s="2219">
        <f t="shared" si="46"/>
        <v>0</v>
      </c>
      <c r="DB25" s="2220"/>
      <c r="DC25" s="2220"/>
      <c r="DD25" s="2219">
        <f t="shared" si="47"/>
        <v>0</v>
      </c>
      <c r="DE25" s="2220"/>
      <c r="DF25" s="2220"/>
      <c r="DG25" s="2219">
        <f t="shared" si="48"/>
        <v>0</v>
      </c>
      <c r="DH25" s="2220"/>
      <c r="DI25" s="2220"/>
      <c r="DJ25" s="2219"/>
      <c r="DK25" s="2219">
        <f t="shared" si="49"/>
        <v>0</v>
      </c>
      <c r="DL25" s="2220"/>
      <c r="DM25" s="2220"/>
      <c r="DN25" s="2220"/>
      <c r="DO25" s="2219"/>
      <c r="DP25" s="2219"/>
      <c r="DQ25" s="2219"/>
      <c r="DR25" s="2219"/>
      <c r="DS25" s="2219"/>
      <c r="DT25" s="2219"/>
      <c r="DU25" s="2219"/>
      <c r="DV25" s="2219">
        <f>+DW25+DX25</f>
        <v>0</v>
      </c>
      <c r="DW25" s="2220">
        <f>'[5]TSÚ-Sběrný dvůr 3722-36'!$D$4</f>
        <v>0</v>
      </c>
      <c r="DX25" s="2220">
        <f>'[5]TSÚ-Sběrný dvůr 3722-36'!$E$4</f>
        <v>0</v>
      </c>
      <c r="DY25" s="2219"/>
      <c r="DZ25" s="2219"/>
      <c r="EA25" s="2223"/>
      <c r="EB25" s="2214">
        <f t="shared" si="53"/>
        <v>5680300</v>
      </c>
      <c r="EC25" s="2173">
        <f t="shared" si="24"/>
        <v>0</v>
      </c>
      <c r="ED25" s="2174"/>
      <c r="EE25" s="2217">
        <f t="shared" si="54"/>
        <v>5680300</v>
      </c>
      <c r="EF25" s="2174">
        <f t="shared" si="7"/>
        <v>0</v>
      </c>
      <c r="EG25" s="2217">
        <f t="shared" si="25"/>
        <v>0</v>
      </c>
      <c r="EI25" s="2216"/>
    </row>
    <row r="26" spans="1:139" ht="13.5" customHeight="1" outlineLevel="1">
      <c r="A26" s="2233">
        <v>5156</v>
      </c>
      <c r="B26" s="2206" t="s">
        <v>80</v>
      </c>
      <c r="C26" s="2217">
        <v>640000</v>
      </c>
      <c r="D26" s="2217">
        <v>717000</v>
      </c>
      <c r="E26" s="2217">
        <v>717000</v>
      </c>
      <c r="F26" s="2217">
        <v>717000</v>
      </c>
      <c r="G26" s="2217">
        <v>717000</v>
      </c>
      <c r="H26" s="2217">
        <v>717000</v>
      </c>
      <c r="I26" s="2217">
        <f t="shared" si="51"/>
        <v>717000</v>
      </c>
      <c r="J26" s="2218"/>
      <c r="K26" s="2219"/>
      <c r="L26" s="2219"/>
      <c r="M26" s="2219"/>
      <c r="N26" s="2219"/>
      <c r="O26" s="2219"/>
      <c r="P26" s="2219">
        <f>+[2]Zastupitelé!$B$24</f>
        <v>75000</v>
      </c>
      <c r="Q26" s="2219"/>
      <c r="R26" s="2219">
        <f t="shared" si="26"/>
        <v>75000</v>
      </c>
      <c r="S26" s="2220">
        <f>+[2]Správa!$D$25</f>
        <v>75000</v>
      </c>
      <c r="T26" s="2221">
        <f>+[2]Správa!$E$25</f>
        <v>0</v>
      </c>
      <c r="U26" s="2219"/>
      <c r="V26" s="2235">
        <f t="shared" si="56"/>
        <v>0</v>
      </c>
      <c r="W26" s="2219">
        <f>+'[2]Pečovatelská služba'!$B$25</f>
        <v>200000</v>
      </c>
      <c r="X26" s="2219"/>
      <c r="Y26" s="2219"/>
      <c r="Z26" s="2219">
        <f>+'[2]Městská policie'!$B$35</f>
        <v>297000</v>
      </c>
      <c r="AA26" s="2219"/>
      <c r="AB26" s="2219"/>
      <c r="AC26" s="2219"/>
      <c r="AD26" s="2219"/>
      <c r="AE26" s="2219"/>
      <c r="AF26" s="2219">
        <f t="shared" si="27"/>
        <v>0</v>
      </c>
      <c r="AG26" s="2220"/>
      <c r="AH26" s="2220"/>
      <c r="AI26" s="2219">
        <f t="shared" si="28"/>
        <v>0</v>
      </c>
      <c r="AJ26" s="2220"/>
      <c r="AK26" s="2220"/>
      <c r="AL26" s="2219">
        <f t="shared" si="29"/>
        <v>0</v>
      </c>
      <c r="AM26" s="2220"/>
      <c r="AN26" s="2220"/>
      <c r="AO26" s="2236">
        <f>+[3]Hasiči!$B$11</f>
        <v>70000</v>
      </c>
      <c r="AP26" s="2219"/>
      <c r="AQ26" s="2219"/>
      <c r="AR26" s="2219">
        <f t="shared" si="30"/>
        <v>0</v>
      </c>
      <c r="AS26" s="2220"/>
      <c r="AT26" s="2220"/>
      <c r="AU26" s="2219">
        <f t="shared" si="31"/>
        <v>0</v>
      </c>
      <c r="AV26" s="2220"/>
      <c r="AW26" s="2220"/>
      <c r="AX26" s="2219">
        <f t="shared" si="57"/>
        <v>0</v>
      </c>
      <c r="AY26" s="2220"/>
      <c r="AZ26" s="2220"/>
      <c r="BA26" s="2219">
        <f t="shared" si="58"/>
        <v>0</v>
      </c>
      <c r="BB26" s="2220"/>
      <c r="BC26" s="2220"/>
      <c r="BD26" s="2219">
        <f t="shared" si="34"/>
        <v>0</v>
      </c>
      <c r="BE26" s="2220"/>
      <c r="BF26" s="2220"/>
      <c r="BG26" s="2219">
        <f t="shared" si="35"/>
        <v>0</v>
      </c>
      <c r="BH26" s="2220"/>
      <c r="BI26" s="2220"/>
      <c r="BJ26" s="2219">
        <f t="shared" si="36"/>
        <v>0</v>
      </c>
      <c r="BK26" s="2220"/>
      <c r="BL26" s="2220"/>
      <c r="BM26" s="2219">
        <f t="shared" si="37"/>
        <v>0</v>
      </c>
      <c r="BN26" s="2220"/>
      <c r="BO26" s="2220"/>
      <c r="BP26" s="2219">
        <f t="shared" si="38"/>
        <v>0</v>
      </c>
      <c r="BQ26" s="2220"/>
      <c r="BR26" s="2220"/>
      <c r="BS26" s="2219">
        <f t="shared" si="39"/>
        <v>0</v>
      </c>
      <c r="BT26" s="2220"/>
      <c r="BU26" s="2220"/>
      <c r="BV26" s="2219">
        <f t="shared" si="40"/>
        <v>0</v>
      </c>
      <c r="BW26" s="2220"/>
      <c r="BX26" s="2220"/>
      <c r="BY26" s="2219"/>
      <c r="BZ26" s="2219">
        <f t="shared" si="41"/>
        <v>0</v>
      </c>
      <c r="CA26" s="2220"/>
      <c r="CB26" s="2220"/>
      <c r="CC26" s="2219"/>
      <c r="CD26" s="2219">
        <f t="shared" si="42"/>
        <v>0</v>
      </c>
      <c r="CE26" s="2220"/>
      <c r="CF26" s="2220"/>
      <c r="CG26" s="2219">
        <f t="shared" si="43"/>
        <v>0</v>
      </c>
      <c r="CH26" s="2220"/>
      <c r="CI26" s="2220"/>
      <c r="CJ26" s="2219"/>
      <c r="CK26" s="2219">
        <f t="shared" si="44"/>
        <v>0</v>
      </c>
      <c r="CL26" s="2220"/>
      <c r="CM26" s="2220"/>
      <c r="CN26" s="2219"/>
      <c r="CO26" s="2220"/>
      <c r="CP26" s="2220"/>
      <c r="CQ26" s="2219"/>
      <c r="CR26" s="2220"/>
      <c r="CS26" s="2220"/>
      <c r="CT26" s="2219"/>
      <c r="CU26" s="2220"/>
      <c r="CV26" s="2220"/>
      <c r="CW26" s="2219">
        <f t="shared" si="45"/>
        <v>0</v>
      </c>
      <c r="CX26" s="2220"/>
      <c r="CY26" s="2220"/>
      <c r="CZ26" s="2219"/>
      <c r="DA26" s="2219">
        <f t="shared" si="46"/>
        <v>0</v>
      </c>
      <c r="DB26" s="2220"/>
      <c r="DC26" s="2220"/>
      <c r="DD26" s="2219">
        <f t="shared" si="47"/>
        <v>0</v>
      </c>
      <c r="DE26" s="2220"/>
      <c r="DF26" s="2220"/>
      <c r="DG26" s="2219">
        <f t="shared" si="48"/>
        <v>0</v>
      </c>
      <c r="DH26" s="2220"/>
      <c r="DI26" s="2220"/>
      <c r="DJ26" s="2219"/>
      <c r="DK26" s="2219">
        <f t="shared" si="49"/>
        <v>0</v>
      </c>
      <c r="DL26" s="2220"/>
      <c r="DM26" s="2220"/>
      <c r="DN26" s="2220"/>
      <c r="DO26" s="2219"/>
      <c r="DP26" s="2219"/>
      <c r="DQ26" s="2219"/>
      <c r="DR26" s="2219"/>
      <c r="DS26" s="2219"/>
      <c r="DT26" s="2219"/>
      <c r="DU26" s="2219"/>
      <c r="DV26" s="2219"/>
      <c r="DW26" s="2220"/>
      <c r="DX26" s="2220"/>
      <c r="DY26" s="2219"/>
      <c r="DZ26" s="2219"/>
      <c r="EA26" s="2223"/>
      <c r="EB26" s="2214">
        <f t="shared" si="53"/>
        <v>717000</v>
      </c>
      <c r="EC26" s="2173">
        <f t="shared" si="24"/>
        <v>0</v>
      </c>
      <c r="ED26" s="2174"/>
      <c r="EE26" s="2217">
        <f t="shared" si="54"/>
        <v>717000</v>
      </c>
      <c r="EF26" s="2174">
        <f t="shared" si="7"/>
        <v>0</v>
      </c>
      <c r="EG26" s="2217">
        <f t="shared" si="25"/>
        <v>0</v>
      </c>
      <c r="EI26" s="2216"/>
    </row>
    <row r="27" spans="1:139" ht="13.5" customHeight="1" outlineLevel="1">
      <c r="A27" s="2233">
        <v>5161</v>
      </c>
      <c r="B27" s="2206" t="s">
        <v>81</v>
      </c>
      <c r="C27" s="2217">
        <v>695000</v>
      </c>
      <c r="D27" s="2217">
        <v>745000</v>
      </c>
      <c r="E27" s="2217">
        <v>745000</v>
      </c>
      <c r="F27" s="2217">
        <v>745000</v>
      </c>
      <c r="G27" s="2217">
        <v>745000</v>
      </c>
      <c r="H27" s="2217">
        <v>745000</v>
      </c>
      <c r="I27" s="2217">
        <f t="shared" si="51"/>
        <v>745000</v>
      </c>
      <c r="J27" s="2218"/>
      <c r="K27" s="2219"/>
      <c r="L27" s="2219"/>
      <c r="M27" s="2219"/>
      <c r="N27" s="2219"/>
      <c r="O27" s="2219"/>
      <c r="P27" s="2219"/>
      <c r="Q27" s="2219"/>
      <c r="R27" s="2219">
        <f t="shared" si="26"/>
        <v>700000</v>
      </c>
      <c r="S27" s="2220">
        <f>+[2]Správa!$D$32</f>
        <v>700000</v>
      </c>
      <c r="T27" s="2221">
        <f>+[2]Správa!$E$32</f>
        <v>0</v>
      </c>
      <c r="U27" s="2219"/>
      <c r="V27" s="2235">
        <f t="shared" si="56"/>
        <v>0</v>
      </c>
      <c r="W27" s="2219"/>
      <c r="X27" s="2219"/>
      <c r="Y27" s="2219"/>
      <c r="Z27" s="2219"/>
      <c r="AA27" s="2219"/>
      <c r="AB27" s="2219"/>
      <c r="AC27" s="2219">
        <f>+[2]Knihovna!$B$26</f>
        <v>5000</v>
      </c>
      <c r="AD27" s="2219">
        <f>+'[2]Život Úval'!$B$4</f>
        <v>40000</v>
      </c>
      <c r="AE27" s="2219"/>
      <c r="AF27" s="2219">
        <f t="shared" si="27"/>
        <v>0</v>
      </c>
      <c r="AG27" s="2220"/>
      <c r="AH27" s="2220"/>
      <c r="AI27" s="2219">
        <f t="shared" si="28"/>
        <v>0</v>
      </c>
      <c r="AJ27" s="2220"/>
      <c r="AK27" s="2220"/>
      <c r="AL27" s="2219">
        <f t="shared" si="29"/>
        <v>0</v>
      </c>
      <c r="AM27" s="2220"/>
      <c r="AN27" s="2220"/>
      <c r="AO27" s="2236"/>
      <c r="AP27" s="2219"/>
      <c r="AQ27" s="2219"/>
      <c r="AR27" s="2219">
        <f t="shared" si="30"/>
        <v>0</v>
      </c>
      <c r="AS27" s="2220"/>
      <c r="AT27" s="2220"/>
      <c r="AU27" s="2219">
        <f t="shared" si="31"/>
        <v>0</v>
      </c>
      <c r="AV27" s="2220"/>
      <c r="AW27" s="2220"/>
      <c r="AX27" s="2219">
        <f t="shared" si="57"/>
        <v>0</v>
      </c>
      <c r="AY27" s="2220"/>
      <c r="AZ27" s="2220"/>
      <c r="BA27" s="2219">
        <f t="shared" si="58"/>
        <v>0</v>
      </c>
      <c r="BB27" s="2220"/>
      <c r="BC27" s="2220"/>
      <c r="BD27" s="2219">
        <f t="shared" si="34"/>
        <v>0</v>
      </c>
      <c r="BE27" s="2220"/>
      <c r="BF27" s="2220"/>
      <c r="BG27" s="2219">
        <f t="shared" si="35"/>
        <v>0</v>
      </c>
      <c r="BH27" s="2220"/>
      <c r="BI27" s="2220"/>
      <c r="BJ27" s="2219">
        <f t="shared" si="36"/>
        <v>0</v>
      </c>
      <c r="BK27" s="2220"/>
      <c r="BL27" s="2220"/>
      <c r="BM27" s="2219">
        <f t="shared" si="37"/>
        <v>0</v>
      </c>
      <c r="BN27" s="2220"/>
      <c r="BO27" s="2220"/>
      <c r="BP27" s="2219">
        <f t="shared" si="38"/>
        <v>0</v>
      </c>
      <c r="BQ27" s="2220"/>
      <c r="BR27" s="2220"/>
      <c r="BS27" s="2219">
        <f t="shared" si="39"/>
        <v>0</v>
      </c>
      <c r="BT27" s="2220"/>
      <c r="BU27" s="2220"/>
      <c r="BV27" s="2219">
        <f t="shared" si="40"/>
        <v>0</v>
      </c>
      <c r="BW27" s="2220"/>
      <c r="BX27" s="2220"/>
      <c r="BY27" s="2219"/>
      <c r="BZ27" s="2219">
        <f t="shared" si="41"/>
        <v>0</v>
      </c>
      <c r="CA27" s="2220"/>
      <c r="CB27" s="2220"/>
      <c r="CC27" s="2219"/>
      <c r="CD27" s="2219">
        <f t="shared" si="42"/>
        <v>0</v>
      </c>
      <c r="CE27" s="2220"/>
      <c r="CF27" s="2220"/>
      <c r="CG27" s="2219">
        <f t="shared" si="43"/>
        <v>0</v>
      </c>
      <c r="CH27" s="2220"/>
      <c r="CI27" s="2220"/>
      <c r="CJ27" s="2219"/>
      <c r="CK27" s="2219">
        <f t="shared" si="44"/>
        <v>0</v>
      </c>
      <c r="CL27" s="2220"/>
      <c r="CM27" s="2220"/>
      <c r="CN27" s="2219"/>
      <c r="CO27" s="2220"/>
      <c r="CP27" s="2220"/>
      <c r="CQ27" s="2219"/>
      <c r="CR27" s="2220"/>
      <c r="CS27" s="2220"/>
      <c r="CT27" s="2219"/>
      <c r="CU27" s="2220"/>
      <c r="CV27" s="2220"/>
      <c r="CW27" s="2219">
        <f t="shared" si="45"/>
        <v>0</v>
      </c>
      <c r="CX27" s="2220"/>
      <c r="CY27" s="2220"/>
      <c r="CZ27" s="2219"/>
      <c r="DA27" s="2219">
        <f t="shared" si="46"/>
        <v>0</v>
      </c>
      <c r="DB27" s="2220"/>
      <c r="DC27" s="2220"/>
      <c r="DD27" s="2219">
        <f t="shared" si="47"/>
        <v>0</v>
      </c>
      <c r="DE27" s="2220"/>
      <c r="DF27" s="2220"/>
      <c r="DG27" s="2219">
        <f t="shared" si="48"/>
        <v>0</v>
      </c>
      <c r="DH27" s="2220"/>
      <c r="DI27" s="2220"/>
      <c r="DJ27" s="2219"/>
      <c r="DK27" s="2219">
        <f t="shared" si="49"/>
        <v>0</v>
      </c>
      <c r="DL27" s="2220"/>
      <c r="DM27" s="2220"/>
      <c r="DN27" s="2220"/>
      <c r="DO27" s="2219"/>
      <c r="DP27" s="2219"/>
      <c r="DQ27" s="2219"/>
      <c r="DR27" s="2219"/>
      <c r="DS27" s="2219"/>
      <c r="DT27" s="2219"/>
      <c r="DU27" s="2219"/>
      <c r="DV27" s="2219"/>
      <c r="DW27" s="2220"/>
      <c r="DX27" s="2220"/>
      <c r="DY27" s="2219"/>
      <c r="DZ27" s="2219"/>
      <c r="EA27" s="2223"/>
      <c r="EB27" s="2214">
        <f t="shared" si="53"/>
        <v>745000</v>
      </c>
      <c r="EC27" s="2173">
        <f t="shared" si="24"/>
        <v>0</v>
      </c>
      <c r="ED27" s="2174"/>
      <c r="EE27" s="2217">
        <f t="shared" si="54"/>
        <v>745000</v>
      </c>
      <c r="EF27" s="2174">
        <f t="shared" si="7"/>
        <v>0</v>
      </c>
      <c r="EG27" s="2217">
        <f t="shared" si="25"/>
        <v>0</v>
      </c>
      <c r="EI27" s="2216"/>
    </row>
    <row r="28" spans="1:139" ht="13.5" customHeight="1" outlineLevel="1">
      <c r="A28" s="2233">
        <v>5162</v>
      </c>
      <c r="B28" s="2206" t="s">
        <v>82</v>
      </c>
      <c r="C28" s="2217">
        <v>564000</v>
      </c>
      <c r="D28" s="2217">
        <v>808545</v>
      </c>
      <c r="E28" s="2217">
        <v>808545</v>
      </c>
      <c r="F28" s="2217">
        <v>808545</v>
      </c>
      <c r="G28" s="2217">
        <v>808545</v>
      </c>
      <c r="H28" s="2217">
        <v>808545</v>
      </c>
      <c r="I28" s="2217">
        <f t="shared" si="51"/>
        <v>808545</v>
      </c>
      <c r="J28" s="2218"/>
      <c r="K28" s="2219"/>
      <c r="L28" s="2219"/>
      <c r="M28" s="2219"/>
      <c r="N28" s="2219"/>
      <c r="O28" s="2219"/>
      <c r="P28" s="2219">
        <f>+[2]Zastupitelé!$B$31</f>
        <v>50000</v>
      </c>
      <c r="Q28" s="2219"/>
      <c r="R28" s="2219">
        <f t="shared" si="26"/>
        <v>530000</v>
      </c>
      <c r="S28" s="2220">
        <f>+[2]Správa!$D$39</f>
        <v>530000</v>
      </c>
      <c r="T28" s="2221">
        <f>+[2]Správa!$E$39</f>
        <v>0</v>
      </c>
      <c r="U28" s="2219"/>
      <c r="V28" s="2235">
        <f t="shared" si="56"/>
        <v>0</v>
      </c>
      <c r="W28" s="2219">
        <f>+'[2]Pečovatelská služba'!$B$32</f>
        <v>12000</v>
      </c>
      <c r="X28" s="2219"/>
      <c r="Y28" s="2219"/>
      <c r="Z28" s="2219">
        <f>+'[2]Městská policie'!$B$49</f>
        <v>94545</v>
      </c>
      <c r="AA28" s="2219"/>
      <c r="AB28" s="2219"/>
      <c r="AC28" s="2219">
        <f>+[2]Knihovna!$B$33</f>
        <v>12000</v>
      </c>
      <c r="AD28" s="2219"/>
      <c r="AE28" s="2219"/>
      <c r="AF28" s="2219">
        <f t="shared" si="27"/>
        <v>0</v>
      </c>
      <c r="AG28" s="2220"/>
      <c r="AH28" s="2220"/>
      <c r="AI28" s="2219">
        <f t="shared" si="28"/>
        <v>60000</v>
      </c>
      <c r="AJ28" s="2220">
        <f>+[3]DPS!$D$19</f>
        <v>60000</v>
      </c>
      <c r="AK28" s="2220">
        <f>+[3]DPS!$E$19</f>
        <v>0</v>
      </c>
      <c r="AL28" s="2219">
        <f t="shared" si="29"/>
        <v>0</v>
      </c>
      <c r="AM28" s="2220"/>
      <c r="AN28" s="2220"/>
      <c r="AO28" s="2236">
        <f>+[2]Hasiči!$B$33</f>
        <v>40000</v>
      </c>
      <c r="AP28" s="2219"/>
      <c r="AQ28" s="2219"/>
      <c r="AR28" s="2219">
        <f t="shared" si="30"/>
        <v>0</v>
      </c>
      <c r="AS28" s="2220"/>
      <c r="AT28" s="2220"/>
      <c r="AU28" s="2219">
        <f t="shared" si="31"/>
        <v>0</v>
      </c>
      <c r="AV28" s="2220"/>
      <c r="AW28" s="2220"/>
      <c r="AX28" s="2219">
        <f t="shared" si="57"/>
        <v>0</v>
      </c>
      <c r="AY28" s="2220"/>
      <c r="AZ28" s="2220"/>
      <c r="BA28" s="2219">
        <f t="shared" si="58"/>
        <v>0</v>
      </c>
      <c r="BB28" s="2220"/>
      <c r="BC28" s="2220"/>
      <c r="BD28" s="2219">
        <f t="shared" si="34"/>
        <v>0</v>
      </c>
      <c r="BE28" s="2220"/>
      <c r="BF28" s="2220"/>
      <c r="BG28" s="2219">
        <f t="shared" si="35"/>
        <v>0</v>
      </c>
      <c r="BH28" s="2220"/>
      <c r="BI28" s="2220"/>
      <c r="BJ28" s="2219">
        <f t="shared" si="36"/>
        <v>10000</v>
      </c>
      <c r="BK28" s="2220">
        <f>+[2]č.p.65!$D$18</f>
        <v>10000</v>
      </c>
      <c r="BL28" s="2220">
        <v>0</v>
      </c>
      <c r="BM28" s="2219">
        <f t="shared" si="37"/>
        <v>0</v>
      </c>
      <c r="BN28" s="2220"/>
      <c r="BO28" s="2220"/>
      <c r="BP28" s="2219">
        <f t="shared" si="38"/>
        <v>0</v>
      </c>
      <c r="BQ28" s="2220"/>
      <c r="BR28" s="2220"/>
      <c r="BS28" s="2219">
        <f t="shared" si="39"/>
        <v>0</v>
      </c>
      <c r="BT28" s="2220"/>
      <c r="BU28" s="2220"/>
      <c r="BV28" s="2219">
        <f t="shared" si="40"/>
        <v>0</v>
      </c>
      <c r="BW28" s="2220"/>
      <c r="BX28" s="2220"/>
      <c r="BY28" s="2219"/>
      <c r="BZ28" s="2219">
        <f t="shared" si="41"/>
        <v>0</v>
      </c>
      <c r="CA28" s="2220"/>
      <c r="CB28" s="2220"/>
      <c r="CC28" s="2219"/>
      <c r="CD28" s="2219">
        <f t="shared" si="42"/>
        <v>0</v>
      </c>
      <c r="CE28" s="2220"/>
      <c r="CF28" s="2220"/>
      <c r="CG28" s="2219">
        <f t="shared" si="43"/>
        <v>0</v>
      </c>
      <c r="CH28" s="2220"/>
      <c r="CI28" s="2220"/>
      <c r="CJ28" s="2219"/>
      <c r="CK28" s="2219">
        <f t="shared" si="44"/>
        <v>0</v>
      </c>
      <c r="CL28" s="2220"/>
      <c r="CM28" s="2220"/>
      <c r="CN28" s="2219"/>
      <c r="CO28" s="2220"/>
      <c r="CP28" s="2220"/>
      <c r="CQ28" s="2219"/>
      <c r="CR28" s="2220"/>
      <c r="CS28" s="2220"/>
      <c r="CT28" s="2219"/>
      <c r="CU28" s="2220"/>
      <c r="CV28" s="2220"/>
      <c r="CW28" s="2219">
        <f t="shared" si="45"/>
        <v>0</v>
      </c>
      <c r="CX28" s="2220"/>
      <c r="CY28" s="2220"/>
      <c r="CZ28" s="2219"/>
      <c r="DA28" s="2219">
        <f t="shared" si="46"/>
        <v>0</v>
      </c>
      <c r="DB28" s="2220"/>
      <c r="DC28" s="2220"/>
      <c r="DD28" s="2219">
        <f t="shared" si="47"/>
        <v>0</v>
      </c>
      <c r="DE28" s="2220"/>
      <c r="DF28" s="2220"/>
      <c r="DG28" s="2219">
        <f t="shared" si="48"/>
        <v>0</v>
      </c>
      <c r="DH28" s="2220"/>
      <c r="DI28" s="2220"/>
      <c r="DJ28" s="2219"/>
      <c r="DK28" s="2219">
        <f t="shared" si="49"/>
        <v>0</v>
      </c>
      <c r="DL28" s="2220"/>
      <c r="DM28" s="2220"/>
      <c r="DN28" s="2220"/>
      <c r="DO28" s="2219"/>
      <c r="DP28" s="2219"/>
      <c r="DQ28" s="2219"/>
      <c r="DR28" s="2219"/>
      <c r="DS28" s="2219"/>
      <c r="DT28" s="2219"/>
      <c r="DU28" s="2219"/>
      <c r="DV28" s="2219"/>
      <c r="DW28" s="2220"/>
      <c r="DX28" s="2220"/>
      <c r="DY28" s="2219"/>
      <c r="DZ28" s="2219"/>
      <c r="EA28" s="2223"/>
      <c r="EB28" s="2214">
        <f t="shared" si="53"/>
        <v>808545</v>
      </c>
      <c r="EC28" s="2173">
        <f t="shared" si="24"/>
        <v>0</v>
      </c>
      <c r="ED28" s="2174"/>
      <c r="EE28" s="2217">
        <f t="shared" si="54"/>
        <v>808545</v>
      </c>
      <c r="EF28" s="2174">
        <f t="shared" si="7"/>
        <v>0</v>
      </c>
      <c r="EG28" s="2217">
        <f t="shared" si="25"/>
        <v>0</v>
      </c>
      <c r="EI28" s="2216"/>
    </row>
    <row r="29" spans="1:139" ht="13.5" customHeight="1" outlineLevel="1">
      <c r="A29" s="2233">
        <v>5163</v>
      </c>
      <c r="B29" s="2206" t="s">
        <v>83</v>
      </c>
      <c r="C29" s="2217">
        <v>920000</v>
      </c>
      <c r="D29" s="2217">
        <v>1220000</v>
      </c>
      <c r="E29" s="2217">
        <v>1220000</v>
      </c>
      <c r="F29" s="2217">
        <v>1307990</v>
      </c>
      <c r="G29" s="2217">
        <v>1307990</v>
      </c>
      <c r="H29" s="2217">
        <v>1307990</v>
      </c>
      <c r="I29" s="2217">
        <f t="shared" si="51"/>
        <v>1307990</v>
      </c>
      <c r="J29" s="2218">
        <f>+[6]Úroky!$B$21</f>
        <v>80000</v>
      </c>
      <c r="K29" s="2219"/>
      <c r="L29" s="2219"/>
      <c r="M29" s="2219"/>
      <c r="N29" s="2219">
        <f>+'[3]Všeob. pokladna'!$B$4</f>
        <v>1197990</v>
      </c>
      <c r="O29" s="2219"/>
      <c r="P29" s="2219"/>
      <c r="Q29" s="2219"/>
      <c r="R29" s="2219">
        <f t="shared" si="26"/>
        <v>0</v>
      </c>
      <c r="S29" s="2220"/>
      <c r="T29" s="2221"/>
      <c r="U29" s="2219"/>
      <c r="V29" s="2235">
        <f t="shared" si="56"/>
        <v>0</v>
      </c>
      <c r="W29" s="2219"/>
      <c r="X29" s="2219"/>
      <c r="Y29" s="2219"/>
      <c r="Z29" s="2219"/>
      <c r="AA29" s="2219"/>
      <c r="AB29" s="2219"/>
      <c r="AC29" s="2219"/>
      <c r="AD29" s="2219"/>
      <c r="AE29" s="2219"/>
      <c r="AF29" s="2219">
        <f t="shared" si="27"/>
        <v>0</v>
      </c>
      <c r="AG29" s="2220"/>
      <c r="AH29" s="2220"/>
      <c r="AI29" s="2219">
        <f t="shared" si="28"/>
        <v>0</v>
      </c>
      <c r="AJ29" s="2220"/>
      <c r="AK29" s="2220"/>
      <c r="AL29" s="2219">
        <f t="shared" si="29"/>
        <v>0</v>
      </c>
      <c r="AM29" s="2220"/>
      <c r="AN29" s="2220"/>
      <c r="AO29" s="2236">
        <f>+[2]Hasiči!$B$40</f>
        <v>30000</v>
      </c>
      <c r="AP29" s="2219"/>
      <c r="AQ29" s="2219"/>
      <c r="AR29" s="2219">
        <f t="shared" si="30"/>
        <v>0</v>
      </c>
      <c r="AS29" s="2220"/>
      <c r="AT29" s="2220"/>
      <c r="AU29" s="2219">
        <f t="shared" si="31"/>
        <v>0</v>
      </c>
      <c r="AV29" s="2220"/>
      <c r="AW29" s="2220"/>
      <c r="AX29" s="2219">
        <f t="shared" si="57"/>
        <v>0</v>
      </c>
      <c r="AY29" s="2220"/>
      <c r="AZ29" s="2220"/>
      <c r="BA29" s="2219">
        <f t="shared" si="58"/>
        <v>0</v>
      </c>
      <c r="BB29" s="2220"/>
      <c r="BC29" s="2220"/>
      <c r="BD29" s="2219">
        <f t="shared" si="34"/>
        <v>0</v>
      </c>
      <c r="BE29" s="2220"/>
      <c r="BF29" s="2220"/>
      <c r="BG29" s="2219">
        <f t="shared" si="35"/>
        <v>0</v>
      </c>
      <c r="BH29" s="2220"/>
      <c r="BI29" s="2220"/>
      <c r="BJ29" s="2219">
        <f t="shared" si="36"/>
        <v>0</v>
      </c>
      <c r="BK29" s="2220"/>
      <c r="BL29" s="2220"/>
      <c r="BM29" s="2219">
        <f t="shared" si="37"/>
        <v>0</v>
      </c>
      <c r="BN29" s="2220"/>
      <c r="BO29" s="2220"/>
      <c r="BP29" s="2219">
        <f t="shared" si="38"/>
        <v>0</v>
      </c>
      <c r="BQ29" s="2220"/>
      <c r="BR29" s="2220"/>
      <c r="BS29" s="2219">
        <f t="shared" si="39"/>
        <v>0</v>
      </c>
      <c r="BT29" s="2220"/>
      <c r="BU29" s="2220"/>
      <c r="BV29" s="2219">
        <f t="shared" si="40"/>
        <v>0</v>
      </c>
      <c r="BW29" s="2220"/>
      <c r="BX29" s="2220"/>
      <c r="BY29" s="2219"/>
      <c r="BZ29" s="2219">
        <f t="shared" si="41"/>
        <v>0</v>
      </c>
      <c r="CA29" s="2220"/>
      <c r="CB29" s="2220"/>
      <c r="CC29" s="2219"/>
      <c r="CD29" s="2219">
        <f t="shared" si="42"/>
        <v>0</v>
      </c>
      <c r="CE29" s="2220"/>
      <c r="CF29" s="2220"/>
      <c r="CG29" s="2219">
        <f t="shared" si="43"/>
        <v>0</v>
      </c>
      <c r="CH29" s="2220"/>
      <c r="CI29" s="2220"/>
      <c r="CJ29" s="2219"/>
      <c r="CK29" s="2219">
        <f t="shared" si="44"/>
        <v>0</v>
      </c>
      <c r="CL29" s="2220"/>
      <c r="CM29" s="2220"/>
      <c r="CN29" s="2219"/>
      <c r="CO29" s="2220"/>
      <c r="CP29" s="2220"/>
      <c r="CQ29" s="2219"/>
      <c r="CR29" s="2220"/>
      <c r="CS29" s="2220"/>
      <c r="CT29" s="2219"/>
      <c r="CU29" s="2220"/>
      <c r="CV29" s="2220"/>
      <c r="CW29" s="2219">
        <f t="shared" si="45"/>
        <v>0</v>
      </c>
      <c r="CX29" s="2220"/>
      <c r="CY29" s="2220"/>
      <c r="CZ29" s="2219"/>
      <c r="DA29" s="2219">
        <f t="shared" si="46"/>
        <v>0</v>
      </c>
      <c r="DB29" s="2220"/>
      <c r="DC29" s="2220"/>
      <c r="DD29" s="2219">
        <f t="shared" si="47"/>
        <v>0</v>
      </c>
      <c r="DE29" s="2220"/>
      <c r="DF29" s="2220"/>
      <c r="DG29" s="2219">
        <f t="shared" si="48"/>
        <v>0</v>
      </c>
      <c r="DH29" s="2220"/>
      <c r="DI29" s="2220"/>
      <c r="DJ29" s="2219"/>
      <c r="DK29" s="2219">
        <f t="shared" si="49"/>
        <v>0</v>
      </c>
      <c r="DL29" s="2220"/>
      <c r="DM29" s="2220"/>
      <c r="DN29" s="2220"/>
      <c r="DO29" s="2219"/>
      <c r="DP29" s="2219"/>
      <c r="DQ29" s="2219"/>
      <c r="DR29" s="2219"/>
      <c r="DS29" s="2219"/>
      <c r="DT29" s="2219"/>
      <c r="DU29" s="2219"/>
      <c r="DV29" s="2219"/>
      <c r="DW29" s="2220"/>
      <c r="DX29" s="2220"/>
      <c r="DY29" s="2219"/>
      <c r="DZ29" s="2219"/>
      <c r="EA29" s="2223"/>
      <c r="EB29" s="2214">
        <f t="shared" si="53"/>
        <v>1307990</v>
      </c>
      <c r="EC29" s="2173">
        <f t="shared" si="24"/>
        <v>0</v>
      </c>
      <c r="ED29" s="2174"/>
      <c r="EE29" s="2217">
        <f t="shared" si="54"/>
        <v>1307990</v>
      </c>
      <c r="EF29" s="2174">
        <f t="shared" si="7"/>
        <v>0</v>
      </c>
      <c r="EG29" s="2217">
        <f t="shared" si="25"/>
        <v>0</v>
      </c>
      <c r="EI29" s="2216"/>
    </row>
    <row r="30" spans="1:139" ht="13.5" customHeight="1" outlineLevel="1">
      <c r="A30" s="2233">
        <v>5164</v>
      </c>
      <c r="B30" s="2206" t="s">
        <v>84</v>
      </c>
      <c r="C30" s="2217">
        <v>1538137</v>
      </c>
      <c r="D30" s="2217">
        <v>1699563</v>
      </c>
      <c r="E30" s="2217">
        <v>1683355</v>
      </c>
      <c r="F30" s="2217">
        <v>1583355</v>
      </c>
      <c r="G30" s="2217">
        <v>1583355</v>
      </c>
      <c r="H30" s="2217">
        <v>1623355</v>
      </c>
      <c r="I30" s="2217">
        <f t="shared" si="51"/>
        <v>1623355</v>
      </c>
      <c r="J30" s="2218"/>
      <c r="K30" s="2219"/>
      <c r="L30" s="2219"/>
      <c r="M30" s="2219"/>
      <c r="N30" s="2219">
        <f>+'[3]Všeob. pokladna'!$B$11</f>
        <v>7000</v>
      </c>
      <c r="O30" s="2219"/>
      <c r="P30" s="2219">
        <f>+[2]Zastupitelé!$B$37</f>
        <v>17000</v>
      </c>
      <c r="Q30" s="2219"/>
      <c r="R30" s="2219">
        <f t="shared" si="26"/>
        <v>0</v>
      </c>
      <c r="S30" s="2220"/>
      <c r="T30" s="2221"/>
      <c r="U30" s="2219"/>
      <c r="V30" s="2235">
        <f t="shared" si="56"/>
        <v>0</v>
      </c>
      <c r="W30" s="2219"/>
      <c r="X30" s="2219"/>
      <c r="Y30" s="2219"/>
      <c r="Z30" s="2219"/>
      <c r="AA30" s="2219"/>
      <c r="AB30" s="2219"/>
      <c r="AC30" s="2219">
        <f>+[2]Knihovna!$B$40</f>
        <v>192000</v>
      </c>
      <c r="AD30" s="2219"/>
      <c r="AE30" s="2219">
        <f>+[2]Kultura!$B$21</f>
        <v>80000</v>
      </c>
      <c r="AF30" s="2219">
        <f t="shared" si="27"/>
        <v>0</v>
      </c>
      <c r="AG30" s="2220">
        <f>+[3]Byty!$D$18</f>
        <v>0</v>
      </c>
      <c r="AH30" s="2220">
        <f>+[3]Byty!$E$18</f>
        <v>0</v>
      </c>
      <c r="AI30" s="2219">
        <f t="shared" si="28"/>
        <v>0</v>
      </c>
      <c r="AJ30" s="2220"/>
      <c r="AK30" s="2220"/>
      <c r="AL30" s="2219">
        <f t="shared" si="29"/>
        <v>0</v>
      </c>
      <c r="AM30" s="2220"/>
      <c r="AN30" s="2220"/>
      <c r="AO30" s="2219"/>
      <c r="AP30" s="2219"/>
      <c r="AQ30" s="2219"/>
      <c r="AR30" s="2219">
        <f t="shared" si="30"/>
        <v>0</v>
      </c>
      <c r="AS30" s="2220"/>
      <c r="AT30" s="2220"/>
      <c r="AU30" s="2219">
        <f t="shared" si="31"/>
        <v>0</v>
      </c>
      <c r="AV30" s="2220">
        <f>+[3]koupaliště!$D$12</f>
        <v>0</v>
      </c>
      <c r="AW30" s="2220">
        <f>+[3]koupaliště!$E$12</f>
        <v>0</v>
      </c>
      <c r="AX30" s="2219">
        <f t="shared" si="57"/>
        <v>0</v>
      </c>
      <c r="AY30" s="2220">
        <f>+[3]Hřiště!$D$4</f>
        <v>0</v>
      </c>
      <c r="AZ30" s="2220">
        <f>+[3]Hřiště!$E$4</f>
        <v>0</v>
      </c>
      <c r="BA30" s="2219">
        <f t="shared" si="58"/>
        <v>0</v>
      </c>
      <c r="BB30" s="2220">
        <f>+[3]Spolky!$D$4</f>
        <v>0</v>
      </c>
      <c r="BC30" s="2220">
        <f>+[3]Spolky!$E$4</f>
        <v>0</v>
      </c>
      <c r="BD30" s="2219">
        <f t="shared" si="34"/>
        <v>900000</v>
      </c>
      <c r="BE30" s="2220">
        <f>+[6]ZŠ!$B$25</f>
        <v>900000</v>
      </c>
      <c r="BF30" s="2220">
        <v>0</v>
      </c>
      <c r="BG30" s="2219">
        <f t="shared" si="35"/>
        <v>0</v>
      </c>
      <c r="BH30" s="2220">
        <f>+[6]SŠ!$B$25</f>
        <v>0</v>
      </c>
      <c r="BI30" s="2220"/>
      <c r="BJ30" s="2219">
        <f t="shared" si="36"/>
        <v>0</v>
      </c>
      <c r="BK30" s="2220"/>
      <c r="BL30" s="2220"/>
      <c r="BM30" s="2219">
        <f t="shared" si="37"/>
        <v>0</v>
      </c>
      <c r="BN30" s="2220"/>
      <c r="BO30" s="2220"/>
      <c r="BP30" s="2219">
        <f t="shared" si="38"/>
        <v>0</v>
      </c>
      <c r="BQ30" s="2220"/>
      <c r="BR30" s="2220"/>
      <c r="BS30" s="2219">
        <f t="shared" si="39"/>
        <v>0</v>
      </c>
      <c r="BT30" s="2220"/>
      <c r="BU30" s="2220"/>
      <c r="BV30" s="2219">
        <f t="shared" si="40"/>
        <v>0</v>
      </c>
      <c r="BW30" s="2220"/>
      <c r="BX30" s="2220"/>
      <c r="BY30" s="2219"/>
      <c r="BZ30" s="2219">
        <f t="shared" si="41"/>
        <v>0</v>
      </c>
      <c r="CA30" s="2220"/>
      <c r="CB30" s="2220"/>
      <c r="CC30" s="2219"/>
      <c r="CD30" s="2219">
        <f t="shared" si="42"/>
        <v>0</v>
      </c>
      <c r="CE30" s="2220"/>
      <c r="CF30" s="2220"/>
      <c r="CG30" s="2219">
        <f t="shared" si="43"/>
        <v>75855</v>
      </c>
      <c r="CH30" s="2238">
        <f>+[3]Silnice!$D$19+'[4]Silnice-nájem'!$B$4</f>
        <v>75855</v>
      </c>
      <c r="CI30" s="2220">
        <f>+[3]Silnice!$E$19</f>
        <v>0</v>
      </c>
      <c r="CJ30" s="2219"/>
      <c r="CK30" s="2219">
        <f t="shared" si="44"/>
        <v>0</v>
      </c>
      <c r="CL30" s="2220"/>
      <c r="CM30" s="2220"/>
      <c r="CN30" s="2219"/>
      <c r="CO30" s="2220"/>
      <c r="CP30" s="2220"/>
      <c r="CQ30" s="2219"/>
      <c r="CR30" s="2220"/>
      <c r="CS30" s="2220"/>
      <c r="CT30" s="2219"/>
      <c r="CU30" s="2220"/>
      <c r="CV30" s="2220"/>
      <c r="CW30" s="2219">
        <f t="shared" si="45"/>
        <v>0</v>
      </c>
      <c r="CX30" s="2220"/>
      <c r="CY30" s="2220"/>
      <c r="CZ30" s="2219"/>
      <c r="DA30" s="2219">
        <f t="shared" si="46"/>
        <v>0</v>
      </c>
      <c r="DB30" s="2220"/>
      <c r="DC30" s="2220"/>
      <c r="DD30" s="2219">
        <f t="shared" si="47"/>
        <v>0</v>
      </c>
      <c r="DE30" s="2220"/>
      <c r="DF30" s="2220"/>
      <c r="DG30" s="2219">
        <f t="shared" si="48"/>
        <v>0</v>
      </c>
      <c r="DH30" s="2220"/>
      <c r="DI30" s="2220"/>
      <c r="DJ30" s="2219"/>
      <c r="DK30" s="2219">
        <f t="shared" si="49"/>
        <v>0</v>
      </c>
      <c r="DL30" s="2220"/>
      <c r="DM30" s="2220"/>
      <c r="DN30" s="2220"/>
      <c r="DO30" s="2219">
        <f>+'[5]Rybníky 3749-2'!$B$13+[4]Rybníky!$B$4</f>
        <v>351500</v>
      </c>
      <c r="DP30" s="2219"/>
      <c r="DQ30" s="2219"/>
      <c r="DR30" s="2219"/>
      <c r="DS30" s="2219"/>
      <c r="DT30" s="2219"/>
      <c r="DU30" s="2219"/>
      <c r="DV30" s="2219"/>
      <c r="DW30" s="2220"/>
      <c r="DX30" s="2220"/>
      <c r="DY30" s="2219"/>
      <c r="DZ30" s="2219"/>
      <c r="EA30" s="2223"/>
      <c r="EB30" s="2214">
        <f t="shared" si="53"/>
        <v>1623355</v>
      </c>
      <c r="EC30" s="2173">
        <f t="shared" si="24"/>
        <v>0</v>
      </c>
      <c r="ED30" s="2174"/>
      <c r="EE30" s="2217">
        <f t="shared" si="54"/>
        <v>1623355</v>
      </c>
      <c r="EF30" s="2174">
        <f t="shared" si="7"/>
        <v>0</v>
      </c>
      <c r="EG30" s="2217">
        <f t="shared" si="25"/>
        <v>0</v>
      </c>
      <c r="EI30" s="2216"/>
    </row>
    <row r="31" spans="1:139" ht="13.5" customHeight="1" outlineLevel="1">
      <c r="A31" s="2233">
        <v>5166</v>
      </c>
      <c r="B31" s="2206" t="s">
        <v>85</v>
      </c>
      <c r="C31" s="2217">
        <v>700000</v>
      </c>
      <c r="D31" s="2217">
        <v>800000</v>
      </c>
      <c r="E31" s="2217">
        <v>800000</v>
      </c>
      <c r="F31" s="2217">
        <v>800000</v>
      </c>
      <c r="G31" s="2217">
        <v>800000</v>
      </c>
      <c r="H31" s="2217">
        <v>800000</v>
      </c>
      <c r="I31" s="2217">
        <f t="shared" si="51"/>
        <v>800000</v>
      </c>
      <c r="J31" s="2218"/>
      <c r="K31" s="2219"/>
      <c r="L31" s="2219"/>
      <c r="M31" s="2219"/>
      <c r="N31" s="2219"/>
      <c r="O31" s="2219"/>
      <c r="P31" s="2219"/>
      <c r="Q31" s="2219"/>
      <c r="R31" s="2219">
        <f t="shared" si="26"/>
        <v>800000</v>
      </c>
      <c r="S31" s="2243">
        <f>+[2]Správa!$D$46</f>
        <v>800000</v>
      </c>
      <c r="T31" s="2221">
        <f>+[2]Správa!$E$46</f>
        <v>0</v>
      </c>
      <c r="U31" s="2219"/>
      <c r="V31" s="2235">
        <f t="shared" si="56"/>
        <v>0</v>
      </c>
      <c r="W31" s="2219"/>
      <c r="X31" s="2219"/>
      <c r="Y31" s="2219"/>
      <c r="Z31" s="2219"/>
      <c r="AA31" s="2219"/>
      <c r="AB31" s="2219"/>
      <c r="AC31" s="2219"/>
      <c r="AD31" s="2219"/>
      <c r="AE31" s="2219"/>
      <c r="AF31" s="2219">
        <f t="shared" si="27"/>
        <v>0</v>
      </c>
      <c r="AG31" s="2220"/>
      <c r="AH31" s="2220"/>
      <c r="AI31" s="2219">
        <f t="shared" si="28"/>
        <v>0</v>
      </c>
      <c r="AJ31" s="2220"/>
      <c r="AK31" s="2220"/>
      <c r="AL31" s="2219">
        <f t="shared" si="29"/>
        <v>0</v>
      </c>
      <c r="AM31" s="2220"/>
      <c r="AN31" s="2220"/>
      <c r="AO31" s="2219"/>
      <c r="AP31" s="2219"/>
      <c r="AQ31" s="2219"/>
      <c r="AR31" s="2219">
        <f t="shared" si="30"/>
        <v>0</v>
      </c>
      <c r="AS31" s="2220"/>
      <c r="AT31" s="2220"/>
      <c r="AU31" s="2219">
        <f t="shared" si="31"/>
        <v>0</v>
      </c>
      <c r="AV31" s="2220"/>
      <c r="AW31" s="2220"/>
      <c r="AX31" s="2219">
        <f t="shared" si="57"/>
        <v>0</v>
      </c>
      <c r="AY31" s="2220"/>
      <c r="AZ31" s="2220"/>
      <c r="BA31" s="2219">
        <f t="shared" si="58"/>
        <v>0</v>
      </c>
      <c r="BB31" s="2220"/>
      <c r="BC31" s="2220"/>
      <c r="BD31" s="2219">
        <f t="shared" si="34"/>
        <v>0</v>
      </c>
      <c r="BE31" s="2220"/>
      <c r="BF31" s="2220"/>
      <c r="BG31" s="2219">
        <f t="shared" si="35"/>
        <v>0</v>
      </c>
      <c r="BH31" s="2220"/>
      <c r="BI31" s="2220"/>
      <c r="BJ31" s="2219">
        <f t="shared" si="36"/>
        <v>0</v>
      </c>
      <c r="BK31" s="2220"/>
      <c r="BL31" s="2220"/>
      <c r="BM31" s="2219">
        <f t="shared" si="37"/>
        <v>0</v>
      </c>
      <c r="BN31" s="2220"/>
      <c r="BO31" s="2220"/>
      <c r="BP31" s="2219">
        <f t="shared" si="38"/>
        <v>0</v>
      </c>
      <c r="BQ31" s="2220"/>
      <c r="BR31" s="2220"/>
      <c r="BS31" s="2219">
        <f t="shared" si="39"/>
        <v>0</v>
      </c>
      <c r="BT31" s="2220"/>
      <c r="BU31" s="2220"/>
      <c r="BV31" s="2219">
        <f t="shared" si="40"/>
        <v>0</v>
      </c>
      <c r="BW31" s="2220"/>
      <c r="BX31" s="2220"/>
      <c r="BY31" s="2219"/>
      <c r="BZ31" s="2219">
        <f t="shared" si="41"/>
        <v>0</v>
      </c>
      <c r="CA31" s="2220"/>
      <c r="CB31" s="2220"/>
      <c r="CC31" s="2219"/>
      <c r="CD31" s="2219">
        <f t="shared" si="42"/>
        <v>0</v>
      </c>
      <c r="CE31" s="2220"/>
      <c r="CF31" s="2220"/>
      <c r="CG31" s="2219">
        <f t="shared" si="43"/>
        <v>0</v>
      </c>
      <c r="CH31" s="2220"/>
      <c r="CI31" s="2220"/>
      <c r="CJ31" s="2219"/>
      <c r="CK31" s="2219">
        <f t="shared" si="44"/>
        <v>0</v>
      </c>
      <c r="CL31" s="2220"/>
      <c r="CM31" s="2220"/>
      <c r="CN31" s="2219"/>
      <c r="CO31" s="2220"/>
      <c r="CP31" s="2220"/>
      <c r="CQ31" s="2219"/>
      <c r="CR31" s="2220"/>
      <c r="CS31" s="2220"/>
      <c r="CT31" s="2219"/>
      <c r="CU31" s="2220"/>
      <c r="CV31" s="2220"/>
      <c r="CW31" s="2219">
        <f t="shared" si="45"/>
        <v>0</v>
      </c>
      <c r="CX31" s="2220"/>
      <c r="CY31" s="2220"/>
      <c r="CZ31" s="2219"/>
      <c r="DA31" s="2219">
        <f t="shared" si="46"/>
        <v>0</v>
      </c>
      <c r="DB31" s="2220"/>
      <c r="DC31" s="2220"/>
      <c r="DD31" s="2219">
        <f t="shared" si="47"/>
        <v>0</v>
      </c>
      <c r="DE31" s="2220"/>
      <c r="DF31" s="2220"/>
      <c r="DG31" s="2219">
        <f t="shared" si="48"/>
        <v>0</v>
      </c>
      <c r="DH31" s="2220"/>
      <c r="DI31" s="2220"/>
      <c r="DJ31" s="2219"/>
      <c r="DK31" s="2219">
        <f t="shared" si="49"/>
        <v>0</v>
      </c>
      <c r="DL31" s="2220"/>
      <c r="DM31" s="2220"/>
      <c r="DN31" s="2220"/>
      <c r="DO31" s="2219"/>
      <c r="DP31" s="2219"/>
      <c r="DQ31" s="2219"/>
      <c r="DR31" s="2219"/>
      <c r="DS31" s="2219"/>
      <c r="DT31" s="2219"/>
      <c r="DU31" s="2219"/>
      <c r="DV31" s="2219"/>
      <c r="DW31" s="2220"/>
      <c r="DX31" s="2220"/>
      <c r="DY31" s="2219"/>
      <c r="DZ31" s="2219"/>
      <c r="EA31" s="2223"/>
      <c r="EB31" s="2214">
        <f t="shared" si="53"/>
        <v>800000</v>
      </c>
      <c r="EC31" s="2173">
        <f t="shared" si="24"/>
        <v>0</v>
      </c>
      <c r="ED31" s="2174"/>
      <c r="EE31" s="2217">
        <f t="shared" si="54"/>
        <v>800000</v>
      </c>
      <c r="EF31" s="2174">
        <f t="shared" si="7"/>
        <v>0</v>
      </c>
      <c r="EG31" s="2217">
        <f t="shared" si="25"/>
        <v>0</v>
      </c>
      <c r="EI31" s="2216"/>
    </row>
    <row r="32" spans="1:139" ht="13.5" customHeight="1" outlineLevel="1">
      <c r="A32" s="2233">
        <v>5167</v>
      </c>
      <c r="B32" s="2206" t="s">
        <v>86</v>
      </c>
      <c r="C32" s="2217">
        <v>375000</v>
      </c>
      <c r="D32" s="2217">
        <v>912900</v>
      </c>
      <c r="E32" s="2217">
        <v>912900</v>
      </c>
      <c r="F32" s="2217">
        <v>912900</v>
      </c>
      <c r="G32" s="2217">
        <v>912900</v>
      </c>
      <c r="H32" s="2217">
        <v>912900</v>
      </c>
      <c r="I32" s="2217">
        <f t="shared" si="51"/>
        <v>912900</v>
      </c>
      <c r="J32" s="2218"/>
      <c r="K32" s="2219"/>
      <c r="L32" s="2219"/>
      <c r="M32" s="2219"/>
      <c r="N32" s="2219"/>
      <c r="O32" s="2219"/>
      <c r="P32" s="2219">
        <f>+[2]Zastupitelé!$B$44</f>
        <v>50000</v>
      </c>
      <c r="Q32" s="2219"/>
      <c r="R32" s="2219">
        <f t="shared" si="26"/>
        <v>200000</v>
      </c>
      <c r="S32" s="2243">
        <f>+[2]Správa!$D$53</f>
        <v>200000</v>
      </c>
      <c r="T32" s="2221">
        <f>+[2]Správa!$E$53</f>
        <v>0</v>
      </c>
      <c r="U32" s="2219"/>
      <c r="V32" s="2235">
        <f t="shared" si="56"/>
        <v>0</v>
      </c>
      <c r="W32" s="2219">
        <f>+'[2]Pečovatelská služba'!$B$45</f>
        <v>20000</v>
      </c>
      <c r="X32" s="2219"/>
      <c r="Y32" s="2219"/>
      <c r="Z32" s="2219">
        <f>+'[2]Městská policie'!$B$70</f>
        <v>567900</v>
      </c>
      <c r="AA32" s="2219"/>
      <c r="AB32" s="2219"/>
      <c r="AC32" s="2219">
        <f>+[2]Knihovna!$B$47</f>
        <v>5000</v>
      </c>
      <c r="AD32" s="2219"/>
      <c r="AE32" s="2219"/>
      <c r="AF32" s="2219">
        <f t="shared" si="27"/>
        <v>0</v>
      </c>
      <c r="AG32" s="2220"/>
      <c r="AH32" s="2220"/>
      <c r="AI32" s="2219">
        <f t="shared" si="28"/>
        <v>0</v>
      </c>
      <c r="AJ32" s="2220"/>
      <c r="AK32" s="2220"/>
      <c r="AL32" s="2219">
        <f t="shared" si="29"/>
        <v>0</v>
      </c>
      <c r="AM32" s="2220"/>
      <c r="AN32" s="2220"/>
      <c r="AO32" s="2236">
        <f>+[2]Hasiči!$B$47</f>
        <v>70000</v>
      </c>
      <c r="AP32" s="2219"/>
      <c r="AQ32" s="2219"/>
      <c r="AR32" s="2219">
        <f t="shared" si="30"/>
        <v>0</v>
      </c>
      <c r="AS32" s="2220"/>
      <c r="AT32" s="2220"/>
      <c r="AU32" s="2219">
        <f t="shared" si="31"/>
        <v>0</v>
      </c>
      <c r="AV32" s="2220"/>
      <c r="AW32" s="2220"/>
      <c r="AX32" s="2219">
        <f t="shared" si="57"/>
        <v>0</v>
      </c>
      <c r="AY32" s="2220"/>
      <c r="AZ32" s="2220"/>
      <c r="BA32" s="2219">
        <f t="shared" si="58"/>
        <v>0</v>
      </c>
      <c r="BB32" s="2220"/>
      <c r="BC32" s="2220"/>
      <c r="BD32" s="2219">
        <f t="shared" si="34"/>
        <v>0</v>
      </c>
      <c r="BE32" s="2220"/>
      <c r="BF32" s="2220"/>
      <c r="BG32" s="2219">
        <f t="shared" si="35"/>
        <v>0</v>
      </c>
      <c r="BH32" s="2220"/>
      <c r="BI32" s="2220"/>
      <c r="BJ32" s="2219">
        <f t="shared" si="36"/>
        <v>0</v>
      </c>
      <c r="BK32" s="2220"/>
      <c r="BL32" s="2220"/>
      <c r="BM32" s="2219">
        <f t="shared" si="37"/>
        <v>0</v>
      </c>
      <c r="BN32" s="2220"/>
      <c r="BO32" s="2220"/>
      <c r="BP32" s="2219">
        <f t="shared" si="38"/>
        <v>0</v>
      </c>
      <c r="BQ32" s="2220"/>
      <c r="BR32" s="2220"/>
      <c r="BS32" s="2219">
        <f t="shared" si="39"/>
        <v>0</v>
      </c>
      <c r="BT32" s="2220"/>
      <c r="BU32" s="2220"/>
      <c r="BV32" s="2219">
        <f t="shared" si="40"/>
        <v>0</v>
      </c>
      <c r="BW32" s="2220"/>
      <c r="BX32" s="2220"/>
      <c r="BY32" s="2219"/>
      <c r="BZ32" s="2219">
        <f t="shared" si="41"/>
        <v>0</v>
      </c>
      <c r="CA32" s="2220"/>
      <c r="CB32" s="2220"/>
      <c r="CC32" s="2219"/>
      <c r="CD32" s="2219">
        <f t="shared" si="42"/>
        <v>0</v>
      </c>
      <c r="CE32" s="2220"/>
      <c r="CF32" s="2220"/>
      <c r="CG32" s="2219">
        <f t="shared" si="43"/>
        <v>0</v>
      </c>
      <c r="CH32" s="2220"/>
      <c r="CI32" s="2220"/>
      <c r="CJ32" s="2219"/>
      <c r="CK32" s="2219">
        <f t="shared" si="44"/>
        <v>0</v>
      </c>
      <c r="CL32" s="2220"/>
      <c r="CM32" s="2220"/>
      <c r="CN32" s="2219"/>
      <c r="CO32" s="2220"/>
      <c r="CP32" s="2220"/>
      <c r="CQ32" s="2219"/>
      <c r="CR32" s="2220"/>
      <c r="CS32" s="2220"/>
      <c r="CT32" s="2219"/>
      <c r="CU32" s="2220"/>
      <c r="CV32" s="2220"/>
      <c r="CW32" s="2219">
        <f t="shared" si="45"/>
        <v>0</v>
      </c>
      <c r="CX32" s="2220"/>
      <c r="CY32" s="2220"/>
      <c r="CZ32" s="2219"/>
      <c r="DA32" s="2219">
        <f t="shared" si="46"/>
        <v>0</v>
      </c>
      <c r="DB32" s="2220"/>
      <c r="DC32" s="2220"/>
      <c r="DD32" s="2219">
        <f t="shared" si="47"/>
        <v>0</v>
      </c>
      <c r="DE32" s="2220"/>
      <c r="DF32" s="2220"/>
      <c r="DG32" s="2219">
        <f t="shared" si="48"/>
        <v>0</v>
      </c>
      <c r="DH32" s="2220"/>
      <c r="DI32" s="2220"/>
      <c r="DJ32" s="2219"/>
      <c r="DK32" s="2219">
        <f t="shared" si="49"/>
        <v>0</v>
      </c>
      <c r="DL32" s="2220"/>
      <c r="DM32" s="2220"/>
      <c r="DN32" s="2220"/>
      <c r="DO32" s="2219"/>
      <c r="DP32" s="2219"/>
      <c r="DQ32" s="2219"/>
      <c r="DR32" s="2219"/>
      <c r="DS32" s="2219"/>
      <c r="DT32" s="2219"/>
      <c r="DU32" s="2219"/>
      <c r="DV32" s="2219"/>
      <c r="DW32" s="2220"/>
      <c r="DX32" s="2220"/>
      <c r="DY32" s="2219"/>
      <c r="DZ32" s="2219"/>
      <c r="EA32" s="2223"/>
      <c r="EB32" s="2214">
        <f t="shared" si="53"/>
        <v>912900</v>
      </c>
      <c r="EC32" s="2173">
        <f t="shared" si="24"/>
        <v>0</v>
      </c>
      <c r="ED32" s="2174"/>
      <c r="EE32" s="2217">
        <f t="shared" si="54"/>
        <v>912900</v>
      </c>
      <c r="EF32" s="2174">
        <f t="shared" si="7"/>
        <v>0</v>
      </c>
      <c r="EG32" s="2217">
        <f t="shared" si="25"/>
        <v>0</v>
      </c>
      <c r="EI32" s="2216"/>
    </row>
    <row r="33" spans="1:139" ht="13.5" customHeight="1" outlineLevel="1">
      <c r="A33" s="2233">
        <v>5168</v>
      </c>
      <c r="B33" s="2206" t="s">
        <v>87</v>
      </c>
      <c r="C33" s="2217">
        <v>615000</v>
      </c>
      <c r="D33" s="2217">
        <v>915000</v>
      </c>
      <c r="E33" s="2217">
        <v>965000</v>
      </c>
      <c r="F33" s="2217">
        <v>967420</v>
      </c>
      <c r="G33" s="2217">
        <v>967420</v>
      </c>
      <c r="H33" s="2217">
        <v>967420</v>
      </c>
      <c r="I33" s="2217">
        <f t="shared" si="51"/>
        <v>967420</v>
      </c>
      <c r="J33" s="2218"/>
      <c r="K33" s="2219"/>
      <c r="L33" s="2219"/>
      <c r="M33" s="2219"/>
      <c r="N33" s="2219">
        <f>+'[3]Všeob. pokladna'!$B$18</f>
        <v>165000</v>
      </c>
      <c r="O33" s="2219"/>
      <c r="P33" s="2219"/>
      <c r="Q33" s="2219"/>
      <c r="R33" s="2219">
        <f t="shared" si="26"/>
        <v>0</v>
      </c>
      <c r="S33" s="2220"/>
      <c r="T33" s="2221"/>
      <c r="U33" s="2219"/>
      <c r="V33" s="2235">
        <f t="shared" si="56"/>
        <v>0</v>
      </c>
      <c r="W33" s="2219"/>
      <c r="X33" s="2219"/>
      <c r="Y33" s="2219"/>
      <c r="Z33" s="2219"/>
      <c r="AA33" s="2219"/>
      <c r="AB33" s="2219"/>
      <c r="AC33" s="2219"/>
      <c r="AD33" s="2219"/>
      <c r="AE33" s="2219"/>
      <c r="AF33" s="2219">
        <f t="shared" si="27"/>
        <v>0</v>
      </c>
      <c r="AG33" s="2220"/>
      <c r="AH33" s="2220"/>
      <c r="AI33" s="2219">
        <f t="shared" si="28"/>
        <v>0</v>
      </c>
      <c r="AJ33" s="2220"/>
      <c r="AK33" s="2220"/>
      <c r="AL33" s="2219">
        <f t="shared" si="29"/>
        <v>0</v>
      </c>
      <c r="AM33" s="2220"/>
      <c r="AN33" s="2220"/>
      <c r="AO33" s="2219"/>
      <c r="AP33" s="2219"/>
      <c r="AQ33" s="2219"/>
      <c r="AR33" s="2219">
        <f t="shared" si="30"/>
        <v>0</v>
      </c>
      <c r="AS33" s="2220"/>
      <c r="AT33" s="2220"/>
      <c r="AU33" s="2219">
        <f t="shared" si="31"/>
        <v>0</v>
      </c>
      <c r="AV33" s="2220"/>
      <c r="AW33" s="2220"/>
      <c r="AX33" s="2219">
        <f t="shared" si="57"/>
        <v>0</v>
      </c>
      <c r="AY33" s="2220"/>
      <c r="AZ33" s="2220"/>
      <c r="BA33" s="2219">
        <f t="shared" si="58"/>
        <v>0</v>
      </c>
      <c r="BB33" s="2220"/>
      <c r="BC33" s="2220"/>
      <c r="BD33" s="2219">
        <f t="shared" si="34"/>
        <v>0</v>
      </c>
      <c r="BE33" s="2220"/>
      <c r="BF33" s="2220"/>
      <c r="BG33" s="2219">
        <f t="shared" si="35"/>
        <v>0</v>
      </c>
      <c r="BH33" s="2220"/>
      <c r="BI33" s="2220"/>
      <c r="BJ33" s="2219">
        <f t="shared" si="36"/>
        <v>0</v>
      </c>
      <c r="BK33" s="2220"/>
      <c r="BL33" s="2220"/>
      <c r="BM33" s="2219">
        <f t="shared" si="37"/>
        <v>0</v>
      </c>
      <c r="BN33" s="2220"/>
      <c r="BO33" s="2220"/>
      <c r="BP33" s="2219">
        <f t="shared" si="38"/>
        <v>0</v>
      </c>
      <c r="BQ33" s="2220"/>
      <c r="BR33" s="2220"/>
      <c r="BS33" s="2219">
        <f t="shared" si="39"/>
        <v>0</v>
      </c>
      <c r="BT33" s="2220"/>
      <c r="BU33" s="2220"/>
      <c r="BV33" s="2219">
        <f t="shared" si="40"/>
        <v>0</v>
      </c>
      <c r="BW33" s="2220"/>
      <c r="BX33" s="2220"/>
      <c r="BY33" s="2219"/>
      <c r="BZ33" s="2219">
        <f t="shared" si="41"/>
        <v>0</v>
      </c>
      <c r="CA33" s="2220"/>
      <c r="CB33" s="2220"/>
      <c r="CC33" s="2219">
        <f>'[5]Územní plán 3635'!$B$12</f>
        <v>750000</v>
      </c>
      <c r="CD33" s="2219">
        <f t="shared" si="42"/>
        <v>0</v>
      </c>
      <c r="CE33" s="2220"/>
      <c r="CF33" s="2220"/>
      <c r="CG33" s="2219">
        <f t="shared" si="43"/>
        <v>0</v>
      </c>
      <c r="CH33" s="2220"/>
      <c r="CI33" s="2220"/>
      <c r="CJ33" s="2219"/>
      <c r="CK33" s="2219">
        <f t="shared" si="44"/>
        <v>0</v>
      </c>
      <c r="CL33" s="2220"/>
      <c r="CM33" s="2220"/>
      <c r="CN33" s="2219"/>
      <c r="CO33" s="2220"/>
      <c r="CP33" s="2220"/>
      <c r="CQ33" s="2219"/>
      <c r="CR33" s="2220"/>
      <c r="CS33" s="2220"/>
      <c r="CT33" s="2219"/>
      <c r="CU33" s="2220"/>
      <c r="CV33" s="2220"/>
      <c r="CW33" s="2219">
        <f t="shared" si="45"/>
        <v>0</v>
      </c>
      <c r="CX33" s="2220"/>
      <c r="CY33" s="2220"/>
      <c r="CZ33" s="2219"/>
      <c r="DA33" s="2219">
        <f t="shared" si="46"/>
        <v>0</v>
      </c>
      <c r="DB33" s="2220"/>
      <c r="DC33" s="2220"/>
      <c r="DD33" s="2219">
        <f t="shared" si="47"/>
        <v>0</v>
      </c>
      <c r="DE33" s="2220"/>
      <c r="DF33" s="2220"/>
      <c r="DG33" s="2219">
        <f t="shared" si="48"/>
        <v>0</v>
      </c>
      <c r="DH33" s="2220"/>
      <c r="DI33" s="2220"/>
      <c r="DJ33" s="2219"/>
      <c r="DK33" s="2219">
        <f>+DL33+DM33+DN33</f>
        <v>52420</v>
      </c>
      <c r="DL33" s="2220">
        <f>+'[7]Příroda 3749'!$B$12</f>
        <v>52420</v>
      </c>
      <c r="DM33" s="2220"/>
      <c r="DN33" s="2220"/>
      <c r="DO33" s="2219"/>
      <c r="DP33" s="2219"/>
      <c r="DQ33" s="2219"/>
      <c r="DR33" s="2219"/>
      <c r="DS33" s="2219"/>
      <c r="DT33" s="2219"/>
      <c r="DU33" s="2219"/>
      <c r="DV33" s="2219"/>
      <c r="DW33" s="2220"/>
      <c r="DX33" s="2220"/>
      <c r="DY33" s="2219"/>
      <c r="DZ33" s="2219"/>
      <c r="EA33" s="2223"/>
      <c r="EB33" s="2214">
        <f t="shared" si="53"/>
        <v>967420</v>
      </c>
      <c r="EC33" s="2173">
        <f>EB33-I33</f>
        <v>0</v>
      </c>
      <c r="ED33" s="2174"/>
      <c r="EE33" s="2217">
        <f t="shared" si="54"/>
        <v>967420</v>
      </c>
      <c r="EF33" s="2174">
        <f t="shared" si="7"/>
        <v>0</v>
      </c>
      <c r="EG33" s="2217">
        <f t="shared" si="25"/>
        <v>0</v>
      </c>
      <c r="EI33" s="2216"/>
    </row>
    <row r="34" spans="1:139" ht="13.5" customHeight="1" outlineLevel="1">
      <c r="A34" s="2233">
        <v>5169</v>
      </c>
      <c r="B34" s="2206" t="s">
        <v>88</v>
      </c>
      <c r="C34" s="2217">
        <v>18979100</v>
      </c>
      <c r="D34" s="2217">
        <v>22138600</v>
      </c>
      <c r="E34" s="2217">
        <v>22388600</v>
      </c>
      <c r="F34" s="2217">
        <v>23057600</v>
      </c>
      <c r="G34" s="2217">
        <v>23057600</v>
      </c>
      <c r="H34" s="2217">
        <v>26481700</v>
      </c>
      <c r="I34" s="2217">
        <f>SUM(J34:R34)+SUM(W34:AF34)+AI34+AL34+SUM(AO34:AR34)+AU34+BD34+BJ34+BM34+BP34+BS34+BV34+BY34+BZ34+CC34+CD34+CG34+SUM(CJ34:CK34)+CT34+CW34+CZ34+DA34+DD34+DG34+DJ34+DK34+SUM(DO34:DV34)+CN34+CQ34+SUM(DY34:EA34)+U34+AX34+BA34+BG34</f>
        <v>26481700</v>
      </c>
      <c r="J34" s="2218"/>
      <c r="K34" s="2219"/>
      <c r="L34" s="2219"/>
      <c r="M34" s="2219"/>
      <c r="N34" s="2219">
        <f>+'[3]Všeob. pokladna'!$B$25</f>
        <v>250000</v>
      </c>
      <c r="O34" s="2219"/>
      <c r="P34" s="2219">
        <f>+[2]Zastupitelé!$B$51</f>
        <v>50000</v>
      </c>
      <c r="Q34" s="2219"/>
      <c r="R34" s="2219">
        <f t="shared" si="26"/>
        <v>1665000</v>
      </c>
      <c r="S34" s="2220">
        <f>[3]Správa!$D$4+[2]Správa!$D$60</f>
        <v>1665000</v>
      </c>
      <c r="T34" s="2221">
        <f>+[2]Správa!$E$60+[3]Správa!$E$4</f>
        <v>0</v>
      </c>
      <c r="U34" s="2219"/>
      <c r="V34" s="2239">
        <f>+T34+AT34+CI34+CF34+CB34+DN34+AH34+AN34+AW34+AZ34+BF34+BL34+BO34+BR34+BU34+BX34+CM34+CY34+DC34+DF34+DI34+AK34+DX34+BC34+BI34+CP34+CS34+CV34</f>
        <v>9770000</v>
      </c>
      <c r="W34" s="2219">
        <f>+'[2]Pečovatelská služba'!$B$52</f>
        <v>30000</v>
      </c>
      <c r="X34" s="2236">
        <f>+'[2]Senior taxi'!$B$4</f>
        <v>600000</v>
      </c>
      <c r="Y34" s="2236">
        <f>+'[2]Agentura SCSA'!$B$4</f>
        <v>300000</v>
      </c>
      <c r="Z34" s="2219">
        <f>+'[2]Městská policie'!$B$77</f>
        <v>170000</v>
      </c>
      <c r="AA34" s="2219">
        <f>+[2]Kronika!$B$18</f>
        <v>100000</v>
      </c>
      <c r="AB34" s="2219">
        <f>+'[3]Hotel Budka'!$B$18</f>
        <v>0</v>
      </c>
      <c r="AC34" s="2219">
        <f>+[2]Knihovna!$B$54+[3]Knihovna!$B$19</f>
        <v>110000</v>
      </c>
      <c r="AD34" s="2219">
        <f>+'[2]Život Úval'!$B$11</f>
        <v>550000</v>
      </c>
      <c r="AE34" s="2219">
        <f>+[2]Kultura!$B$28</f>
        <v>1100000</v>
      </c>
      <c r="AF34" s="2219">
        <f t="shared" ref="AF34:AF37" si="59">+AG34+AH34</f>
        <v>1420000</v>
      </c>
      <c r="AG34" s="2220">
        <f>+[3]Byty!$D$25</f>
        <v>1420000</v>
      </c>
      <c r="AH34" s="2220">
        <f>+[3]Byty!$E$25</f>
        <v>0</v>
      </c>
      <c r="AI34" s="2219">
        <f t="shared" ref="AI34:AI37" si="60">+AJ34+AK34</f>
        <v>220000</v>
      </c>
      <c r="AJ34" s="2220">
        <f>+[3]DPS!$D$26</f>
        <v>220000</v>
      </c>
      <c r="AK34" s="2220">
        <f>+[3]DPS!$E$26</f>
        <v>0</v>
      </c>
      <c r="AL34" s="2219">
        <f t="shared" ref="AL34:AL37" si="61">+AM34+AN34</f>
        <v>300000</v>
      </c>
      <c r="AM34" s="2220">
        <f>+[3]Nebyty!$D$4</f>
        <v>300000</v>
      </c>
      <c r="AN34" s="2220">
        <f>+[3]Nebyty!$E$4</f>
        <v>0</v>
      </c>
      <c r="AO34" s="2236">
        <f>+[2]Hasiči!$B$54+[3]Hasiči!$B$18</f>
        <v>50000</v>
      </c>
      <c r="AP34" s="2219">
        <f>+'[3]Zdrav. středisko'!$B$4</f>
        <v>80000</v>
      </c>
      <c r="AQ34" s="2219">
        <f>+[3]Tesko!$B$4</f>
        <v>0</v>
      </c>
      <c r="AR34" s="2219">
        <f t="shared" ref="AR34:AR37" si="62">+AS34+AT34</f>
        <v>50000</v>
      </c>
      <c r="AS34" s="2220">
        <f>+[3]Hřbitov!$D$18</f>
        <v>50000</v>
      </c>
      <c r="AT34" s="2220">
        <f>+[3]Hřbitov!$E$18</f>
        <v>0</v>
      </c>
      <c r="AU34" s="2219">
        <f t="shared" ref="AU34:AU37" si="63">+AV34+AW34</f>
        <v>40000</v>
      </c>
      <c r="AV34" s="2220">
        <f>+[3]koupaliště!$D$20</f>
        <v>40000</v>
      </c>
      <c r="AW34" s="2220">
        <f>+[3]koupaliště!$E$20</f>
        <v>0</v>
      </c>
      <c r="AX34" s="2219">
        <f t="shared" si="57"/>
        <v>924100</v>
      </c>
      <c r="AY34" s="2220">
        <f>+[3]Hřiště!$D$14</f>
        <v>854100</v>
      </c>
      <c r="AZ34" s="2220">
        <f>+[3]Hřiště!$E$14</f>
        <v>70000</v>
      </c>
      <c r="BA34" s="2219">
        <f t="shared" si="58"/>
        <v>550000</v>
      </c>
      <c r="BB34" s="2220">
        <f>+[3]Spolky!$D$14</f>
        <v>550000</v>
      </c>
      <c r="BC34" s="2220">
        <f>+[3]Spolky!$E$14</f>
        <v>0</v>
      </c>
      <c r="BD34" s="2219">
        <f t="shared" ref="BD34:BD37" si="64">+BE34+BF34</f>
        <v>100000</v>
      </c>
      <c r="BE34" s="2220">
        <f>+[3]ZŠ!$D$4</f>
        <v>100000</v>
      </c>
      <c r="BF34" s="2220">
        <f>+[3]ZŠ!$E$4</f>
        <v>0</v>
      </c>
      <c r="BG34" s="2219">
        <f t="shared" si="35"/>
        <v>0</v>
      </c>
      <c r="BH34" s="2220"/>
      <c r="BI34" s="2220"/>
      <c r="BJ34" s="2219">
        <f t="shared" ref="BJ34:BJ37" si="65">+BK34+BL34</f>
        <v>80000</v>
      </c>
      <c r="BK34" s="2220">
        <f>+[2]č.p.65!$D$25+'[3]Č.p. 65'!$D$4</f>
        <v>80000</v>
      </c>
      <c r="BL34" s="2220">
        <f>+'[3]Č.p. 65'!$E$4</f>
        <v>0</v>
      </c>
      <c r="BM34" s="2219">
        <f t="shared" ref="BM34:BM37" si="66">+BN34+BO34</f>
        <v>30000</v>
      </c>
      <c r="BN34" s="2220">
        <f>+[3]MDDM!$D$4</f>
        <v>30000</v>
      </c>
      <c r="BO34" s="2220">
        <f>+[3]MDDM!$E$4</f>
        <v>0</v>
      </c>
      <c r="BP34" s="2219">
        <f t="shared" ref="BP34:BP37" si="67">+BQ34+BR34</f>
        <v>50000</v>
      </c>
      <c r="BQ34" s="2220">
        <f>+'[3]MŠ Pražská'!$D$4</f>
        <v>50000</v>
      </c>
      <c r="BR34" s="2220">
        <f>+'[3]MŠ Pražská'!$E$4</f>
        <v>0</v>
      </c>
      <c r="BS34" s="2219">
        <f t="shared" ref="BS34:BS37" si="68">+BT34+BU34</f>
        <v>100000</v>
      </c>
      <c r="BT34" s="2220">
        <f>+'[3]MŠ Kollárova'!$D$4</f>
        <v>100000</v>
      </c>
      <c r="BU34" s="2220">
        <f>+'[3]MŠ Kollárova'!$E$4</f>
        <v>0</v>
      </c>
      <c r="BV34" s="2219">
        <f t="shared" ref="BV34:BV37" si="69">+BW34+BX34</f>
        <v>0</v>
      </c>
      <c r="BW34" s="2220">
        <f>+'[3]Jídelna ZŠ'!$D$4</f>
        <v>0</v>
      </c>
      <c r="BX34" s="2220">
        <f>+'[3]Jídelna ZŠ'!$E$4</f>
        <v>0</v>
      </c>
      <c r="BY34" s="2219">
        <f>+'[3]Jídelna MŠ'!$B$4</f>
        <v>20000</v>
      </c>
      <c r="BZ34" s="2219">
        <f t="shared" ref="BZ34:BZ37" si="70">+CA34+CB34</f>
        <v>430000</v>
      </c>
      <c r="CA34" s="2220">
        <f>+'[3]MŠ Cukrovar'!$D$4</f>
        <v>430000</v>
      </c>
      <c r="CB34" s="2220">
        <f>+'[3]MŠ Cukrovar'!$E$4</f>
        <v>0</v>
      </c>
      <c r="CC34" s="2219">
        <f>'[5]Územní plán 3635'!$B$20</f>
        <v>100000</v>
      </c>
      <c r="CD34" s="2219">
        <f t="shared" ref="CD34:CD37" si="71">+CE34+CF34</f>
        <v>192100</v>
      </c>
      <c r="CE34" s="2220">
        <f>+[3]VO!$D$20</f>
        <v>192100</v>
      </c>
      <c r="CF34" s="2220">
        <f>+[3]VO!$E$20</f>
        <v>0</v>
      </c>
      <c r="CG34" s="2219">
        <f t="shared" si="43"/>
        <v>1790000</v>
      </c>
      <c r="CH34" s="2238">
        <f>+[3]Silnice!$D$30+'[4]Silnice světelná křižovatka'!$D$3</f>
        <v>1790000</v>
      </c>
      <c r="CI34" s="2220">
        <f>+[3]Silnice!$E$30+'[4]Silnice světelná křižovatka'!$E$3</f>
        <v>0</v>
      </c>
      <c r="CJ34" s="2219"/>
      <c r="CK34" s="2219">
        <f t="shared" si="44"/>
        <v>250000</v>
      </c>
      <c r="CL34" s="2244">
        <f>+[3]Vodovod!$D$11</f>
        <v>250000</v>
      </c>
      <c r="CM34" s="2220">
        <f>+[3]Vodovod!$E$11</f>
        <v>0</v>
      </c>
      <c r="CN34" s="2219"/>
      <c r="CO34" s="2244"/>
      <c r="CP34" s="2220"/>
      <c r="CQ34" s="2219">
        <f>+CR34+CS34</f>
        <v>3320000</v>
      </c>
      <c r="CR34" s="2244">
        <f>+[3]Kanalizace!$D$11</f>
        <v>3320000</v>
      </c>
      <c r="CS34" s="2220">
        <f>+[3]Kanalizace!$E$11</f>
        <v>0</v>
      </c>
      <c r="CT34" s="2219"/>
      <c r="CU34" s="2244"/>
      <c r="CV34" s="2220"/>
      <c r="CW34" s="2219">
        <f>CX34+CY34</f>
        <v>450000</v>
      </c>
      <c r="CX34" s="2220">
        <f>+'[3]Inženýrské sítě'!$D$4</f>
        <v>150000</v>
      </c>
      <c r="CY34" s="2220">
        <f>+'[3]Inženýrské sítě'!$E$4</f>
        <v>300000</v>
      </c>
      <c r="CZ34" s="2219">
        <f>+'[7]Lesy 1036'!$B$4</f>
        <v>100000</v>
      </c>
      <c r="DA34" s="2219">
        <f t="shared" si="46"/>
        <v>7100000</v>
      </c>
      <c r="DB34" s="2220">
        <f>+'[7]Popelnice 3722'!$D$20</f>
        <v>50000</v>
      </c>
      <c r="DC34" s="2220">
        <f>+'[7]Popelnice 3722'!$E$20</f>
        <v>7050000</v>
      </c>
      <c r="DD34" s="2240">
        <f t="shared" si="47"/>
        <v>0</v>
      </c>
      <c r="DE34" s="2220">
        <v>0</v>
      </c>
      <c r="DF34" s="2238">
        <v>0</v>
      </c>
      <c r="DG34" s="2240">
        <f t="shared" si="48"/>
        <v>100000</v>
      </c>
      <c r="DH34" s="2220">
        <f>+'[7]Černé skládky 3729'!$D$4</f>
        <v>0</v>
      </c>
      <c r="DI34" s="2238">
        <f>+'[7]Černé skládky 3729'!$E$4</f>
        <v>100000</v>
      </c>
      <c r="DJ34" s="2219">
        <f>+'[7]Povodeň 3744'!$B$12</f>
        <v>101500</v>
      </c>
      <c r="DK34" s="2240">
        <f t="shared" si="49"/>
        <v>3604000</v>
      </c>
      <c r="DL34" s="2220">
        <f>+'[7]Příroda 3749'!$D$20</f>
        <v>1354000</v>
      </c>
      <c r="DM34" s="2220"/>
      <c r="DN34" s="2238">
        <f>+'[7]Příroda 3749'!$E$20</f>
        <v>2250000</v>
      </c>
      <c r="DO34" s="2219">
        <f>+[3]Rybníky!$B$4</f>
        <v>5000</v>
      </c>
      <c r="DP34" s="2219"/>
      <c r="DQ34" s="2219"/>
      <c r="DR34" s="2219"/>
      <c r="DS34" s="2219"/>
      <c r="DT34" s="2219"/>
      <c r="DU34" s="2219"/>
      <c r="DV34" s="2240">
        <f>+DW34+DX34</f>
        <v>0</v>
      </c>
      <c r="DW34" s="2220">
        <f>'[5]TSÚ-Sběrný dvůr 3722-36'!$D$13</f>
        <v>0</v>
      </c>
      <c r="DX34" s="2238">
        <f>'[5]TSÚ-Sběrný dvůr 3722-36'!$E$13</f>
        <v>0</v>
      </c>
      <c r="DY34" s="2219"/>
      <c r="DZ34" s="2219"/>
      <c r="EA34" s="2223"/>
      <c r="EB34" s="2214">
        <f>+J34+K34+L34+N34+P34+Q34+R34+U34+V34+W34+Y34+Z34+AA34+AC34+AD34+AE34+AF34+AI34+AL34+AO34+AP34+AQ34+AR34+AU34+BD34+BJ34+BM34+BP34+BS34+BV34+BY34+BZ34+CC34+CD34+CG34+CJ34+CK34+CN34+CQ34+CT34+CW34+CZ34+DA34+DD34+DG34+DJ34+DK34+DO34+DP34+DQ34+DR34+DS34+DU34+DV34+DY34+DZ34+EA34+BG34+BA34+AX34+AB34-V34+M34+O34+X34</f>
        <v>26481700</v>
      </c>
      <c r="EC34" s="2173">
        <f>EB34-I34</f>
        <v>0</v>
      </c>
      <c r="ED34" s="2174"/>
      <c r="EE34" s="2217">
        <f t="shared" si="54"/>
        <v>16711700</v>
      </c>
      <c r="EF34" s="2174">
        <f t="shared" si="7"/>
        <v>0</v>
      </c>
      <c r="EG34" s="2217">
        <f>+T34+AH34+AK34++AN34+AT34+AW34+BF34+BL34+BO34+BR34+BU34+BX34+CB34+CF34+CI34+CM34+CY34+DC34+DF34+DI34+DN34+CV34+CS34+CP34+BI34+BC34+AZ34</f>
        <v>9770000</v>
      </c>
      <c r="EI34" s="2216"/>
    </row>
    <row r="35" spans="1:139" ht="13.5" customHeight="1" outlineLevel="1">
      <c r="A35" s="2233">
        <v>5171</v>
      </c>
      <c r="B35" s="2206" t="s">
        <v>89</v>
      </c>
      <c r="C35" s="2217">
        <v>18476480</v>
      </c>
      <c r="D35" s="2217">
        <v>37319480</v>
      </c>
      <c r="E35" s="2217">
        <v>42048000</v>
      </c>
      <c r="F35" s="2217">
        <v>44558000</v>
      </c>
      <c r="G35" s="2217">
        <v>44558000</v>
      </c>
      <c r="H35" s="2217">
        <v>51344200</v>
      </c>
      <c r="I35" s="2217">
        <f t="shared" si="51"/>
        <v>51344200</v>
      </c>
      <c r="J35" s="2218"/>
      <c r="K35" s="2219"/>
      <c r="L35" s="2219"/>
      <c r="M35" s="2219"/>
      <c r="N35" s="2219">
        <f>+'[3]Všeob. pokladna'!$B$32</f>
        <v>0</v>
      </c>
      <c r="O35" s="2219"/>
      <c r="P35" s="2219"/>
      <c r="Q35" s="2219"/>
      <c r="R35" s="2219">
        <f t="shared" si="26"/>
        <v>800000</v>
      </c>
      <c r="S35" s="2220">
        <f>+[3]Správa!$D$11+[2]Správa!$D$68</f>
        <v>800000</v>
      </c>
      <c r="T35" s="2221">
        <f>+[2]Správa!$E$68+[3]Správa!$E$11</f>
        <v>0</v>
      </c>
      <c r="U35" s="2219"/>
      <c r="V35" s="2239">
        <f>+T35+AT35+CI35+CF35+CB35+DN35+AH35+AN35+AW35+AZ35+BF35+BL35+BO35+BR35+BU35+BX35+CM35+CY35+DC35+DF35+DI35+AK35+DX35+BC35+BI35+CP35+CS35+CV35</f>
        <v>3770000</v>
      </c>
      <c r="W35" s="2219">
        <f>+'[2]Pečovatelská služba'!$B$59</f>
        <v>75000</v>
      </c>
      <c r="X35" s="2219"/>
      <c r="Y35" s="2219"/>
      <c r="Z35" s="2219">
        <f>+'[2]Městská policie'!$B$85</f>
        <v>143000</v>
      </c>
      <c r="AA35" s="2219"/>
      <c r="AB35" s="2219">
        <f>+'[3]Hotel Budka'!$B$25</f>
        <v>200000</v>
      </c>
      <c r="AC35" s="2219">
        <f>+[2]Knihovna!$B$62+[3]Knihovna!$B$26</f>
        <v>15000</v>
      </c>
      <c r="AD35" s="2219"/>
      <c r="AE35" s="2219"/>
      <c r="AF35" s="2219">
        <f t="shared" si="59"/>
        <v>5340000</v>
      </c>
      <c r="AG35" s="2220">
        <f>+[3]Byty!$D$32</f>
        <v>5310000</v>
      </c>
      <c r="AH35" s="2220">
        <f>+[3]Byty!$E$32</f>
        <v>30000</v>
      </c>
      <c r="AI35" s="2219">
        <f t="shared" si="60"/>
        <v>3410000</v>
      </c>
      <c r="AJ35" s="2220">
        <f>+[3]DPS!$D$33</f>
        <v>3310000</v>
      </c>
      <c r="AK35" s="2220">
        <f>+[3]DPS!$E$33</f>
        <v>100000</v>
      </c>
      <c r="AL35" s="2219">
        <f t="shared" si="61"/>
        <v>1310000</v>
      </c>
      <c r="AM35" s="2220">
        <f>+[3]Nebyty!$D$11</f>
        <v>1220000</v>
      </c>
      <c r="AN35" s="2220">
        <f>+[3]Nebyty!$E$11</f>
        <v>90000</v>
      </c>
      <c r="AO35" s="2236">
        <f>+[2]Hasiči!$B$61+[3]Hasiči!$B$25</f>
        <v>425000</v>
      </c>
      <c r="AP35" s="2219">
        <f>+'[3]Zdrav. středisko'!$B$11</f>
        <v>350000</v>
      </c>
      <c r="AQ35" s="2219">
        <f>+[3]Tesko!$B$11</f>
        <v>0</v>
      </c>
      <c r="AR35" s="2219">
        <f t="shared" si="62"/>
        <v>430000</v>
      </c>
      <c r="AS35" s="2220">
        <f>+[3]Hřbitov!$D$25</f>
        <v>430000</v>
      </c>
      <c r="AT35" s="2220">
        <f>+[3]Hřbitov!$E$25</f>
        <v>0</v>
      </c>
      <c r="AU35" s="2219">
        <f t="shared" si="63"/>
        <v>750000</v>
      </c>
      <c r="AV35" s="2220">
        <f>+[3]koupaliště!$D$27</f>
        <v>750000</v>
      </c>
      <c r="AW35" s="2220">
        <f>+[3]koupaliště!$E$27</f>
        <v>0</v>
      </c>
      <c r="AX35" s="2219">
        <f t="shared" si="57"/>
        <v>550000</v>
      </c>
      <c r="AY35" s="2220">
        <f>+[3]Hřiště!$D$21</f>
        <v>350000</v>
      </c>
      <c r="AZ35" s="2220">
        <f>+[3]Hřiště!$E$21</f>
        <v>200000</v>
      </c>
      <c r="BA35" s="2219">
        <f t="shared" si="58"/>
        <v>0</v>
      </c>
      <c r="BB35" s="2220">
        <f>+[3]Spolky!$D$23</f>
        <v>0</v>
      </c>
      <c r="BC35" s="2220">
        <f>+[3]Spolky!$E$23</f>
        <v>0</v>
      </c>
      <c r="BD35" s="2219">
        <f t="shared" si="64"/>
        <v>1660000</v>
      </c>
      <c r="BE35" s="2220">
        <f>+[3]ZŠ!$D$11</f>
        <v>1660000</v>
      </c>
      <c r="BF35" s="2220">
        <f>+[3]ZŠ!$E$11</f>
        <v>0</v>
      </c>
      <c r="BG35" s="2219">
        <f t="shared" si="35"/>
        <v>0</v>
      </c>
      <c r="BH35" s="2220"/>
      <c r="BI35" s="2220"/>
      <c r="BJ35" s="2219">
        <f t="shared" si="65"/>
        <v>180000</v>
      </c>
      <c r="BK35" s="2220">
        <f>+[2]č.p.65!$D$32+'[3]Č.p. 65'!$D$11</f>
        <v>180000</v>
      </c>
      <c r="BL35" s="2220">
        <f>+'[3]Č.p. 65'!$E$11</f>
        <v>0</v>
      </c>
      <c r="BM35" s="2219">
        <f t="shared" si="66"/>
        <v>180000</v>
      </c>
      <c r="BN35" s="2220">
        <f>+[3]MDDM!$D$11</f>
        <v>150000</v>
      </c>
      <c r="BO35" s="2220">
        <f>+[3]MDDM!$E$11</f>
        <v>30000</v>
      </c>
      <c r="BP35" s="2219">
        <f t="shared" si="67"/>
        <v>1920000</v>
      </c>
      <c r="BQ35" s="2220">
        <f>+'[3]MŠ Pražská'!$D$11</f>
        <v>1880000</v>
      </c>
      <c r="BR35" s="2220">
        <f>+'[3]MŠ Pražská'!$E$11</f>
        <v>40000</v>
      </c>
      <c r="BS35" s="2219">
        <f t="shared" si="68"/>
        <v>590000</v>
      </c>
      <c r="BT35" s="2220">
        <f>+'[3]MŠ Kollárova'!$D$11</f>
        <v>550000</v>
      </c>
      <c r="BU35" s="2220">
        <f>+'[3]MŠ Kollárova'!$E$11</f>
        <v>40000</v>
      </c>
      <c r="BV35" s="2219">
        <f t="shared" si="69"/>
        <v>1500000</v>
      </c>
      <c r="BW35" s="2220">
        <f>+'[3]Jídelna ZŠ'!$D$11</f>
        <v>1500000</v>
      </c>
      <c r="BX35" s="2220">
        <f>+'[3]Jídelna ZŠ'!$E$11</f>
        <v>0</v>
      </c>
      <c r="BY35" s="2219">
        <f>+'[3]Jídelna MŠ'!$B$11</f>
        <v>50000</v>
      </c>
      <c r="BZ35" s="2219">
        <f t="shared" si="70"/>
        <v>290000</v>
      </c>
      <c r="CA35" s="2220">
        <f>+'[3]MŠ Cukrovar'!$D$12</f>
        <v>250000</v>
      </c>
      <c r="CB35" s="2220">
        <f>+'[3]MŠ Cukrovar'!$E$12</f>
        <v>40000</v>
      </c>
      <c r="CC35" s="2219"/>
      <c r="CD35" s="2219">
        <f t="shared" si="71"/>
        <v>650000</v>
      </c>
      <c r="CE35" s="2220">
        <f>+[3]VO!$D$29</f>
        <v>300000</v>
      </c>
      <c r="CF35" s="2220">
        <f>+[3]VO!$E$29</f>
        <v>350000</v>
      </c>
      <c r="CG35" s="2219">
        <f t="shared" si="43"/>
        <v>21186200</v>
      </c>
      <c r="CH35" s="2238">
        <f>+[3]Silnice!$D$39</f>
        <v>18336200</v>
      </c>
      <c r="CI35" s="2220">
        <f>+[3]Silnice!$E$39</f>
        <v>2850000</v>
      </c>
      <c r="CJ35" s="2219"/>
      <c r="CK35" s="2219">
        <f t="shared" si="44"/>
        <v>100000</v>
      </c>
      <c r="CL35" s="2244">
        <f>+[3]Vodovod!$D$19</f>
        <v>100000</v>
      </c>
      <c r="CM35" s="2220">
        <f>+[3]Vodovod!$E$19</f>
        <v>0</v>
      </c>
      <c r="CN35" s="2245">
        <f>+CP35+CO35</f>
        <v>5200000</v>
      </c>
      <c r="CO35" s="2244">
        <f>+'[4]Vodovod obnova'!$B$4</f>
        <v>5200000</v>
      </c>
      <c r="CP35" s="2220">
        <v>0</v>
      </c>
      <c r="CQ35" s="2219">
        <f t="shared" ref="CQ35:CQ37" si="72">+CR35+CS35</f>
        <v>340000</v>
      </c>
      <c r="CR35" s="2244">
        <f>+[3]Kanalizace!$D$20</f>
        <v>340000</v>
      </c>
      <c r="CS35" s="2220">
        <f>+[3]Kanalizace!$E$20</f>
        <v>0</v>
      </c>
      <c r="CT35" s="2245">
        <f>+CV35+CU35</f>
        <v>2500000</v>
      </c>
      <c r="CU35" s="2244">
        <f>+'[4]Kanalizace obnova'!$B$6</f>
        <v>2500000</v>
      </c>
      <c r="CV35" s="2220">
        <v>0</v>
      </c>
      <c r="CW35" s="2219">
        <f t="shared" si="45"/>
        <v>1200000</v>
      </c>
      <c r="CX35" s="2220">
        <f>+'[3]Inženýrské sítě'!$D$11</f>
        <v>1200000</v>
      </c>
      <c r="CY35" s="2220">
        <f>+'[3]Inženýrské sítě'!$E$11</f>
        <v>0</v>
      </c>
      <c r="CZ35" s="2219"/>
      <c r="DA35" s="2219">
        <f t="shared" si="46"/>
        <v>0</v>
      </c>
      <c r="DB35" s="2220"/>
      <c r="DC35" s="2220"/>
      <c r="DD35" s="2219">
        <f t="shared" si="47"/>
        <v>0</v>
      </c>
      <c r="DE35" s="2220"/>
      <c r="DF35" s="2220"/>
      <c r="DG35" s="2219">
        <f t="shared" si="48"/>
        <v>0</v>
      </c>
      <c r="DH35" s="2220"/>
      <c r="DI35" s="2220"/>
      <c r="DJ35" s="2219"/>
      <c r="DK35" s="2219">
        <f t="shared" si="49"/>
        <v>0</v>
      </c>
      <c r="DL35" s="2220"/>
      <c r="DM35" s="2220"/>
      <c r="DN35" s="2220"/>
      <c r="DO35" s="2219">
        <f>+[3]Rybníky!$B$11</f>
        <v>0</v>
      </c>
      <c r="DP35" s="2219"/>
      <c r="DQ35" s="2219"/>
      <c r="DR35" s="2219"/>
      <c r="DS35" s="2219"/>
      <c r="DT35" s="2219"/>
      <c r="DU35" s="2219"/>
      <c r="DV35" s="2219"/>
      <c r="DW35" s="2220"/>
      <c r="DX35" s="2220"/>
      <c r="DY35" s="2219"/>
      <c r="DZ35" s="2219"/>
      <c r="EA35" s="2223"/>
      <c r="EB35" s="2214">
        <f t="shared" ref="EB35:EB41" si="73">+J35+K35+L35+N35+P35+Q35+R35+U35+V35+W35+Y35+Z35+AA35+AC35+AD35+AE35+AF35+AI35+AL35+AO35+AP35+AQ35+AR35+AU35+BD35+BJ35+BM35+BP35+BS35+BV35+BY35+BZ35+CC35+CD35+CG35+CJ35+CK35+CN35+CQ35+CT35+CW35+CZ35+DA35+DD35+DG35+DJ35+DK35+DO35+DP35+DQ35+DR35+DS35+DU35+DV35+DY35+DZ35+EA35+BG35+BA35+AX35+AB35-V35+M35+O35+X35</f>
        <v>51344200</v>
      </c>
      <c r="EC35" s="2173">
        <f t="shared" ref="EC35:EC41" si="74">EB35-I35</f>
        <v>0</v>
      </c>
      <c r="ED35" s="2241"/>
      <c r="EE35" s="2217">
        <f t="shared" si="54"/>
        <v>47574200</v>
      </c>
      <c r="EF35" s="2241">
        <f t="shared" si="7"/>
        <v>0</v>
      </c>
      <c r="EG35" s="2217">
        <f>+T35+AH35+AK35++AN35+AT35+AW35+BF35+BL35+BO35+BR35+BU35+BX35+CB35+CF35+CI35+CM35+CY35+DC35+DF35+DI35+DN35+CV35+CS35+CP35+BI35+BC35+AZ35</f>
        <v>3770000</v>
      </c>
      <c r="EI35" s="2216"/>
    </row>
    <row r="36" spans="1:139" ht="13.5" customHeight="1" outlineLevel="1">
      <c r="A36" s="2233">
        <v>5172</v>
      </c>
      <c r="B36" s="2206" t="s">
        <v>90</v>
      </c>
      <c r="C36" s="2217">
        <v>3364300</v>
      </c>
      <c r="D36" s="2217">
        <v>3028000</v>
      </c>
      <c r="E36" s="2217">
        <v>3028000</v>
      </c>
      <c r="F36" s="2217">
        <v>3028000</v>
      </c>
      <c r="G36" s="2217">
        <v>3028000</v>
      </c>
      <c r="H36" s="2217">
        <v>3028000</v>
      </c>
      <c r="I36" s="2217">
        <f t="shared" si="51"/>
        <v>3028000</v>
      </c>
      <c r="J36" s="2218"/>
      <c r="K36" s="2219"/>
      <c r="L36" s="2219"/>
      <c r="M36" s="2219"/>
      <c r="N36" s="2219"/>
      <c r="O36" s="2219"/>
      <c r="P36" s="2219"/>
      <c r="Q36" s="2219"/>
      <c r="R36" s="2219">
        <f t="shared" si="26"/>
        <v>2750000</v>
      </c>
      <c r="S36" s="2243">
        <f>+[2]Správa!$D$75</f>
        <v>2750000</v>
      </c>
      <c r="T36" s="2221">
        <f>+[2]Správa!$E$75</f>
        <v>0</v>
      </c>
      <c r="U36" s="2219"/>
      <c r="V36" s="2235">
        <f t="shared" si="56"/>
        <v>0</v>
      </c>
      <c r="W36" s="2219">
        <f>+'[2]Pečovatelská služba'!$B$66</f>
        <v>10000</v>
      </c>
      <c r="X36" s="2219"/>
      <c r="Y36" s="2219"/>
      <c r="Z36" s="2219">
        <f>+'[2]Městská policie'!$B$92</f>
        <v>200000</v>
      </c>
      <c r="AA36" s="2219">
        <f>+[2]Kronika!$B$25</f>
        <v>8000</v>
      </c>
      <c r="AB36" s="2219"/>
      <c r="AC36" s="2219">
        <f>+[2]Knihovna!$B$69</f>
        <v>30000</v>
      </c>
      <c r="AD36" s="2219"/>
      <c r="AE36" s="2219"/>
      <c r="AF36" s="2219">
        <f t="shared" si="59"/>
        <v>0</v>
      </c>
      <c r="AG36" s="2220"/>
      <c r="AH36" s="2220"/>
      <c r="AI36" s="2219">
        <f t="shared" si="60"/>
        <v>0</v>
      </c>
      <c r="AJ36" s="2220"/>
      <c r="AK36" s="2220"/>
      <c r="AL36" s="2219">
        <f t="shared" si="61"/>
        <v>0</v>
      </c>
      <c r="AM36" s="2220"/>
      <c r="AN36" s="2220"/>
      <c r="AO36" s="2236">
        <f>+[2]Hasiči!$B$68</f>
        <v>30000</v>
      </c>
      <c r="AP36" s="2219"/>
      <c r="AQ36" s="2219"/>
      <c r="AR36" s="2219">
        <f t="shared" si="62"/>
        <v>0</v>
      </c>
      <c r="AS36" s="2220"/>
      <c r="AT36" s="2220"/>
      <c r="AU36" s="2219">
        <f t="shared" si="63"/>
        <v>0</v>
      </c>
      <c r="AV36" s="2220"/>
      <c r="AW36" s="2220"/>
      <c r="AX36" s="2219">
        <f t="shared" si="57"/>
        <v>0</v>
      </c>
      <c r="AY36" s="2220"/>
      <c r="AZ36" s="2220"/>
      <c r="BA36" s="2219">
        <f t="shared" si="58"/>
        <v>0</v>
      </c>
      <c r="BB36" s="2220"/>
      <c r="BC36" s="2220"/>
      <c r="BD36" s="2219">
        <f t="shared" si="64"/>
        <v>0</v>
      </c>
      <c r="BE36" s="2220"/>
      <c r="BF36" s="2220"/>
      <c r="BG36" s="2219">
        <f t="shared" si="35"/>
        <v>0</v>
      </c>
      <c r="BH36" s="2220"/>
      <c r="BI36" s="2220"/>
      <c r="BJ36" s="2219">
        <f t="shared" si="65"/>
        <v>0</v>
      </c>
      <c r="BK36" s="2220"/>
      <c r="BL36" s="2220"/>
      <c r="BM36" s="2219">
        <f t="shared" si="66"/>
        <v>0</v>
      </c>
      <c r="BN36" s="2220"/>
      <c r="BO36" s="2220"/>
      <c r="BP36" s="2219">
        <f t="shared" si="67"/>
        <v>0</v>
      </c>
      <c r="BQ36" s="2220"/>
      <c r="BR36" s="2220"/>
      <c r="BS36" s="2219">
        <f t="shared" si="68"/>
        <v>0</v>
      </c>
      <c r="BT36" s="2220"/>
      <c r="BU36" s="2220"/>
      <c r="BV36" s="2219">
        <f t="shared" si="69"/>
        <v>0</v>
      </c>
      <c r="BW36" s="2220"/>
      <c r="BX36" s="2220"/>
      <c r="BY36" s="2219"/>
      <c r="BZ36" s="2219">
        <f t="shared" si="70"/>
        <v>0</v>
      </c>
      <c r="CA36" s="2220"/>
      <c r="CB36" s="2220"/>
      <c r="CC36" s="2219"/>
      <c r="CD36" s="2219">
        <f t="shared" si="71"/>
        <v>0</v>
      </c>
      <c r="CE36" s="2220"/>
      <c r="CF36" s="2220"/>
      <c r="CG36" s="2219">
        <f t="shared" si="43"/>
        <v>0</v>
      </c>
      <c r="CH36" s="2220"/>
      <c r="CI36" s="2220"/>
      <c r="CJ36" s="2219"/>
      <c r="CK36" s="2219">
        <f t="shared" si="44"/>
        <v>0</v>
      </c>
      <c r="CL36" s="2220"/>
      <c r="CM36" s="2220"/>
      <c r="CN36" s="2219"/>
      <c r="CO36" s="2220"/>
      <c r="CP36" s="2220"/>
      <c r="CQ36" s="2219">
        <f t="shared" si="72"/>
        <v>0</v>
      </c>
      <c r="CR36" s="2220"/>
      <c r="CS36" s="2220"/>
      <c r="CT36" s="2219"/>
      <c r="CU36" s="2220"/>
      <c r="CV36" s="2220"/>
      <c r="CW36" s="2219">
        <f t="shared" si="45"/>
        <v>0</v>
      </c>
      <c r="CX36" s="2220"/>
      <c r="CY36" s="2220"/>
      <c r="CZ36" s="2219"/>
      <c r="DA36" s="2219">
        <f t="shared" si="46"/>
        <v>0</v>
      </c>
      <c r="DB36" s="2220"/>
      <c r="DC36" s="2220"/>
      <c r="DD36" s="2219">
        <f t="shared" si="47"/>
        <v>0</v>
      </c>
      <c r="DE36" s="2220"/>
      <c r="DF36" s="2220"/>
      <c r="DG36" s="2219">
        <f t="shared" si="48"/>
        <v>0</v>
      </c>
      <c r="DH36" s="2220"/>
      <c r="DI36" s="2220"/>
      <c r="DJ36" s="2219"/>
      <c r="DK36" s="2219">
        <f t="shared" si="49"/>
        <v>0</v>
      </c>
      <c r="DL36" s="2220"/>
      <c r="DM36" s="2220"/>
      <c r="DN36" s="2220"/>
      <c r="DO36" s="2219"/>
      <c r="DP36" s="2219"/>
      <c r="DQ36" s="2219"/>
      <c r="DR36" s="2219"/>
      <c r="DS36" s="2219"/>
      <c r="DT36" s="2219"/>
      <c r="DU36" s="2219"/>
      <c r="DV36" s="2219"/>
      <c r="DW36" s="2220"/>
      <c r="DX36" s="2220"/>
      <c r="DY36" s="2219"/>
      <c r="DZ36" s="2219"/>
      <c r="EA36" s="2223"/>
      <c r="EB36" s="2214">
        <f t="shared" si="73"/>
        <v>3028000</v>
      </c>
      <c r="EC36" s="2173">
        <f t="shared" si="74"/>
        <v>0</v>
      </c>
      <c r="ED36" s="2174"/>
      <c r="EE36" s="2217">
        <f t="shared" si="54"/>
        <v>3028000</v>
      </c>
      <c r="EF36" s="2174">
        <f t="shared" si="7"/>
        <v>0</v>
      </c>
      <c r="EG36" s="2217">
        <f t="shared" si="25"/>
        <v>0</v>
      </c>
      <c r="EI36" s="2216"/>
    </row>
    <row r="37" spans="1:139" ht="13.5" customHeight="1" outlineLevel="1">
      <c r="A37" s="2233">
        <v>5173</v>
      </c>
      <c r="B37" s="2206" t="s">
        <v>91</v>
      </c>
      <c r="C37" s="2217">
        <v>62000</v>
      </c>
      <c r="D37" s="2217">
        <v>62000</v>
      </c>
      <c r="E37" s="2217">
        <v>62000</v>
      </c>
      <c r="F37" s="2217">
        <v>62000</v>
      </c>
      <c r="G37" s="2217">
        <v>62000</v>
      </c>
      <c r="H37" s="2217">
        <v>62000</v>
      </c>
      <c r="I37" s="2217">
        <f t="shared" si="51"/>
        <v>62000</v>
      </c>
      <c r="J37" s="2218"/>
      <c r="K37" s="2219"/>
      <c r="L37" s="2219"/>
      <c r="M37" s="2219"/>
      <c r="N37" s="2219"/>
      <c r="O37" s="2219"/>
      <c r="P37" s="2219">
        <f>+[2]Zastupitelé!$B$58</f>
        <v>20000</v>
      </c>
      <c r="Q37" s="2219"/>
      <c r="R37" s="2219">
        <f t="shared" si="26"/>
        <v>30000</v>
      </c>
      <c r="S37" s="2243">
        <f>+[2]Správa!$B$82</f>
        <v>30000</v>
      </c>
      <c r="T37" s="2221">
        <v>0</v>
      </c>
      <c r="U37" s="2219"/>
      <c r="V37" s="2235">
        <f t="shared" si="56"/>
        <v>0</v>
      </c>
      <c r="W37" s="2219">
        <f>+'[2]Pečovatelská služba'!$B$73</f>
        <v>1000</v>
      </c>
      <c r="X37" s="2219"/>
      <c r="Y37" s="2219"/>
      <c r="Z37" s="2219">
        <f>+'[2]Městská policie'!$B$99</f>
        <v>10000</v>
      </c>
      <c r="AA37" s="2219"/>
      <c r="AB37" s="2219"/>
      <c r="AC37" s="2219">
        <f>+[2]Knihovna!$B$76</f>
        <v>1000</v>
      </c>
      <c r="AD37" s="2219"/>
      <c r="AE37" s="2219"/>
      <c r="AF37" s="2219">
        <f t="shared" si="59"/>
        <v>0</v>
      </c>
      <c r="AG37" s="2220"/>
      <c r="AH37" s="2220"/>
      <c r="AI37" s="2219">
        <f t="shared" si="60"/>
        <v>0</v>
      </c>
      <c r="AJ37" s="2220"/>
      <c r="AK37" s="2220"/>
      <c r="AL37" s="2219">
        <f t="shared" si="61"/>
        <v>0</v>
      </c>
      <c r="AM37" s="2220"/>
      <c r="AN37" s="2220"/>
      <c r="AO37" s="2219"/>
      <c r="AP37" s="2219"/>
      <c r="AQ37" s="2219"/>
      <c r="AR37" s="2219">
        <f t="shared" si="62"/>
        <v>0</v>
      </c>
      <c r="AS37" s="2220"/>
      <c r="AT37" s="2220"/>
      <c r="AU37" s="2219">
        <f t="shared" si="63"/>
        <v>0</v>
      </c>
      <c r="AV37" s="2220"/>
      <c r="AW37" s="2220"/>
      <c r="AX37" s="2219">
        <f t="shared" si="57"/>
        <v>0</v>
      </c>
      <c r="AY37" s="2220"/>
      <c r="AZ37" s="2220"/>
      <c r="BA37" s="2219">
        <f t="shared" si="58"/>
        <v>0</v>
      </c>
      <c r="BB37" s="2220"/>
      <c r="BC37" s="2220"/>
      <c r="BD37" s="2219">
        <f t="shared" si="64"/>
        <v>0</v>
      </c>
      <c r="BE37" s="2220"/>
      <c r="BF37" s="2220"/>
      <c r="BG37" s="2219">
        <f t="shared" si="35"/>
        <v>0</v>
      </c>
      <c r="BH37" s="2220"/>
      <c r="BI37" s="2220"/>
      <c r="BJ37" s="2219">
        <f t="shared" si="65"/>
        <v>0</v>
      </c>
      <c r="BK37" s="2220"/>
      <c r="BL37" s="2220"/>
      <c r="BM37" s="2219">
        <f t="shared" si="66"/>
        <v>0</v>
      </c>
      <c r="BN37" s="2220"/>
      <c r="BO37" s="2220"/>
      <c r="BP37" s="2219">
        <f t="shared" si="67"/>
        <v>0</v>
      </c>
      <c r="BQ37" s="2220"/>
      <c r="BR37" s="2220"/>
      <c r="BS37" s="2219">
        <f t="shared" si="68"/>
        <v>0</v>
      </c>
      <c r="BT37" s="2220"/>
      <c r="BU37" s="2220"/>
      <c r="BV37" s="2219">
        <f t="shared" si="69"/>
        <v>0</v>
      </c>
      <c r="BW37" s="2220"/>
      <c r="BX37" s="2220"/>
      <c r="BY37" s="2219"/>
      <c r="BZ37" s="2219">
        <f t="shared" si="70"/>
        <v>0</v>
      </c>
      <c r="CA37" s="2220"/>
      <c r="CB37" s="2220"/>
      <c r="CC37" s="2219"/>
      <c r="CD37" s="2219">
        <f t="shared" si="71"/>
        <v>0</v>
      </c>
      <c r="CE37" s="2220"/>
      <c r="CF37" s="2220"/>
      <c r="CG37" s="2219">
        <f t="shared" si="43"/>
        <v>0</v>
      </c>
      <c r="CH37" s="2220"/>
      <c r="CI37" s="2220"/>
      <c r="CJ37" s="2219"/>
      <c r="CK37" s="2219">
        <f t="shared" si="44"/>
        <v>0</v>
      </c>
      <c r="CL37" s="2220"/>
      <c r="CM37" s="2220"/>
      <c r="CN37" s="2219"/>
      <c r="CO37" s="2220"/>
      <c r="CP37" s="2220"/>
      <c r="CQ37" s="2219">
        <f t="shared" si="72"/>
        <v>0</v>
      </c>
      <c r="CR37" s="2220"/>
      <c r="CS37" s="2220"/>
      <c r="CT37" s="2219"/>
      <c r="CU37" s="2220"/>
      <c r="CV37" s="2220"/>
      <c r="CW37" s="2219">
        <f t="shared" si="45"/>
        <v>0</v>
      </c>
      <c r="CX37" s="2220"/>
      <c r="CY37" s="2220"/>
      <c r="CZ37" s="2219"/>
      <c r="DA37" s="2219">
        <f t="shared" si="46"/>
        <v>0</v>
      </c>
      <c r="DB37" s="2220"/>
      <c r="DC37" s="2220"/>
      <c r="DD37" s="2219">
        <f t="shared" si="47"/>
        <v>0</v>
      </c>
      <c r="DE37" s="2220"/>
      <c r="DF37" s="2220"/>
      <c r="DG37" s="2219">
        <f t="shared" si="48"/>
        <v>0</v>
      </c>
      <c r="DH37" s="2220"/>
      <c r="DI37" s="2220"/>
      <c r="DJ37" s="2219"/>
      <c r="DK37" s="2219">
        <f t="shared" si="49"/>
        <v>0</v>
      </c>
      <c r="DL37" s="2220"/>
      <c r="DM37" s="2220"/>
      <c r="DN37" s="2220"/>
      <c r="DO37" s="2219"/>
      <c r="DP37" s="2219"/>
      <c r="DQ37" s="2219"/>
      <c r="DR37" s="2219"/>
      <c r="DS37" s="2219"/>
      <c r="DT37" s="2219"/>
      <c r="DU37" s="2219"/>
      <c r="DV37" s="2219"/>
      <c r="DW37" s="2220"/>
      <c r="DX37" s="2220"/>
      <c r="DY37" s="2219"/>
      <c r="DZ37" s="2219"/>
      <c r="EA37" s="2223"/>
      <c r="EB37" s="2214">
        <f t="shared" si="73"/>
        <v>62000</v>
      </c>
      <c r="EC37" s="2173">
        <f t="shared" si="74"/>
        <v>0</v>
      </c>
      <c r="ED37" s="2174"/>
      <c r="EE37" s="2217">
        <f t="shared" si="54"/>
        <v>62000</v>
      </c>
      <c r="EF37" s="2174">
        <f t="shared" si="7"/>
        <v>0</v>
      </c>
      <c r="EG37" s="2217">
        <f t="shared" si="25"/>
        <v>0</v>
      </c>
      <c r="EI37" s="2216"/>
    </row>
    <row r="38" spans="1:139" ht="13.5" customHeight="1" outlineLevel="1">
      <c r="A38" s="2233">
        <v>5175</v>
      </c>
      <c r="B38" s="2206" t="s">
        <v>92</v>
      </c>
      <c r="C38" s="2217">
        <v>431000</v>
      </c>
      <c r="D38" s="2217">
        <v>443000</v>
      </c>
      <c r="E38" s="2217">
        <v>443000</v>
      </c>
      <c r="F38" s="2217">
        <v>443000</v>
      </c>
      <c r="G38" s="2217">
        <v>443000</v>
      </c>
      <c r="H38" s="2217">
        <v>443000</v>
      </c>
      <c r="I38" s="2217">
        <f t="shared" si="51"/>
        <v>443000</v>
      </c>
      <c r="J38" s="2218"/>
      <c r="K38" s="2219"/>
      <c r="L38" s="2219"/>
      <c r="M38" s="2219"/>
      <c r="N38" s="2219"/>
      <c r="O38" s="2219"/>
      <c r="P38" s="2219">
        <f>+[2]Zastupitelé!$B$65</f>
        <v>140000</v>
      </c>
      <c r="Q38" s="2219"/>
      <c r="R38" s="2219">
        <f t="shared" si="26"/>
        <v>150000</v>
      </c>
      <c r="S38" s="2243">
        <f>+[2]Správa!$B$89</f>
        <v>150000</v>
      </c>
      <c r="T38" s="2221">
        <v>0</v>
      </c>
      <c r="U38" s="2219"/>
      <c r="V38" s="2235">
        <f t="shared" si="56"/>
        <v>0</v>
      </c>
      <c r="W38" s="2219">
        <f>+'[2]Pečovatelská služba'!$B$80</f>
        <v>15000</v>
      </c>
      <c r="X38" s="2219"/>
      <c r="Y38" s="2219"/>
      <c r="Z38" s="2219">
        <f>+'[2]Městská policie'!$B$106</f>
        <v>14000</v>
      </c>
      <c r="AA38" s="2219"/>
      <c r="AB38" s="2219"/>
      <c r="AC38" s="2219">
        <f>+[2]Knihovna!$B$83</f>
        <v>4000</v>
      </c>
      <c r="AD38" s="2219"/>
      <c r="AE38" s="2219">
        <f>+[2]Kultura!$B$39</f>
        <v>110000</v>
      </c>
      <c r="AF38" s="2219">
        <f t="shared" si="27"/>
        <v>0</v>
      </c>
      <c r="AG38" s="2220"/>
      <c r="AH38" s="2220"/>
      <c r="AI38" s="2219">
        <f t="shared" si="28"/>
        <v>0</v>
      </c>
      <c r="AJ38" s="2220"/>
      <c r="AK38" s="2220"/>
      <c r="AL38" s="2219">
        <f t="shared" si="29"/>
        <v>0</v>
      </c>
      <c r="AM38" s="2220"/>
      <c r="AN38" s="2220"/>
      <c r="AO38" s="2236">
        <f>+[2]Hasiči!$B$75</f>
        <v>10000</v>
      </c>
      <c r="AP38" s="2219"/>
      <c r="AQ38" s="2219"/>
      <c r="AR38" s="2219">
        <f t="shared" si="30"/>
        <v>0</v>
      </c>
      <c r="AS38" s="2220"/>
      <c r="AT38" s="2220"/>
      <c r="AU38" s="2219">
        <f t="shared" si="31"/>
        <v>0</v>
      </c>
      <c r="AV38" s="2220"/>
      <c r="AW38" s="2220"/>
      <c r="AX38" s="2219">
        <f t="shared" si="57"/>
        <v>0</v>
      </c>
      <c r="AY38" s="2220"/>
      <c r="AZ38" s="2220"/>
      <c r="BA38" s="2219">
        <f t="shared" si="58"/>
        <v>0</v>
      </c>
      <c r="BB38" s="2220"/>
      <c r="BC38" s="2220"/>
      <c r="BD38" s="2219">
        <f t="shared" si="34"/>
        <v>0</v>
      </c>
      <c r="BE38" s="2220"/>
      <c r="BF38" s="2220"/>
      <c r="BG38" s="2219">
        <f t="shared" si="35"/>
        <v>0</v>
      </c>
      <c r="BH38" s="2220"/>
      <c r="BI38" s="2220"/>
      <c r="BJ38" s="2219">
        <f t="shared" si="36"/>
        <v>0</v>
      </c>
      <c r="BK38" s="2220">
        <v>0</v>
      </c>
      <c r="BL38" s="2220">
        <v>0</v>
      </c>
      <c r="BM38" s="2219">
        <f t="shared" si="37"/>
        <v>0</v>
      </c>
      <c r="BN38" s="2220"/>
      <c r="BO38" s="2220"/>
      <c r="BP38" s="2219">
        <f t="shared" si="38"/>
        <v>0</v>
      </c>
      <c r="BQ38" s="2220"/>
      <c r="BR38" s="2220"/>
      <c r="BS38" s="2219">
        <f t="shared" si="39"/>
        <v>0</v>
      </c>
      <c r="BT38" s="2220"/>
      <c r="BU38" s="2220"/>
      <c r="BV38" s="2219">
        <f t="shared" si="40"/>
        <v>0</v>
      </c>
      <c r="BW38" s="2220"/>
      <c r="BX38" s="2220"/>
      <c r="BY38" s="2219"/>
      <c r="BZ38" s="2219">
        <f t="shared" si="41"/>
        <v>0</v>
      </c>
      <c r="CA38" s="2220"/>
      <c r="CB38" s="2220"/>
      <c r="CC38" s="2219"/>
      <c r="CD38" s="2219">
        <f t="shared" si="42"/>
        <v>0</v>
      </c>
      <c r="CE38" s="2220"/>
      <c r="CF38" s="2220"/>
      <c r="CG38" s="2219">
        <f t="shared" si="43"/>
        <v>0</v>
      </c>
      <c r="CH38" s="2220"/>
      <c r="CI38" s="2220"/>
      <c r="CJ38" s="2219"/>
      <c r="CK38" s="2219">
        <f t="shared" si="44"/>
        <v>0</v>
      </c>
      <c r="CL38" s="2220"/>
      <c r="CM38" s="2220"/>
      <c r="CN38" s="2219"/>
      <c r="CO38" s="2220"/>
      <c r="CP38" s="2220"/>
      <c r="CQ38" s="2219"/>
      <c r="CR38" s="2220"/>
      <c r="CS38" s="2220"/>
      <c r="CT38" s="2219"/>
      <c r="CU38" s="2220"/>
      <c r="CV38" s="2220"/>
      <c r="CW38" s="2219">
        <f t="shared" si="45"/>
        <v>0</v>
      </c>
      <c r="CX38" s="2220"/>
      <c r="CY38" s="2220"/>
      <c r="CZ38" s="2219"/>
      <c r="DA38" s="2219">
        <f t="shared" si="46"/>
        <v>0</v>
      </c>
      <c r="DB38" s="2220"/>
      <c r="DC38" s="2220"/>
      <c r="DD38" s="2219">
        <f t="shared" si="47"/>
        <v>0</v>
      </c>
      <c r="DE38" s="2220"/>
      <c r="DF38" s="2220"/>
      <c r="DG38" s="2219">
        <f t="shared" si="48"/>
        <v>0</v>
      </c>
      <c r="DH38" s="2220"/>
      <c r="DI38" s="2220"/>
      <c r="DJ38" s="2219"/>
      <c r="DK38" s="2219">
        <f t="shared" si="49"/>
        <v>0</v>
      </c>
      <c r="DL38" s="2220"/>
      <c r="DM38" s="2220"/>
      <c r="DN38" s="2220"/>
      <c r="DO38" s="2219"/>
      <c r="DP38" s="2219"/>
      <c r="DQ38" s="2219"/>
      <c r="DR38" s="2219"/>
      <c r="DS38" s="2219"/>
      <c r="DT38" s="2219"/>
      <c r="DU38" s="2219"/>
      <c r="DV38" s="2219"/>
      <c r="DW38" s="2220"/>
      <c r="DX38" s="2220"/>
      <c r="DY38" s="2219"/>
      <c r="DZ38" s="2219"/>
      <c r="EA38" s="2223"/>
      <c r="EB38" s="2214">
        <f t="shared" si="73"/>
        <v>443000</v>
      </c>
      <c r="EC38" s="2173">
        <f t="shared" si="74"/>
        <v>0</v>
      </c>
      <c r="ED38" s="2174"/>
      <c r="EE38" s="2217">
        <f t="shared" si="54"/>
        <v>443000</v>
      </c>
      <c r="EF38" s="2174">
        <f t="shared" si="7"/>
        <v>0</v>
      </c>
      <c r="EG38" s="2217">
        <f t="shared" si="25"/>
        <v>0</v>
      </c>
      <c r="EI38" s="2216"/>
    </row>
    <row r="39" spans="1:139" ht="13.5" hidden="1" customHeight="1" outlineLevel="1">
      <c r="A39" s="2233">
        <v>5179</v>
      </c>
      <c r="B39" s="2206" t="s">
        <v>93</v>
      </c>
      <c r="C39" s="2217">
        <v>0</v>
      </c>
      <c r="D39" s="2217">
        <v>0</v>
      </c>
      <c r="E39" s="2217">
        <v>0</v>
      </c>
      <c r="F39" s="2217">
        <v>0</v>
      </c>
      <c r="G39" s="2217">
        <v>0</v>
      </c>
      <c r="H39" s="2217">
        <v>0</v>
      </c>
      <c r="I39" s="2217">
        <f t="shared" si="51"/>
        <v>0</v>
      </c>
      <c r="J39" s="2218"/>
      <c r="K39" s="2219"/>
      <c r="L39" s="2219"/>
      <c r="M39" s="2219"/>
      <c r="N39" s="2219"/>
      <c r="O39" s="2219"/>
      <c r="P39" s="2219"/>
      <c r="Q39" s="2219"/>
      <c r="R39" s="2219">
        <f t="shared" si="26"/>
        <v>0</v>
      </c>
      <c r="S39" s="2220">
        <v>0</v>
      </c>
      <c r="T39" s="2221">
        <v>0</v>
      </c>
      <c r="U39" s="2219"/>
      <c r="V39" s="2235">
        <f t="shared" si="56"/>
        <v>0</v>
      </c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>
        <f t="shared" si="27"/>
        <v>0</v>
      </c>
      <c r="AG39" s="2220"/>
      <c r="AH39" s="2220"/>
      <c r="AI39" s="2219">
        <f t="shared" si="28"/>
        <v>0</v>
      </c>
      <c r="AJ39" s="2220"/>
      <c r="AK39" s="2220"/>
      <c r="AL39" s="2219">
        <f t="shared" si="29"/>
        <v>0</v>
      </c>
      <c r="AM39" s="2220"/>
      <c r="AN39" s="2220"/>
      <c r="AO39" s="2219"/>
      <c r="AP39" s="2219"/>
      <c r="AQ39" s="2219"/>
      <c r="AR39" s="2219">
        <f t="shared" si="30"/>
        <v>0</v>
      </c>
      <c r="AS39" s="2220"/>
      <c r="AT39" s="2220"/>
      <c r="AU39" s="2219">
        <f t="shared" si="31"/>
        <v>0</v>
      </c>
      <c r="AV39" s="2220"/>
      <c r="AW39" s="2220"/>
      <c r="AX39" s="2219">
        <f t="shared" si="57"/>
        <v>0</v>
      </c>
      <c r="AY39" s="2220"/>
      <c r="AZ39" s="2220"/>
      <c r="BA39" s="2219">
        <f t="shared" si="58"/>
        <v>0</v>
      </c>
      <c r="BB39" s="2220"/>
      <c r="BC39" s="2220"/>
      <c r="BD39" s="2219">
        <f t="shared" si="34"/>
        <v>0</v>
      </c>
      <c r="BE39" s="2220"/>
      <c r="BF39" s="2220"/>
      <c r="BG39" s="2219">
        <f t="shared" si="35"/>
        <v>0</v>
      </c>
      <c r="BH39" s="2220"/>
      <c r="BI39" s="2220"/>
      <c r="BJ39" s="2219">
        <f t="shared" si="36"/>
        <v>0</v>
      </c>
      <c r="BK39" s="2220"/>
      <c r="BL39" s="2220"/>
      <c r="BM39" s="2219">
        <f t="shared" si="37"/>
        <v>0</v>
      </c>
      <c r="BN39" s="2220"/>
      <c r="BO39" s="2220"/>
      <c r="BP39" s="2219">
        <f t="shared" si="38"/>
        <v>0</v>
      </c>
      <c r="BQ39" s="2220"/>
      <c r="BR39" s="2220"/>
      <c r="BS39" s="2219">
        <f t="shared" si="39"/>
        <v>0</v>
      </c>
      <c r="BT39" s="2220"/>
      <c r="BU39" s="2220"/>
      <c r="BV39" s="2219">
        <f t="shared" si="40"/>
        <v>0</v>
      </c>
      <c r="BW39" s="2220"/>
      <c r="BX39" s="2220"/>
      <c r="BY39" s="2219"/>
      <c r="BZ39" s="2219">
        <f t="shared" si="41"/>
        <v>0</v>
      </c>
      <c r="CA39" s="2220"/>
      <c r="CB39" s="2220"/>
      <c r="CC39" s="2219"/>
      <c r="CD39" s="2219">
        <f t="shared" si="42"/>
        <v>0</v>
      </c>
      <c r="CE39" s="2220"/>
      <c r="CF39" s="2220"/>
      <c r="CG39" s="2219">
        <f t="shared" si="43"/>
        <v>0</v>
      </c>
      <c r="CH39" s="2220"/>
      <c r="CI39" s="2220"/>
      <c r="CJ39" s="2219"/>
      <c r="CK39" s="2219">
        <f t="shared" si="44"/>
        <v>0</v>
      </c>
      <c r="CL39" s="2220"/>
      <c r="CM39" s="2220"/>
      <c r="CN39" s="2219"/>
      <c r="CO39" s="2220"/>
      <c r="CP39" s="2220"/>
      <c r="CQ39" s="2219"/>
      <c r="CR39" s="2220"/>
      <c r="CS39" s="2220"/>
      <c r="CT39" s="2219"/>
      <c r="CU39" s="2220"/>
      <c r="CV39" s="2220"/>
      <c r="CW39" s="2219">
        <f t="shared" si="45"/>
        <v>0</v>
      </c>
      <c r="CX39" s="2220"/>
      <c r="CY39" s="2220"/>
      <c r="CZ39" s="2219"/>
      <c r="DA39" s="2219">
        <f t="shared" si="46"/>
        <v>0</v>
      </c>
      <c r="DB39" s="2220"/>
      <c r="DC39" s="2220"/>
      <c r="DD39" s="2219">
        <f t="shared" si="47"/>
        <v>0</v>
      </c>
      <c r="DE39" s="2220"/>
      <c r="DF39" s="2220"/>
      <c r="DG39" s="2219">
        <f t="shared" si="48"/>
        <v>0</v>
      </c>
      <c r="DH39" s="2220"/>
      <c r="DI39" s="2220"/>
      <c r="DJ39" s="2219"/>
      <c r="DK39" s="2219">
        <f t="shared" si="49"/>
        <v>0</v>
      </c>
      <c r="DL39" s="2220"/>
      <c r="DM39" s="2220"/>
      <c r="DN39" s="2220"/>
      <c r="DO39" s="2219"/>
      <c r="DP39" s="2219"/>
      <c r="DQ39" s="2219"/>
      <c r="DR39" s="2219"/>
      <c r="DS39" s="2219"/>
      <c r="DT39" s="2219"/>
      <c r="DU39" s="2219"/>
      <c r="DV39" s="2219"/>
      <c r="DW39" s="2220"/>
      <c r="DX39" s="2220"/>
      <c r="DY39" s="2219"/>
      <c r="DZ39" s="2219"/>
      <c r="EA39" s="2223"/>
      <c r="EB39" s="2214">
        <f t="shared" si="73"/>
        <v>0</v>
      </c>
      <c r="EC39" s="2173">
        <f t="shared" si="74"/>
        <v>0</v>
      </c>
      <c r="ED39" s="2174"/>
      <c r="EE39" s="2217">
        <f t="shared" si="54"/>
        <v>0</v>
      </c>
      <c r="EF39" s="2174">
        <f t="shared" si="7"/>
        <v>0</v>
      </c>
      <c r="EG39" s="2217">
        <f>+T39+AH39+AK39++AN39+AT39+AW39+BF39+BL39+BO39+BR39+BU39+BX39+CB39+CF39+CI39+CM39+CY39+DC39+DF39+DI39+DN39</f>
        <v>0</v>
      </c>
      <c r="EI39" s="2216"/>
    </row>
    <row r="40" spans="1:139" ht="13.5" hidden="1" customHeight="1" outlineLevel="1">
      <c r="A40" s="2233">
        <v>5192</v>
      </c>
      <c r="B40" s="2206" t="s">
        <v>358</v>
      </c>
      <c r="C40" s="2217">
        <v>0</v>
      </c>
      <c r="D40" s="2217">
        <v>0</v>
      </c>
      <c r="E40" s="2217">
        <v>0</v>
      </c>
      <c r="F40" s="2217">
        <v>0</v>
      </c>
      <c r="G40" s="2217">
        <v>0</v>
      </c>
      <c r="H40" s="2217">
        <v>0</v>
      </c>
      <c r="I40" s="2217">
        <f t="shared" si="51"/>
        <v>0</v>
      </c>
      <c r="J40" s="2218"/>
      <c r="K40" s="2219"/>
      <c r="L40" s="2219"/>
      <c r="M40" s="2219"/>
      <c r="N40" s="2219"/>
      <c r="O40" s="2219"/>
      <c r="P40" s="2219"/>
      <c r="Q40" s="2219"/>
      <c r="R40" s="2219">
        <f t="shared" si="26"/>
        <v>0</v>
      </c>
      <c r="S40" s="2220"/>
      <c r="T40" s="2221"/>
      <c r="U40" s="2219"/>
      <c r="V40" s="2235">
        <f t="shared" si="56"/>
        <v>0</v>
      </c>
      <c r="W40" s="2219"/>
      <c r="X40" s="2219"/>
      <c r="Y40" s="2219"/>
      <c r="Z40" s="2219"/>
      <c r="AA40" s="2219"/>
      <c r="AB40" s="2219"/>
      <c r="AC40" s="2219"/>
      <c r="AD40" s="2219"/>
      <c r="AE40" s="2219"/>
      <c r="AF40" s="2219">
        <f t="shared" si="27"/>
        <v>0</v>
      </c>
      <c r="AG40" s="2220"/>
      <c r="AH40" s="2220"/>
      <c r="AI40" s="2219">
        <f t="shared" si="28"/>
        <v>0</v>
      </c>
      <c r="AJ40" s="2220"/>
      <c r="AK40" s="2220"/>
      <c r="AL40" s="2219">
        <f t="shared" si="29"/>
        <v>0</v>
      </c>
      <c r="AM40" s="2220"/>
      <c r="AN40" s="2220"/>
      <c r="AO40" s="2219"/>
      <c r="AP40" s="2219"/>
      <c r="AQ40" s="2219"/>
      <c r="AR40" s="2219">
        <f t="shared" si="30"/>
        <v>0</v>
      </c>
      <c r="AS40" s="2220"/>
      <c r="AT40" s="2220"/>
      <c r="AU40" s="2219">
        <f t="shared" si="31"/>
        <v>0</v>
      </c>
      <c r="AV40" s="2220"/>
      <c r="AW40" s="2220"/>
      <c r="AX40" s="2219">
        <f t="shared" si="57"/>
        <v>0</v>
      </c>
      <c r="AY40" s="2220"/>
      <c r="AZ40" s="2220"/>
      <c r="BA40" s="2219">
        <f t="shared" si="58"/>
        <v>0</v>
      </c>
      <c r="BB40" s="2220"/>
      <c r="BC40" s="2220"/>
      <c r="BD40" s="2219">
        <f t="shared" si="34"/>
        <v>0</v>
      </c>
      <c r="BE40" s="2220"/>
      <c r="BF40" s="2220"/>
      <c r="BG40" s="2219">
        <f t="shared" si="35"/>
        <v>0</v>
      </c>
      <c r="BH40" s="2220"/>
      <c r="BI40" s="2220"/>
      <c r="BJ40" s="2219">
        <f t="shared" si="36"/>
        <v>0</v>
      </c>
      <c r="BK40" s="2220"/>
      <c r="BL40" s="2220"/>
      <c r="BM40" s="2219">
        <f t="shared" si="37"/>
        <v>0</v>
      </c>
      <c r="BN40" s="2220"/>
      <c r="BO40" s="2220"/>
      <c r="BP40" s="2219">
        <f t="shared" si="38"/>
        <v>0</v>
      </c>
      <c r="BQ40" s="2220"/>
      <c r="BR40" s="2220"/>
      <c r="BS40" s="2219">
        <f t="shared" si="39"/>
        <v>0</v>
      </c>
      <c r="BT40" s="2220"/>
      <c r="BU40" s="2220"/>
      <c r="BV40" s="2219">
        <f t="shared" si="40"/>
        <v>0</v>
      </c>
      <c r="BW40" s="2220"/>
      <c r="BX40" s="2220"/>
      <c r="BY40" s="2219"/>
      <c r="BZ40" s="2219">
        <f t="shared" si="41"/>
        <v>0</v>
      </c>
      <c r="CA40" s="2220"/>
      <c r="CB40" s="2220"/>
      <c r="CC40" s="2219"/>
      <c r="CD40" s="2219">
        <f t="shared" si="42"/>
        <v>0</v>
      </c>
      <c r="CE40" s="2220"/>
      <c r="CF40" s="2220"/>
      <c r="CG40" s="2219">
        <f t="shared" si="43"/>
        <v>0</v>
      </c>
      <c r="CH40" s="2220"/>
      <c r="CI40" s="2220"/>
      <c r="CJ40" s="2219"/>
      <c r="CK40" s="2219">
        <f t="shared" si="44"/>
        <v>0</v>
      </c>
      <c r="CL40" s="2220"/>
      <c r="CM40" s="2220"/>
      <c r="CN40" s="2219"/>
      <c r="CO40" s="2220"/>
      <c r="CP40" s="2220"/>
      <c r="CQ40" s="2219"/>
      <c r="CR40" s="2220"/>
      <c r="CS40" s="2220"/>
      <c r="CT40" s="2219"/>
      <c r="CU40" s="2220"/>
      <c r="CV40" s="2220"/>
      <c r="CW40" s="2219">
        <f t="shared" si="45"/>
        <v>0</v>
      </c>
      <c r="CX40" s="2220"/>
      <c r="CY40" s="2220"/>
      <c r="CZ40" s="2219"/>
      <c r="DA40" s="2219">
        <f t="shared" si="46"/>
        <v>0</v>
      </c>
      <c r="DB40" s="2220"/>
      <c r="DC40" s="2220"/>
      <c r="DD40" s="2219">
        <f t="shared" si="47"/>
        <v>0</v>
      </c>
      <c r="DE40" s="2220"/>
      <c r="DF40" s="2220"/>
      <c r="DG40" s="2219">
        <f t="shared" si="48"/>
        <v>0</v>
      </c>
      <c r="DH40" s="2220"/>
      <c r="DI40" s="2220"/>
      <c r="DJ40" s="2219"/>
      <c r="DK40" s="2219">
        <f t="shared" si="49"/>
        <v>0</v>
      </c>
      <c r="DL40" s="2220"/>
      <c r="DM40" s="2220"/>
      <c r="DN40" s="2220"/>
      <c r="DO40" s="2219"/>
      <c r="DP40" s="2219"/>
      <c r="DQ40" s="2219"/>
      <c r="DR40" s="2219"/>
      <c r="DS40" s="2219"/>
      <c r="DT40" s="2219"/>
      <c r="DU40" s="2219"/>
      <c r="DV40" s="2219"/>
      <c r="DW40" s="2220"/>
      <c r="DX40" s="2220"/>
      <c r="DY40" s="2219"/>
      <c r="DZ40" s="2219"/>
      <c r="EA40" s="2223"/>
      <c r="EB40" s="2214">
        <f t="shared" si="73"/>
        <v>0</v>
      </c>
      <c r="EC40" s="2173">
        <f t="shared" si="74"/>
        <v>0</v>
      </c>
      <c r="ED40" s="2174"/>
      <c r="EE40" s="2217">
        <f t="shared" si="54"/>
        <v>0</v>
      </c>
      <c r="EF40" s="2174">
        <f t="shared" si="7"/>
        <v>0</v>
      </c>
      <c r="EG40" s="2217">
        <f t="shared" si="25"/>
        <v>0</v>
      </c>
      <c r="EI40" s="2216"/>
    </row>
    <row r="41" spans="1:139" ht="13.5" customHeight="1" outlineLevel="1">
      <c r="A41" s="2233">
        <v>5213</v>
      </c>
      <c r="B41" s="2206" t="s">
        <v>94</v>
      </c>
      <c r="C41" s="2217">
        <v>2978575</v>
      </c>
      <c r="D41" s="2217">
        <v>4000000</v>
      </c>
      <c r="E41" s="2217">
        <v>4000000</v>
      </c>
      <c r="F41" s="2217">
        <v>4000000</v>
      </c>
      <c r="G41" s="2217">
        <v>4000000</v>
      </c>
      <c r="H41" s="2217">
        <v>4000000</v>
      </c>
      <c r="I41" s="2217">
        <f t="shared" si="51"/>
        <v>4000000</v>
      </c>
      <c r="J41" s="2218"/>
      <c r="K41" s="2219"/>
      <c r="L41" s="2219"/>
      <c r="M41" s="2219"/>
      <c r="N41" s="2219"/>
      <c r="O41" s="2219"/>
      <c r="P41" s="2219"/>
      <c r="Q41" s="2219"/>
      <c r="R41" s="2219">
        <f t="shared" si="26"/>
        <v>0</v>
      </c>
      <c r="S41" s="2220"/>
      <c r="T41" s="2221"/>
      <c r="U41" s="2219"/>
      <c r="V41" s="2235">
        <f t="shared" si="56"/>
        <v>0</v>
      </c>
      <c r="W41" s="2219"/>
      <c r="X41" s="2219"/>
      <c r="Y41" s="2219"/>
      <c r="Z41" s="2219"/>
      <c r="AA41" s="2219"/>
      <c r="AB41" s="2219"/>
      <c r="AC41" s="2219"/>
      <c r="AD41" s="2219"/>
      <c r="AE41" s="2219"/>
      <c r="AF41" s="2219">
        <f t="shared" si="27"/>
        <v>0</v>
      </c>
      <c r="AG41" s="2220"/>
      <c r="AH41" s="2220"/>
      <c r="AI41" s="2219">
        <f t="shared" si="28"/>
        <v>0</v>
      </c>
      <c r="AJ41" s="2220"/>
      <c r="AK41" s="2220"/>
      <c r="AL41" s="2219">
        <f t="shared" si="29"/>
        <v>0</v>
      </c>
      <c r="AM41" s="2220"/>
      <c r="AN41" s="2220"/>
      <c r="AO41" s="2219"/>
      <c r="AP41" s="2219"/>
      <c r="AQ41" s="2219"/>
      <c r="AR41" s="2219">
        <f t="shared" si="30"/>
        <v>0</v>
      </c>
      <c r="AS41" s="2220"/>
      <c r="AT41" s="2220"/>
      <c r="AU41" s="2219">
        <f t="shared" si="31"/>
        <v>0</v>
      </c>
      <c r="AV41" s="2220"/>
      <c r="AW41" s="2220"/>
      <c r="AX41" s="2219">
        <f t="shared" si="57"/>
        <v>0</v>
      </c>
      <c r="AY41" s="2220"/>
      <c r="AZ41" s="2220"/>
      <c r="BA41" s="2219">
        <f t="shared" si="58"/>
        <v>0</v>
      </c>
      <c r="BB41" s="2220"/>
      <c r="BC41" s="2220"/>
      <c r="BD41" s="2219">
        <f t="shared" si="34"/>
        <v>0</v>
      </c>
      <c r="BE41" s="2220"/>
      <c r="BF41" s="2220"/>
      <c r="BG41" s="2219">
        <f t="shared" si="35"/>
        <v>0</v>
      </c>
      <c r="BH41" s="2220"/>
      <c r="BI41" s="2220"/>
      <c r="BJ41" s="2219">
        <f t="shared" si="36"/>
        <v>0</v>
      </c>
      <c r="BK41" s="2220"/>
      <c r="BL41" s="2220"/>
      <c r="BM41" s="2219">
        <f t="shared" si="37"/>
        <v>0</v>
      </c>
      <c r="BN41" s="2220"/>
      <c r="BO41" s="2220"/>
      <c r="BP41" s="2219">
        <f t="shared" si="38"/>
        <v>0</v>
      </c>
      <c r="BQ41" s="2220"/>
      <c r="BR41" s="2220"/>
      <c r="BS41" s="2219">
        <f t="shared" si="39"/>
        <v>0</v>
      </c>
      <c r="BT41" s="2220"/>
      <c r="BU41" s="2220"/>
      <c r="BV41" s="2219">
        <f t="shared" si="40"/>
        <v>0</v>
      </c>
      <c r="BW41" s="2220"/>
      <c r="BX41" s="2220"/>
      <c r="BY41" s="2219"/>
      <c r="BZ41" s="2219">
        <f t="shared" si="41"/>
        <v>0</v>
      </c>
      <c r="CA41" s="2220"/>
      <c r="CB41" s="2220"/>
      <c r="CC41" s="2219"/>
      <c r="CD41" s="2219">
        <f t="shared" si="42"/>
        <v>0</v>
      </c>
      <c r="CE41" s="2220"/>
      <c r="CF41" s="2220"/>
      <c r="CG41" s="2219">
        <f t="shared" si="43"/>
        <v>0</v>
      </c>
      <c r="CH41" s="2220"/>
      <c r="CI41" s="2220"/>
      <c r="CJ41" s="2219">
        <f>+[4]Doprava!$B$11</f>
        <v>4000000</v>
      </c>
      <c r="CK41" s="2219">
        <f t="shared" si="44"/>
        <v>0</v>
      </c>
      <c r="CL41" s="2220"/>
      <c r="CM41" s="2220"/>
      <c r="CN41" s="2219"/>
      <c r="CO41" s="2220"/>
      <c r="CP41" s="2220"/>
      <c r="CQ41" s="2219"/>
      <c r="CR41" s="2220"/>
      <c r="CS41" s="2220"/>
      <c r="CT41" s="2219"/>
      <c r="CU41" s="2220"/>
      <c r="CV41" s="2220"/>
      <c r="CW41" s="2219">
        <f t="shared" si="45"/>
        <v>0</v>
      </c>
      <c r="CX41" s="2220"/>
      <c r="CY41" s="2220"/>
      <c r="CZ41" s="2219"/>
      <c r="DA41" s="2219">
        <f t="shared" si="46"/>
        <v>0</v>
      </c>
      <c r="DB41" s="2220"/>
      <c r="DC41" s="2220"/>
      <c r="DD41" s="2219">
        <f t="shared" si="47"/>
        <v>0</v>
      </c>
      <c r="DE41" s="2220"/>
      <c r="DF41" s="2220"/>
      <c r="DG41" s="2219">
        <f t="shared" si="48"/>
        <v>0</v>
      </c>
      <c r="DH41" s="2220"/>
      <c r="DI41" s="2220"/>
      <c r="DJ41" s="2219"/>
      <c r="DK41" s="2219">
        <f t="shared" si="49"/>
        <v>0</v>
      </c>
      <c r="DL41" s="2220"/>
      <c r="DM41" s="2220"/>
      <c r="DN41" s="2220"/>
      <c r="DO41" s="2219"/>
      <c r="DP41" s="2219"/>
      <c r="DQ41" s="2219"/>
      <c r="DR41" s="2219"/>
      <c r="DS41" s="2219"/>
      <c r="DT41" s="2219"/>
      <c r="DU41" s="2219"/>
      <c r="DV41" s="2219"/>
      <c r="DW41" s="2220"/>
      <c r="DX41" s="2220"/>
      <c r="DY41" s="2219"/>
      <c r="DZ41" s="2219"/>
      <c r="EA41" s="2223"/>
      <c r="EB41" s="2214">
        <f t="shared" si="73"/>
        <v>4000000</v>
      </c>
      <c r="EC41" s="2173">
        <f t="shared" si="74"/>
        <v>0</v>
      </c>
      <c r="ED41" s="2174"/>
      <c r="EE41" s="2217">
        <f t="shared" si="54"/>
        <v>4000000</v>
      </c>
      <c r="EF41" s="2174">
        <f t="shared" si="7"/>
        <v>0</v>
      </c>
      <c r="EG41" s="2217">
        <f t="shared" si="25"/>
        <v>0</v>
      </c>
      <c r="EI41" s="2216"/>
    </row>
    <row r="42" spans="1:139" ht="13.5" customHeight="1" outlineLevel="1">
      <c r="A42" s="2233">
        <v>5194</v>
      </c>
      <c r="B42" s="2206" t="s">
        <v>95</v>
      </c>
      <c r="C42" s="2217">
        <v>310000</v>
      </c>
      <c r="D42" s="2217">
        <v>345000</v>
      </c>
      <c r="E42" s="2217">
        <v>345000</v>
      </c>
      <c r="F42" s="2217">
        <v>345000</v>
      </c>
      <c r="G42" s="2217">
        <v>345000</v>
      </c>
      <c r="H42" s="2217">
        <v>345000</v>
      </c>
      <c r="I42" s="2217">
        <f t="shared" si="51"/>
        <v>345000</v>
      </c>
      <c r="J42" s="2218"/>
      <c r="K42" s="2219"/>
      <c r="L42" s="2219"/>
      <c r="M42" s="2219"/>
      <c r="N42" s="2219"/>
      <c r="O42" s="2219"/>
      <c r="P42" s="2219">
        <f>+[2]Zastupitelé!$B$80</f>
        <v>95000</v>
      </c>
      <c r="Q42" s="2219"/>
      <c r="R42" s="2219">
        <f t="shared" si="26"/>
        <v>100000</v>
      </c>
      <c r="S42" s="2243">
        <f>+[2]Správa!$B$103</f>
        <v>100000</v>
      </c>
      <c r="T42" s="2221">
        <v>0</v>
      </c>
      <c r="U42" s="2219"/>
      <c r="V42" s="2235">
        <f t="shared" si="56"/>
        <v>0</v>
      </c>
      <c r="W42" s="2219">
        <f>+'[2]Pečovatelská služba'!$B$87</f>
        <v>15000</v>
      </c>
      <c r="X42" s="2219"/>
      <c r="Y42" s="2219"/>
      <c r="Z42" s="2219">
        <f>+'[2]Městská policie'!$B$120</f>
        <v>10000</v>
      </c>
      <c r="AA42" s="2219"/>
      <c r="AB42" s="2219"/>
      <c r="AC42" s="2219"/>
      <c r="AD42" s="2219"/>
      <c r="AE42" s="2219">
        <f>+[2]Kultura!$B$46</f>
        <v>125000</v>
      </c>
      <c r="AF42" s="2219">
        <f t="shared" si="27"/>
        <v>0</v>
      </c>
      <c r="AG42" s="2220"/>
      <c r="AH42" s="2220"/>
      <c r="AI42" s="2219">
        <f t="shared" si="28"/>
        <v>0</v>
      </c>
      <c r="AJ42" s="2220"/>
      <c r="AK42" s="2220"/>
      <c r="AL42" s="2219">
        <f t="shared" si="29"/>
        <v>0</v>
      </c>
      <c r="AM42" s="2220"/>
      <c r="AN42" s="2220"/>
      <c r="AO42" s="2219"/>
      <c r="AP42" s="2219"/>
      <c r="AQ42" s="2219"/>
      <c r="AR42" s="2219">
        <f t="shared" si="30"/>
        <v>0</v>
      </c>
      <c r="AS42" s="2220"/>
      <c r="AT42" s="2220"/>
      <c r="AU42" s="2219">
        <f t="shared" si="31"/>
        <v>0</v>
      </c>
      <c r="AV42" s="2220"/>
      <c r="AW42" s="2220"/>
      <c r="AX42" s="2219">
        <f t="shared" si="57"/>
        <v>0</v>
      </c>
      <c r="AY42" s="2220"/>
      <c r="AZ42" s="2220"/>
      <c r="BA42" s="2219">
        <f t="shared" si="58"/>
        <v>0</v>
      </c>
      <c r="BB42" s="2220"/>
      <c r="BC42" s="2220"/>
      <c r="BD42" s="2219">
        <f t="shared" si="34"/>
        <v>0</v>
      </c>
      <c r="BE42" s="2220"/>
      <c r="BF42" s="2220"/>
      <c r="BG42" s="2219">
        <f t="shared" si="35"/>
        <v>0</v>
      </c>
      <c r="BH42" s="2220"/>
      <c r="BI42" s="2220"/>
      <c r="BJ42" s="2219">
        <f t="shared" si="36"/>
        <v>0</v>
      </c>
      <c r="BK42" s="2220"/>
      <c r="BL42" s="2220"/>
      <c r="BM42" s="2219">
        <f t="shared" si="37"/>
        <v>0</v>
      </c>
      <c r="BN42" s="2220"/>
      <c r="BO42" s="2220"/>
      <c r="BP42" s="2219">
        <f t="shared" si="38"/>
        <v>0</v>
      </c>
      <c r="BQ42" s="2220"/>
      <c r="BR42" s="2220"/>
      <c r="BS42" s="2219">
        <f t="shared" si="39"/>
        <v>0</v>
      </c>
      <c r="BT42" s="2220"/>
      <c r="BU42" s="2220"/>
      <c r="BV42" s="2219">
        <f t="shared" si="40"/>
        <v>0</v>
      </c>
      <c r="BW42" s="2220"/>
      <c r="BX42" s="2220"/>
      <c r="BY42" s="2219"/>
      <c r="BZ42" s="2219">
        <f t="shared" si="41"/>
        <v>0</v>
      </c>
      <c r="CA42" s="2220"/>
      <c r="CB42" s="2220"/>
      <c r="CC42" s="2219"/>
      <c r="CD42" s="2219">
        <f t="shared" si="42"/>
        <v>0</v>
      </c>
      <c r="CE42" s="2220"/>
      <c r="CF42" s="2220"/>
      <c r="CG42" s="2219">
        <f t="shared" si="43"/>
        <v>0</v>
      </c>
      <c r="CH42" s="2220"/>
      <c r="CI42" s="2220"/>
      <c r="CJ42" s="2219"/>
      <c r="CK42" s="2219">
        <f t="shared" si="44"/>
        <v>0</v>
      </c>
      <c r="CL42" s="2220"/>
      <c r="CM42" s="2220"/>
      <c r="CN42" s="2219"/>
      <c r="CO42" s="2220"/>
      <c r="CP42" s="2220"/>
      <c r="CQ42" s="2219"/>
      <c r="CR42" s="2220"/>
      <c r="CS42" s="2220"/>
      <c r="CT42" s="2219"/>
      <c r="CU42" s="2220"/>
      <c r="CV42" s="2220"/>
      <c r="CW42" s="2219">
        <f t="shared" si="45"/>
        <v>0</v>
      </c>
      <c r="CX42" s="2220"/>
      <c r="CY42" s="2220"/>
      <c r="CZ42" s="2219"/>
      <c r="DA42" s="2219">
        <f t="shared" si="46"/>
        <v>0</v>
      </c>
      <c r="DB42" s="2220"/>
      <c r="DC42" s="2220"/>
      <c r="DD42" s="2219">
        <f t="shared" si="47"/>
        <v>0</v>
      </c>
      <c r="DE42" s="2220"/>
      <c r="DF42" s="2220"/>
      <c r="DG42" s="2219">
        <f t="shared" si="48"/>
        <v>0</v>
      </c>
      <c r="DH42" s="2220"/>
      <c r="DI42" s="2220"/>
      <c r="DJ42" s="2219"/>
      <c r="DK42" s="2219">
        <f t="shared" si="49"/>
        <v>0</v>
      </c>
      <c r="DL42" s="2220"/>
      <c r="DM42" s="2220"/>
      <c r="DN42" s="2220"/>
      <c r="DO42" s="2219"/>
      <c r="DP42" s="2219"/>
      <c r="DQ42" s="2219"/>
      <c r="DR42" s="2219"/>
      <c r="DS42" s="2219"/>
      <c r="DT42" s="2219"/>
      <c r="DU42" s="2219"/>
      <c r="DV42" s="2219"/>
      <c r="DW42" s="2220"/>
      <c r="DX42" s="2220"/>
      <c r="DY42" s="2219"/>
      <c r="DZ42" s="2219"/>
      <c r="EA42" s="2223"/>
      <c r="EB42" s="2214">
        <f t="shared" ref="EB42:EB43" si="75">+J42+K42+L42+N42+P42+Q42+R42+U42+V42+W42+Y42+Z42+AA42+AC42+AD42+AE42+AF42+AI42+AL42+AO42+AP42+AQ42+AR42+AU42+BD42+BJ42+BM42+BP42+BS42+BV42+BY42+BZ42+CC42+CD42+CG42+CJ42+CK42+CN42+CQ42+CT42+CW42+CZ42+DA42+DD42+DG42+DJ42+DK42+DO42+DP42+DQ42+DR42+DS42+DU42+DV42+DY42+DZ42+EA42+BG42+BA42+AX42+AB42-V42+M42+O42+X42</f>
        <v>345000</v>
      </c>
      <c r="EC42" s="2173">
        <f t="shared" ref="EC42:EC73" si="76">EB42-I42</f>
        <v>0</v>
      </c>
      <c r="ED42" s="2174"/>
      <c r="EE42" s="2217">
        <f t="shared" si="54"/>
        <v>345000</v>
      </c>
      <c r="EF42" s="2174">
        <f t="shared" si="7"/>
        <v>0</v>
      </c>
      <c r="EG42" s="2217">
        <f t="shared" si="25"/>
        <v>0</v>
      </c>
      <c r="EI42" s="2216"/>
    </row>
    <row r="43" spans="1:139" ht="13.5" customHeight="1" outlineLevel="1">
      <c r="A43" s="2233">
        <v>5329</v>
      </c>
      <c r="B43" s="2206" t="s">
        <v>96</v>
      </c>
      <c r="C43" s="2217">
        <v>2514380</v>
      </c>
      <c r="D43" s="2217">
        <v>4274360</v>
      </c>
      <c r="E43" s="2217">
        <v>4274360</v>
      </c>
      <c r="F43" s="2217">
        <v>4274360</v>
      </c>
      <c r="G43" s="2217">
        <v>4274360</v>
      </c>
      <c r="H43" s="2217">
        <v>4274360</v>
      </c>
      <c r="I43" s="2217">
        <f t="shared" si="51"/>
        <v>4274360</v>
      </c>
      <c r="J43" s="2218"/>
      <c r="K43" s="2219"/>
      <c r="L43" s="2219"/>
      <c r="M43" s="2219"/>
      <c r="N43" s="2219">
        <f>+'[6]Všebecná pokladna'!$B$49</f>
        <v>2674360</v>
      </c>
      <c r="O43" s="2219"/>
      <c r="P43" s="2219"/>
      <c r="Q43" s="2219"/>
      <c r="R43" s="2219">
        <f t="shared" si="26"/>
        <v>0</v>
      </c>
      <c r="S43" s="2220"/>
      <c r="T43" s="2221"/>
      <c r="U43" s="2219"/>
      <c r="V43" s="2235">
        <f t="shared" si="56"/>
        <v>0</v>
      </c>
      <c r="W43" s="2219"/>
      <c r="X43" s="2219"/>
      <c r="Y43" s="2219"/>
      <c r="Z43" s="2219"/>
      <c r="AA43" s="2219"/>
      <c r="AB43" s="2219"/>
      <c r="AC43" s="2219"/>
      <c r="AD43" s="2219"/>
      <c r="AE43" s="2219"/>
      <c r="AF43" s="2219">
        <f t="shared" si="27"/>
        <v>0</v>
      </c>
      <c r="AG43" s="2220"/>
      <c r="AH43" s="2220"/>
      <c r="AI43" s="2219">
        <f t="shared" si="28"/>
        <v>0</v>
      </c>
      <c r="AJ43" s="2220"/>
      <c r="AK43" s="2220"/>
      <c r="AL43" s="2219">
        <f t="shared" si="29"/>
        <v>0</v>
      </c>
      <c r="AM43" s="2220"/>
      <c r="AN43" s="2220"/>
      <c r="AO43" s="2219"/>
      <c r="AP43" s="2219"/>
      <c r="AQ43" s="2219"/>
      <c r="AR43" s="2219">
        <f t="shared" si="30"/>
        <v>0</v>
      </c>
      <c r="AS43" s="2220"/>
      <c r="AT43" s="2220"/>
      <c r="AU43" s="2219">
        <f t="shared" si="31"/>
        <v>0</v>
      </c>
      <c r="AV43" s="2220"/>
      <c r="AW43" s="2220"/>
      <c r="AX43" s="2219">
        <f t="shared" si="57"/>
        <v>0</v>
      </c>
      <c r="AY43" s="2220"/>
      <c r="AZ43" s="2220"/>
      <c r="BA43" s="2219">
        <f t="shared" si="58"/>
        <v>0</v>
      </c>
      <c r="BB43" s="2220"/>
      <c r="BC43" s="2220"/>
      <c r="BD43" s="2219">
        <f t="shared" si="34"/>
        <v>0</v>
      </c>
      <c r="BE43" s="2220"/>
      <c r="BF43" s="2220"/>
      <c r="BG43" s="2219">
        <f t="shared" si="35"/>
        <v>1600000</v>
      </c>
      <c r="BH43" s="2220">
        <f>+[6]SŠ!$B$32</f>
        <v>1600000</v>
      </c>
      <c r="BI43" s="2220">
        <v>0</v>
      </c>
      <c r="BJ43" s="2219">
        <f t="shared" si="36"/>
        <v>0</v>
      </c>
      <c r="BK43" s="2220"/>
      <c r="BL43" s="2220"/>
      <c r="BM43" s="2219">
        <f t="shared" si="37"/>
        <v>0</v>
      </c>
      <c r="BN43" s="2220"/>
      <c r="BO43" s="2220"/>
      <c r="BP43" s="2219">
        <f t="shared" si="38"/>
        <v>0</v>
      </c>
      <c r="BQ43" s="2220"/>
      <c r="BR43" s="2220"/>
      <c r="BS43" s="2219">
        <f t="shared" si="39"/>
        <v>0</v>
      </c>
      <c r="BT43" s="2220"/>
      <c r="BU43" s="2220"/>
      <c r="BV43" s="2219">
        <f t="shared" si="40"/>
        <v>0</v>
      </c>
      <c r="BW43" s="2220"/>
      <c r="BX43" s="2220"/>
      <c r="BY43" s="2219"/>
      <c r="BZ43" s="2219">
        <f t="shared" si="41"/>
        <v>0</v>
      </c>
      <c r="CA43" s="2220"/>
      <c r="CB43" s="2220"/>
      <c r="CC43" s="2219"/>
      <c r="CD43" s="2219">
        <f t="shared" si="42"/>
        <v>0</v>
      </c>
      <c r="CE43" s="2220"/>
      <c r="CF43" s="2220"/>
      <c r="CG43" s="2219">
        <f t="shared" si="43"/>
        <v>0</v>
      </c>
      <c r="CH43" s="2220"/>
      <c r="CI43" s="2220"/>
      <c r="CJ43" s="2219"/>
      <c r="CK43" s="2219">
        <f t="shared" si="44"/>
        <v>0</v>
      </c>
      <c r="CL43" s="2220"/>
      <c r="CM43" s="2220"/>
      <c r="CN43" s="2219"/>
      <c r="CO43" s="2220"/>
      <c r="CP43" s="2220"/>
      <c r="CQ43" s="2219"/>
      <c r="CR43" s="2220"/>
      <c r="CS43" s="2220"/>
      <c r="CT43" s="2219"/>
      <c r="CU43" s="2220"/>
      <c r="CV43" s="2220"/>
      <c r="CW43" s="2219">
        <f t="shared" si="45"/>
        <v>0</v>
      </c>
      <c r="CX43" s="2220"/>
      <c r="CY43" s="2220"/>
      <c r="CZ43" s="2219"/>
      <c r="DA43" s="2219">
        <f t="shared" si="46"/>
        <v>0</v>
      </c>
      <c r="DB43" s="2220"/>
      <c r="DC43" s="2220"/>
      <c r="DD43" s="2219">
        <f t="shared" si="47"/>
        <v>0</v>
      </c>
      <c r="DE43" s="2220"/>
      <c r="DF43" s="2220"/>
      <c r="DG43" s="2219">
        <f t="shared" si="48"/>
        <v>0</v>
      </c>
      <c r="DH43" s="2220"/>
      <c r="DI43" s="2220"/>
      <c r="DJ43" s="2219"/>
      <c r="DK43" s="2219">
        <f t="shared" si="49"/>
        <v>0</v>
      </c>
      <c r="DL43" s="2220"/>
      <c r="DM43" s="2220"/>
      <c r="DN43" s="2220"/>
      <c r="DO43" s="2219"/>
      <c r="DP43" s="2219"/>
      <c r="DQ43" s="2219"/>
      <c r="DR43" s="2219"/>
      <c r="DS43" s="2219"/>
      <c r="DT43" s="2219"/>
      <c r="DU43" s="2219"/>
      <c r="DV43" s="2219"/>
      <c r="DW43" s="2220"/>
      <c r="DX43" s="2220"/>
      <c r="DY43" s="2219"/>
      <c r="DZ43" s="2219"/>
      <c r="EA43" s="2223"/>
      <c r="EB43" s="2214">
        <f t="shared" si="75"/>
        <v>4274360</v>
      </c>
      <c r="EC43" s="2173">
        <f t="shared" si="76"/>
        <v>0</v>
      </c>
      <c r="ED43" s="2174"/>
      <c r="EE43" s="2217">
        <f t="shared" si="54"/>
        <v>4274360</v>
      </c>
      <c r="EF43" s="2174">
        <f t="shared" si="7"/>
        <v>0</v>
      </c>
      <c r="EG43" s="2217">
        <f t="shared" si="25"/>
        <v>0</v>
      </c>
      <c r="EI43" s="2216"/>
    </row>
    <row r="44" spans="1:139" ht="13.5" customHeight="1" outlineLevel="1">
      <c r="A44" s="2233">
        <v>5331</v>
      </c>
      <c r="B44" s="2206" t="s">
        <v>97</v>
      </c>
      <c r="C44" s="2217">
        <v>33799900</v>
      </c>
      <c r="D44" s="2217">
        <v>53986224</v>
      </c>
      <c r="E44" s="2217">
        <v>54036224</v>
      </c>
      <c r="F44" s="2217">
        <v>54036224</v>
      </c>
      <c r="G44" s="2217">
        <v>54036224</v>
      </c>
      <c r="H44" s="2217">
        <v>54036224</v>
      </c>
      <c r="I44" s="2217">
        <f>SUM(J44:R44)+SUM(W44:AF44)+AI44+AL44+SUM(AO44:AR44)+AU44+BD44+BJ44+BM44+BP44+BS44+BV44+BY44+BZ44+CC44+CD44+CG44+SUM(CJ44:CK44)+CT44+CW44+CZ44+DA44+DD44+DG44+DJ44+DK44+SUM(DO44:DV44)+CN44+CQ44+SUM(DY44:EA44)+U44+AX44+BA44+V44+BG44</f>
        <v>54036224</v>
      </c>
      <c r="J44" s="2218"/>
      <c r="K44" s="2219"/>
      <c r="L44" s="2219"/>
      <c r="M44" s="2219"/>
      <c r="N44" s="2219"/>
      <c r="O44" s="2219"/>
      <c r="P44" s="2219"/>
      <c r="Q44" s="2219"/>
      <c r="R44" s="2219">
        <f t="shared" si="26"/>
        <v>0</v>
      </c>
      <c r="S44" s="2220"/>
      <c r="T44" s="2221"/>
      <c r="U44" s="2219"/>
      <c r="V44" s="2239">
        <v>30900000</v>
      </c>
      <c r="W44" s="2219"/>
      <c r="X44" s="2219"/>
      <c r="Y44" s="2219"/>
      <c r="Z44" s="2219"/>
      <c r="AA44" s="2219"/>
      <c r="AB44" s="2219"/>
      <c r="AC44" s="2219"/>
      <c r="AD44" s="2219"/>
      <c r="AE44" s="2219"/>
      <c r="AF44" s="2219">
        <f t="shared" si="27"/>
        <v>0</v>
      </c>
      <c r="AG44" s="2220"/>
      <c r="AH44" s="2220"/>
      <c r="AI44" s="2219">
        <f t="shared" si="28"/>
        <v>0</v>
      </c>
      <c r="AJ44" s="2220"/>
      <c r="AK44" s="2220"/>
      <c r="AL44" s="2219">
        <f t="shared" si="29"/>
        <v>0</v>
      </c>
      <c r="AM44" s="2220"/>
      <c r="AN44" s="2220"/>
      <c r="AO44" s="2219"/>
      <c r="AP44" s="2219"/>
      <c r="AQ44" s="2219"/>
      <c r="AR44" s="2219">
        <f t="shared" si="30"/>
        <v>0</v>
      </c>
      <c r="AS44" s="2220"/>
      <c r="AT44" s="2220"/>
      <c r="AU44" s="2219">
        <f t="shared" si="31"/>
        <v>0</v>
      </c>
      <c r="AV44" s="2220"/>
      <c r="AW44" s="2220"/>
      <c r="AX44" s="2219">
        <f t="shared" si="57"/>
        <v>0</v>
      </c>
      <c r="AY44" s="2220"/>
      <c r="AZ44" s="2220"/>
      <c r="BA44" s="2219">
        <f t="shared" si="58"/>
        <v>0</v>
      </c>
      <c r="BB44" s="2220"/>
      <c r="BC44" s="2220"/>
      <c r="BD44" s="2240">
        <f t="shared" si="34"/>
        <v>18012224</v>
      </c>
      <c r="BE44" s="2220">
        <f>+[6]ZŠ!$B$32</f>
        <v>18012224</v>
      </c>
      <c r="BF44" s="2220"/>
      <c r="BG44" s="2219">
        <f t="shared" si="35"/>
        <v>0</v>
      </c>
      <c r="BH44" s="2220"/>
      <c r="BI44" s="2220"/>
      <c r="BJ44" s="2219">
        <f t="shared" si="36"/>
        <v>0</v>
      </c>
      <c r="BK44" s="2220"/>
      <c r="BL44" s="2220"/>
      <c r="BM44" s="2219">
        <f t="shared" si="37"/>
        <v>650000</v>
      </c>
      <c r="BN44" s="2220">
        <f>+[6]MDDM!$B$4</f>
        <v>650000</v>
      </c>
      <c r="BO44" s="2220"/>
      <c r="BP44" s="2219">
        <f t="shared" si="38"/>
        <v>0</v>
      </c>
      <c r="BQ44" s="2220"/>
      <c r="BR44" s="2220"/>
      <c r="BS44" s="2219">
        <f t="shared" si="39"/>
        <v>4274000</v>
      </c>
      <c r="BT44" s="2220">
        <f>+'[6]MŠ Koll'!$B$4</f>
        <v>4274000</v>
      </c>
      <c r="BU44" s="2220"/>
      <c r="BV44" s="2219">
        <f t="shared" si="40"/>
        <v>0</v>
      </c>
      <c r="BW44" s="2220">
        <f>+'[6]Jídelna ZŠ'!$B$4</f>
        <v>0</v>
      </c>
      <c r="BX44" s="2220"/>
      <c r="BY44" s="2219">
        <f>+'[6]Jídelna MŠ Koll.'!$B$4</f>
        <v>200000</v>
      </c>
      <c r="BZ44" s="2219">
        <f t="shared" si="41"/>
        <v>0</v>
      </c>
      <c r="CA44" s="2220"/>
      <c r="CB44" s="2220"/>
      <c r="CC44" s="2219"/>
      <c r="CD44" s="2219">
        <f t="shared" si="42"/>
        <v>0</v>
      </c>
      <c r="CE44" s="2220"/>
      <c r="CF44" s="2220"/>
      <c r="CG44" s="2219">
        <f t="shared" si="43"/>
        <v>0</v>
      </c>
      <c r="CH44" s="2220"/>
      <c r="CI44" s="2220"/>
      <c r="CJ44" s="2219"/>
      <c r="CK44" s="2219">
        <f t="shared" si="44"/>
        <v>0</v>
      </c>
      <c r="CL44" s="2220"/>
      <c r="CM44" s="2220"/>
      <c r="CN44" s="2219"/>
      <c r="CO44" s="2220"/>
      <c r="CP44" s="2220"/>
      <c r="CQ44" s="2219"/>
      <c r="CR44" s="2220"/>
      <c r="CS44" s="2220"/>
      <c r="CT44" s="2219"/>
      <c r="CU44" s="2220"/>
      <c r="CV44" s="2220"/>
      <c r="CW44" s="2219">
        <f t="shared" si="45"/>
        <v>0</v>
      </c>
      <c r="CX44" s="2220"/>
      <c r="CY44" s="2220"/>
      <c r="CZ44" s="2219"/>
      <c r="DA44" s="2219">
        <f t="shared" si="46"/>
        <v>0</v>
      </c>
      <c r="DB44" s="2220"/>
      <c r="DC44" s="2220"/>
      <c r="DD44" s="2219">
        <f t="shared" si="47"/>
        <v>0</v>
      </c>
      <c r="DE44" s="2220"/>
      <c r="DF44" s="2220"/>
      <c r="DG44" s="2219">
        <f t="shared" si="48"/>
        <v>0</v>
      </c>
      <c r="DH44" s="2220"/>
      <c r="DI44" s="2220"/>
      <c r="DJ44" s="2219"/>
      <c r="DK44" s="2219">
        <f t="shared" si="49"/>
        <v>0</v>
      </c>
      <c r="DL44" s="2220"/>
      <c r="DM44" s="2220"/>
      <c r="DN44" s="2220"/>
      <c r="DO44" s="2219"/>
      <c r="DP44" s="2219"/>
      <c r="DQ44" s="2219"/>
      <c r="DR44" s="2219"/>
      <c r="DS44" s="2219"/>
      <c r="DT44" s="2219"/>
      <c r="DU44" s="2219"/>
      <c r="DV44" s="2219"/>
      <c r="DW44" s="2220"/>
      <c r="DX44" s="2220"/>
      <c r="DY44" s="2219"/>
      <c r="DZ44" s="2219"/>
      <c r="EA44" s="2223"/>
      <c r="EB44" s="2214">
        <f>+J44+K44+L44+N44+P44+Q44+R44+U44+V44+W44+Y44+Z44+AA44+AC44+AD44+AE44+AF44+AI44+AL44+AO44+AP44+AQ44+AR44+AU44+BD44+BJ44+BM44+BP44+BS44+BV44+BY44+BZ44+CC44+CD44+CG44+CJ44+CK44+CN44+CQ44+CT44+CW44+CZ44+DA44+DD44+DG44+DJ44+DK44+DO44+DP44+DQ44+DR44+DS44+DU44+DV44+DY44+DZ44+EA44+BG44+BA44+AX44+AB44-V44+M44+O44+X44+V44</f>
        <v>54036224</v>
      </c>
      <c r="EC44" s="2173">
        <f t="shared" si="76"/>
        <v>0</v>
      </c>
      <c r="ED44" s="2174"/>
      <c r="EE44" s="2217">
        <f t="shared" si="54"/>
        <v>23136224</v>
      </c>
      <c r="EF44" s="2174">
        <f t="shared" si="7"/>
        <v>0</v>
      </c>
      <c r="EG44" s="2217">
        <f>+T44+AH44+AK44++AN44+AT44+AW44+BF44+BL44+BO44+BR44+BU44+BX44+CB44+CF44+CI44+CM44+CY44+DC44+DF44+DI44+DN44+V44</f>
        <v>30900000</v>
      </c>
      <c r="EI44" s="2216"/>
    </row>
    <row r="45" spans="1:139" ht="13.5" customHeight="1" outlineLevel="1">
      <c r="A45" s="2233">
        <v>5361</v>
      </c>
      <c r="B45" s="2206" t="s">
        <v>98</v>
      </c>
      <c r="C45" s="2217">
        <v>40000</v>
      </c>
      <c r="D45" s="2217">
        <v>40000</v>
      </c>
      <c r="E45" s="2217">
        <v>40000</v>
      </c>
      <c r="F45" s="2217">
        <v>40000</v>
      </c>
      <c r="G45" s="2217">
        <v>40000</v>
      </c>
      <c r="H45" s="2217">
        <v>40000</v>
      </c>
      <c r="I45" s="2217">
        <f t="shared" si="51"/>
        <v>40000</v>
      </c>
      <c r="J45" s="2218"/>
      <c r="K45" s="2219"/>
      <c r="L45" s="2219"/>
      <c r="M45" s="2219"/>
      <c r="N45" s="2219"/>
      <c r="O45" s="2219"/>
      <c r="P45" s="2219"/>
      <c r="Q45" s="2219"/>
      <c r="R45" s="2219">
        <f t="shared" si="26"/>
        <v>30000</v>
      </c>
      <c r="S45" s="2243">
        <f>+[2]Správa!$B$110</f>
        <v>30000</v>
      </c>
      <c r="T45" s="2221">
        <v>0</v>
      </c>
      <c r="U45" s="2219"/>
      <c r="V45" s="2235">
        <f t="shared" si="56"/>
        <v>0</v>
      </c>
      <c r="W45" s="2219"/>
      <c r="X45" s="2219"/>
      <c r="Y45" s="2219"/>
      <c r="Z45" s="2219">
        <f>+'[2]Městská policie'!$B$127</f>
        <v>10000</v>
      </c>
      <c r="AA45" s="2219"/>
      <c r="AB45" s="2219"/>
      <c r="AC45" s="2219"/>
      <c r="AD45" s="2219"/>
      <c r="AE45" s="2219"/>
      <c r="AF45" s="2219">
        <f t="shared" si="27"/>
        <v>0</v>
      </c>
      <c r="AG45" s="2220"/>
      <c r="AH45" s="2220"/>
      <c r="AI45" s="2219">
        <f t="shared" si="28"/>
        <v>0</v>
      </c>
      <c r="AJ45" s="2220"/>
      <c r="AK45" s="2220"/>
      <c r="AL45" s="2219">
        <f t="shared" si="29"/>
        <v>0</v>
      </c>
      <c r="AM45" s="2220"/>
      <c r="AN45" s="2220"/>
      <c r="AO45" s="2219"/>
      <c r="AP45" s="2219"/>
      <c r="AQ45" s="2219"/>
      <c r="AR45" s="2219">
        <f t="shared" si="30"/>
        <v>0</v>
      </c>
      <c r="AS45" s="2220"/>
      <c r="AT45" s="2220"/>
      <c r="AU45" s="2219">
        <f t="shared" si="31"/>
        <v>0</v>
      </c>
      <c r="AV45" s="2220"/>
      <c r="AW45" s="2220"/>
      <c r="AX45" s="2219">
        <f t="shared" si="57"/>
        <v>0</v>
      </c>
      <c r="AY45" s="2220"/>
      <c r="AZ45" s="2220"/>
      <c r="BA45" s="2219">
        <f t="shared" si="58"/>
        <v>0</v>
      </c>
      <c r="BB45" s="2220"/>
      <c r="BC45" s="2220"/>
      <c r="BD45" s="2219">
        <f t="shared" si="34"/>
        <v>0</v>
      </c>
      <c r="BE45" s="2220"/>
      <c r="BF45" s="2220"/>
      <c r="BG45" s="2219">
        <f t="shared" si="35"/>
        <v>0</v>
      </c>
      <c r="BH45" s="2220"/>
      <c r="BI45" s="2220"/>
      <c r="BJ45" s="2219">
        <f t="shared" si="36"/>
        <v>0</v>
      </c>
      <c r="BK45" s="2220"/>
      <c r="BL45" s="2220"/>
      <c r="BM45" s="2219">
        <f t="shared" si="37"/>
        <v>0</v>
      </c>
      <c r="BN45" s="2220"/>
      <c r="BO45" s="2220"/>
      <c r="BP45" s="2219">
        <f t="shared" si="38"/>
        <v>0</v>
      </c>
      <c r="BQ45" s="2220"/>
      <c r="BR45" s="2220"/>
      <c r="BS45" s="2219">
        <f t="shared" si="39"/>
        <v>0</v>
      </c>
      <c r="BT45" s="2220"/>
      <c r="BU45" s="2220"/>
      <c r="BV45" s="2219">
        <f t="shared" si="40"/>
        <v>0</v>
      </c>
      <c r="BW45" s="2220"/>
      <c r="BX45" s="2220"/>
      <c r="BY45" s="2219"/>
      <c r="BZ45" s="2219">
        <f t="shared" si="41"/>
        <v>0</v>
      </c>
      <c r="CA45" s="2220"/>
      <c r="CB45" s="2220"/>
      <c r="CC45" s="2219"/>
      <c r="CD45" s="2219">
        <f t="shared" si="42"/>
        <v>0</v>
      </c>
      <c r="CE45" s="2220"/>
      <c r="CF45" s="2220"/>
      <c r="CG45" s="2219">
        <f t="shared" si="43"/>
        <v>0</v>
      </c>
      <c r="CH45" s="2220"/>
      <c r="CI45" s="2220"/>
      <c r="CJ45" s="2219"/>
      <c r="CK45" s="2219">
        <f t="shared" si="44"/>
        <v>0</v>
      </c>
      <c r="CL45" s="2220"/>
      <c r="CM45" s="2220"/>
      <c r="CN45" s="2219"/>
      <c r="CO45" s="2220"/>
      <c r="CP45" s="2220"/>
      <c r="CQ45" s="2219"/>
      <c r="CR45" s="2220"/>
      <c r="CS45" s="2220"/>
      <c r="CT45" s="2219"/>
      <c r="CU45" s="2220"/>
      <c r="CV45" s="2220"/>
      <c r="CW45" s="2219">
        <f t="shared" si="45"/>
        <v>0</v>
      </c>
      <c r="CX45" s="2220"/>
      <c r="CY45" s="2220"/>
      <c r="CZ45" s="2219"/>
      <c r="DA45" s="2219">
        <f t="shared" si="46"/>
        <v>0</v>
      </c>
      <c r="DB45" s="2220"/>
      <c r="DC45" s="2220"/>
      <c r="DD45" s="2219">
        <f t="shared" si="47"/>
        <v>0</v>
      </c>
      <c r="DE45" s="2220"/>
      <c r="DF45" s="2220"/>
      <c r="DG45" s="2219">
        <f t="shared" si="48"/>
        <v>0</v>
      </c>
      <c r="DH45" s="2220"/>
      <c r="DI45" s="2220"/>
      <c r="DJ45" s="2219"/>
      <c r="DK45" s="2219">
        <f t="shared" si="49"/>
        <v>0</v>
      </c>
      <c r="DL45" s="2220"/>
      <c r="DM45" s="2220"/>
      <c r="DN45" s="2220"/>
      <c r="DO45" s="2219"/>
      <c r="DP45" s="2219"/>
      <c r="DQ45" s="2219"/>
      <c r="DR45" s="2219"/>
      <c r="DS45" s="2219"/>
      <c r="DT45" s="2219"/>
      <c r="DU45" s="2219"/>
      <c r="DV45" s="2219"/>
      <c r="DW45" s="2220"/>
      <c r="DX45" s="2220"/>
      <c r="DY45" s="2219"/>
      <c r="DZ45" s="2219"/>
      <c r="EA45" s="2223"/>
      <c r="EB45" s="2214">
        <f t="shared" ref="EB45:EB51" si="77">+J45+K45+L45+N45+P45+Q45+R45+U45+V45+W45+Y45+Z45+AA45+AC45+AD45+AE45+AF45+AI45+AL45+AO45+AP45+AQ45+AR45+AU45+BD45+BJ45+BM45+BP45+BS45+BV45+BY45+BZ45+CC45+CD45+CG45+CJ45+CK45+CN45+CQ45+CT45+CW45+CZ45+DA45+DD45+DG45+DJ45+DK45+DO45+DP45+DQ45+DR45+DS45+DU45+DV45+DY45+DZ45+EA45+BG45+BA45+AX45+AB45-V45+M45+O45+X45</f>
        <v>40000</v>
      </c>
      <c r="EC45" s="2173">
        <f t="shared" si="76"/>
        <v>0</v>
      </c>
      <c r="ED45" s="2174"/>
      <c r="EE45" s="2217">
        <f t="shared" si="54"/>
        <v>40000</v>
      </c>
      <c r="EF45" s="2174">
        <f t="shared" si="7"/>
        <v>0</v>
      </c>
      <c r="EG45" s="2217">
        <f t="shared" si="25"/>
        <v>0</v>
      </c>
      <c r="EI45" s="2216"/>
    </row>
    <row r="46" spans="1:139" ht="13.5" customHeight="1" outlineLevel="1">
      <c r="A46" s="2233">
        <v>5362</v>
      </c>
      <c r="B46" s="2206" t="s">
        <v>99</v>
      </c>
      <c r="C46" s="2217">
        <v>1130000</v>
      </c>
      <c r="D46" s="2217">
        <v>3690000</v>
      </c>
      <c r="E46" s="2217">
        <v>3690000</v>
      </c>
      <c r="F46" s="2217">
        <v>3690000</v>
      </c>
      <c r="G46" s="2217">
        <v>3690000</v>
      </c>
      <c r="H46" s="2217">
        <v>3690000</v>
      </c>
      <c r="I46" s="2217">
        <f t="shared" si="51"/>
        <v>3690000</v>
      </c>
      <c r="J46" s="2218"/>
      <c r="K46" s="2219"/>
      <c r="L46" s="2219"/>
      <c r="M46" s="2219"/>
      <c r="N46" s="2219">
        <f>+'[3]Všeob. pokladna'!$B$39+'[6]Všebecná pokladna'!$B$57</f>
        <v>3550000</v>
      </c>
      <c r="O46" s="2219"/>
      <c r="P46" s="2219"/>
      <c r="Q46" s="2219"/>
      <c r="R46" s="2219">
        <f t="shared" si="26"/>
        <v>100000</v>
      </c>
      <c r="S46" s="2243">
        <f>+[2]Správa!$B$117</f>
        <v>100000</v>
      </c>
      <c r="T46" s="2221">
        <v>0</v>
      </c>
      <c r="U46" s="2219"/>
      <c r="V46" s="2235">
        <f t="shared" si="56"/>
        <v>0</v>
      </c>
      <c r="W46" s="2219">
        <f>+'[2]Pečovatelská služba'!$B$94</f>
        <v>6000</v>
      </c>
      <c r="X46" s="2219"/>
      <c r="Y46" s="2219"/>
      <c r="Z46" s="2219">
        <f>+'[2]Městská policie'!$B$134</f>
        <v>5000</v>
      </c>
      <c r="AA46" s="2219"/>
      <c r="AB46" s="2219"/>
      <c r="AC46" s="2219">
        <f>+[2]Knihovna!$B$90</f>
        <v>4000</v>
      </c>
      <c r="AD46" s="2219"/>
      <c r="AE46" s="2219">
        <f>+[2]Kultura!$B$53</f>
        <v>25000</v>
      </c>
      <c r="AF46" s="2219">
        <f t="shared" si="27"/>
        <v>0</v>
      </c>
      <c r="AG46" s="2220"/>
      <c r="AH46" s="2220"/>
      <c r="AI46" s="2219">
        <f t="shared" si="28"/>
        <v>0</v>
      </c>
      <c r="AJ46" s="2220"/>
      <c r="AK46" s="2220"/>
      <c r="AL46" s="2219">
        <f t="shared" si="29"/>
        <v>0</v>
      </c>
      <c r="AM46" s="2220"/>
      <c r="AN46" s="2220"/>
      <c r="AO46" s="2219"/>
      <c r="AP46" s="2219"/>
      <c r="AQ46" s="2219"/>
      <c r="AR46" s="2219">
        <f t="shared" si="30"/>
        <v>0</v>
      </c>
      <c r="AS46" s="2220"/>
      <c r="AT46" s="2220"/>
      <c r="AU46" s="2219">
        <f t="shared" si="31"/>
        <v>0</v>
      </c>
      <c r="AV46" s="2220"/>
      <c r="AW46" s="2220"/>
      <c r="AX46" s="2219">
        <f t="shared" si="57"/>
        <v>0</v>
      </c>
      <c r="AY46" s="2220"/>
      <c r="AZ46" s="2220"/>
      <c r="BA46" s="2219">
        <f t="shared" si="58"/>
        <v>0</v>
      </c>
      <c r="BB46" s="2220"/>
      <c r="BC46" s="2220"/>
      <c r="BD46" s="2219">
        <f t="shared" si="34"/>
        <v>0</v>
      </c>
      <c r="BE46" s="2220"/>
      <c r="BF46" s="2220"/>
      <c r="BG46" s="2219">
        <f t="shared" si="35"/>
        <v>0</v>
      </c>
      <c r="BH46" s="2220"/>
      <c r="BI46" s="2220"/>
      <c r="BJ46" s="2219">
        <f t="shared" si="36"/>
        <v>0</v>
      </c>
      <c r="BK46" s="2220"/>
      <c r="BL46" s="2220"/>
      <c r="BM46" s="2219">
        <f t="shared" si="37"/>
        <v>0</v>
      </c>
      <c r="BN46" s="2220"/>
      <c r="BO46" s="2220"/>
      <c r="BP46" s="2219">
        <f t="shared" si="38"/>
        <v>0</v>
      </c>
      <c r="BQ46" s="2220"/>
      <c r="BR46" s="2220"/>
      <c r="BS46" s="2219">
        <f t="shared" si="39"/>
        <v>0</v>
      </c>
      <c r="BT46" s="2220"/>
      <c r="BU46" s="2220"/>
      <c r="BV46" s="2219">
        <f t="shared" si="40"/>
        <v>0</v>
      </c>
      <c r="BW46" s="2220"/>
      <c r="BX46" s="2220"/>
      <c r="BY46" s="2219"/>
      <c r="BZ46" s="2219">
        <f t="shared" si="41"/>
        <v>0</v>
      </c>
      <c r="CA46" s="2220"/>
      <c r="CB46" s="2220"/>
      <c r="CC46" s="2219"/>
      <c r="CD46" s="2219">
        <f t="shared" si="42"/>
        <v>0</v>
      </c>
      <c r="CE46" s="2220"/>
      <c r="CF46" s="2220"/>
      <c r="CG46" s="2219">
        <f t="shared" si="43"/>
        <v>0</v>
      </c>
      <c r="CH46" s="2220">
        <f>+'[4]Silnice světelná křižovatka'!$B$28</f>
        <v>0</v>
      </c>
      <c r="CI46" s="2220"/>
      <c r="CJ46" s="2219"/>
      <c r="CK46" s="2219">
        <f t="shared" si="44"/>
        <v>0</v>
      </c>
      <c r="CL46" s="2220"/>
      <c r="CM46" s="2220"/>
      <c r="CN46" s="2219"/>
      <c r="CO46" s="2220"/>
      <c r="CP46" s="2220"/>
      <c r="CQ46" s="2219"/>
      <c r="CR46" s="2220"/>
      <c r="CS46" s="2220"/>
      <c r="CT46" s="2219"/>
      <c r="CU46" s="2220"/>
      <c r="CV46" s="2220"/>
      <c r="CW46" s="2219">
        <f t="shared" si="45"/>
        <v>0</v>
      </c>
      <c r="CX46" s="2220"/>
      <c r="CY46" s="2220"/>
      <c r="CZ46" s="2219"/>
      <c r="DA46" s="2219">
        <f t="shared" si="46"/>
        <v>0</v>
      </c>
      <c r="DB46" s="2220"/>
      <c r="DC46" s="2220"/>
      <c r="DD46" s="2219">
        <f t="shared" si="47"/>
        <v>0</v>
      </c>
      <c r="DE46" s="2220"/>
      <c r="DF46" s="2220"/>
      <c r="DG46" s="2219">
        <f t="shared" si="48"/>
        <v>0</v>
      </c>
      <c r="DH46" s="2220"/>
      <c r="DI46" s="2220"/>
      <c r="DJ46" s="2219"/>
      <c r="DK46" s="2219">
        <f t="shared" si="49"/>
        <v>0</v>
      </c>
      <c r="DL46" s="2220"/>
      <c r="DM46" s="2220"/>
      <c r="DN46" s="2220"/>
      <c r="DO46" s="2219"/>
      <c r="DP46" s="2219"/>
      <c r="DQ46" s="2219"/>
      <c r="DR46" s="2219"/>
      <c r="DS46" s="2219"/>
      <c r="DT46" s="2219"/>
      <c r="DU46" s="2219"/>
      <c r="DV46" s="2219"/>
      <c r="DW46" s="2220"/>
      <c r="DX46" s="2220"/>
      <c r="DY46" s="2219"/>
      <c r="DZ46" s="2219"/>
      <c r="EA46" s="2223"/>
      <c r="EB46" s="2214">
        <f t="shared" si="77"/>
        <v>3690000</v>
      </c>
      <c r="EC46" s="2173">
        <f t="shared" si="76"/>
        <v>0</v>
      </c>
      <c r="ED46" s="2174"/>
      <c r="EE46" s="2217">
        <f t="shared" si="54"/>
        <v>3690000</v>
      </c>
      <c r="EF46" s="2174">
        <f t="shared" si="7"/>
        <v>0</v>
      </c>
      <c r="EG46" s="2217">
        <f t="shared" si="25"/>
        <v>0</v>
      </c>
      <c r="EI46" s="2216"/>
    </row>
    <row r="47" spans="1:139" ht="13.5" customHeight="1" outlineLevel="1">
      <c r="A47" s="2233">
        <v>5363</v>
      </c>
      <c r="B47" s="2206" t="s">
        <v>776</v>
      </c>
      <c r="C47" s="2217">
        <v>0</v>
      </c>
      <c r="D47" s="2217">
        <v>0</v>
      </c>
      <c r="E47" s="2217">
        <v>0</v>
      </c>
      <c r="F47" s="2217">
        <v>0</v>
      </c>
      <c r="G47" s="2217">
        <v>0</v>
      </c>
      <c r="H47" s="2217">
        <v>0</v>
      </c>
      <c r="I47" s="2217">
        <f t="shared" si="51"/>
        <v>10829500</v>
      </c>
      <c r="J47" s="2218"/>
      <c r="K47" s="2219"/>
      <c r="L47" s="2219"/>
      <c r="M47" s="2219"/>
      <c r="N47" s="2219">
        <f>+'[3]Všeob. pokladna'!$B$46</f>
        <v>10829500</v>
      </c>
      <c r="O47" s="2219"/>
      <c r="P47" s="2219"/>
      <c r="Q47" s="2219"/>
      <c r="R47" s="2219">
        <f t="shared" si="26"/>
        <v>0</v>
      </c>
      <c r="S47" s="2220"/>
      <c r="T47" s="2221"/>
      <c r="U47" s="2219"/>
      <c r="V47" s="2235">
        <f t="shared" si="56"/>
        <v>0</v>
      </c>
      <c r="W47" s="2219"/>
      <c r="X47" s="2219"/>
      <c r="Y47" s="2219"/>
      <c r="Z47" s="2219"/>
      <c r="AA47" s="2219"/>
      <c r="AB47" s="2219"/>
      <c r="AC47" s="2219"/>
      <c r="AD47" s="2219"/>
      <c r="AE47" s="2219"/>
      <c r="AF47" s="2219"/>
      <c r="AG47" s="2220"/>
      <c r="AH47" s="2220"/>
      <c r="AI47" s="2219"/>
      <c r="AJ47" s="2220"/>
      <c r="AK47" s="2220"/>
      <c r="AL47" s="2219"/>
      <c r="AM47" s="2220"/>
      <c r="AN47" s="2220"/>
      <c r="AO47" s="2219"/>
      <c r="AP47" s="2219"/>
      <c r="AQ47" s="2219"/>
      <c r="AR47" s="2219"/>
      <c r="AS47" s="2220"/>
      <c r="AT47" s="2220"/>
      <c r="AU47" s="2219"/>
      <c r="AV47" s="2220"/>
      <c r="AW47" s="2220"/>
      <c r="AX47" s="2219"/>
      <c r="AY47" s="2220"/>
      <c r="AZ47" s="2220"/>
      <c r="BA47" s="2219"/>
      <c r="BB47" s="2220"/>
      <c r="BC47" s="2220"/>
      <c r="BD47" s="2219"/>
      <c r="BE47" s="2220"/>
      <c r="BF47" s="2220"/>
      <c r="BG47" s="2219"/>
      <c r="BH47" s="2220"/>
      <c r="BI47" s="2220"/>
      <c r="BJ47" s="2219"/>
      <c r="BK47" s="2220"/>
      <c r="BL47" s="2220"/>
      <c r="BM47" s="2219"/>
      <c r="BN47" s="2220"/>
      <c r="BO47" s="2220"/>
      <c r="BP47" s="2219"/>
      <c r="BQ47" s="2220"/>
      <c r="BR47" s="2220"/>
      <c r="BS47" s="2219"/>
      <c r="BT47" s="2220"/>
      <c r="BU47" s="2220"/>
      <c r="BV47" s="2219"/>
      <c r="BW47" s="2220"/>
      <c r="BX47" s="2220"/>
      <c r="BY47" s="2219"/>
      <c r="BZ47" s="2219"/>
      <c r="CA47" s="2220"/>
      <c r="CB47" s="2220"/>
      <c r="CC47" s="2219"/>
      <c r="CD47" s="2219"/>
      <c r="CE47" s="2220"/>
      <c r="CF47" s="2220"/>
      <c r="CG47" s="2219"/>
      <c r="CH47" s="2220"/>
      <c r="CI47" s="2220"/>
      <c r="CJ47" s="2219"/>
      <c r="CK47" s="2219">
        <f t="shared" si="44"/>
        <v>0</v>
      </c>
      <c r="CL47" s="2220">
        <f>+[3]Vodovod!$D$27</f>
        <v>0</v>
      </c>
      <c r="CM47" s="2220">
        <f>+[3]Vodovod!$E$27</f>
        <v>0</v>
      </c>
      <c r="CN47" s="2219"/>
      <c r="CO47" s="2220"/>
      <c r="CP47" s="2220"/>
      <c r="CQ47" s="2219"/>
      <c r="CR47" s="2220"/>
      <c r="CS47" s="2220"/>
      <c r="CT47" s="2219"/>
      <c r="CU47" s="2220"/>
      <c r="CV47" s="2220"/>
      <c r="CW47" s="2219"/>
      <c r="CX47" s="2220"/>
      <c r="CY47" s="2220"/>
      <c r="CZ47" s="2219"/>
      <c r="DA47" s="2219"/>
      <c r="DB47" s="2220"/>
      <c r="DC47" s="2220"/>
      <c r="DD47" s="2219"/>
      <c r="DE47" s="2220"/>
      <c r="DF47" s="2220"/>
      <c r="DG47" s="2219"/>
      <c r="DH47" s="2220"/>
      <c r="DI47" s="2220"/>
      <c r="DJ47" s="2219"/>
      <c r="DK47" s="2219"/>
      <c r="DL47" s="2220"/>
      <c r="DM47" s="2220"/>
      <c r="DN47" s="2220"/>
      <c r="DO47" s="2219"/>
      <c r="DP47" s="2219"/>
      <c r="DQ47" s="2219"/>
      <c r="DR47" s="2219"/>
      <c r="DS47" s="2219"/>
      <c r="DT47" s="2219"/>
      <c r="DU47" s="2219"/>
      <c r="DV47" s="2219"/>
      <c r="DW47" s="2220"/>
      <c r="DX47" s="2220"/>
      <c r="DY47" s="2219"/>
      <c r="DZ47" s="2219"/>
      <c r="EA47" s="2223"/>
      <c r="EB47" s="2214">
        <f t="shared" si="77"/>
        <v>10829500</v>
      </c>
      <c r="EC47" s="2173">
        <f t="shared" si="76"/>
        <v>0</v>
      </c>
      <c r="ED47" s="2174"/>
      <c r="EE47" s="2217">
        <f t="shared" si="54"/>
        <v>10829500</v>
      </c>
      <c r="EF47" s="2174">
        <f t="shared" si="7"/>
        <v>0</v>
      </c>
      <c r="EG47" s="2217"/>
      <c r="EI47" s="2216"/>
    </row>
    <row r="48" spans="1:139" ht="13.5" customHeight="1" outlineLevel="1">
      <c r="A48" s="2233">
        <v>5492</v>
      </c>
      <c r="B48" s="2206" t="s">
        <v>100</v>
      </c>
      <c r="C48" s="2217">
        <v>925000</v>
      </c>
      <c r="D48" s="2217">
        <v>470000</v>
      </c>
      <c r="E48" s="2217">
        <v>470000</v>
      </c>
      <c r="F48" s="2217">
        <v>470000</v>
      </c>
      <c r="G48" s="2217">
        <v>470000</v>
      </c>
      <c r="H48" s="2217">
        <v>470000</v>
      </c>
      <c r="I48" s="2217">
        <f t="shared" si="51"/>
        <v>470000</v>
      </c>
      <c r="J48" s="2218"/>
      <c r="K48" s="2219"/>
      <c r="L48" s="2219"/>
      <c r="M48" s="2219"/>
      <c r="N48" s="2219"/>
      <c r="O48" s="2219"/>
      <c r="P48" s="2219">
        <f>+[2]Zastupitelé!$B$88</f>
        <v>450000</v>
      </c>
      <c r="Q48" s="2219"/>
      <c r="R48" s="2219">
        <f t="shared" si="26"/>
        <v>0</v>
      </c>
      <c r="S48" s="2220"/>
      <c r="T48" s="2221"/>
      <c r="U48" s="2219"/>
      <c r="V48" s="2235">
        <f t="shared" si="56"/>
        <v>0</v>
      </c>
      <c r="W48" s="2219"/>
      <c r="X48" s="2219"/>
      <c r="Y48" s="2219"/>
      <c r="Z48" s="2219"/>
      <c r="AA48" s="2219"/>
      <c r="AB48" s="2219"/>
      <c r="AC48" s="2219"/>
      <c r="AD48" s="2219"/>
      <c r="AE48" s="2219">
        <f>+[2]Kultura!$B$60</f>
        <v>20000</v>
      </c>
      <c r="AF48" s="2219">
        <f t="shared" si="27"/>
        <v>0</v>
      </c>
      <c r="AG48" s="2220"/>
      <c r="AH48" s="2220"/>
      <c r="AI48" s="2219">
        <f t="shared" si="28"/>
        <v>0</v>
      </c>
      <c r="AJ48" s="2220"/>
      <c r="AK48" s="2220"/>
      <c r="AL48" s="2219">
        <f t="shared" si="29"/>
        <v>0</v>
      </c>
      <c r="AM48" s="2220"/>
      <c r="AN48" s="2220"/>
      <c r="AO48" s="2219"/>
      <c r="AP48" s="2219"/>
      <c r="AQ48" s="2219"/>
      <c r="AR48" s="2219">
        <f t="shared" si="30"/>
        <v>0</v>
      </c>
      <c r="AS48" s="2220"/>
      <c r="AT48" s="2220"/>
      <c r="AU48" s="2219">
        <f t="shared" si="31"/>
        <v>0</v>
      </c>
      <c r="AV48" s="2220"/>
      <c r="AW48" s="2220"/>
      <c r="AX48" s="2219">
        <f t="shared" ref="AX48:AX50" si="78">+AY48+AZ48</f>
        <v>0</v>
      </c>
      <c r="AY48" s="2220"/>
      <c r="AZ48" s="2220"/>
      <c r="BA48" s="2219">
        <f t="shared" ref="BA48:BA50" si="79">+BB48+BC48</f>
        <v>0</v>
      </c>
      <c r="BB48" s="2220"/>
      <c r="BC48" s="2220"/>
      <c r="BD48" s="2219">
        <f t="shared" si="34"/>
        <v>0</v>
      </c>
      <c r="BE48" s="2220"/>
      <c r="BF48" s="2220"/>
      <c r="BG48" s="2219">
        <f t="shared" ref="BG48:BG50" si="80">+BH48+BI48</f>
        <v>0</v>
      </c>
      <c r="BH48" s="2220"/>
      <c r="BI48" s="2220"/>
      <c r="BJ48" s="2219">
        <f t="shared" si="36"/>
        <v>0</v>
      </c>
      <c r="BK48" s="2220"/>
      <c r="BL48" s="2220"/>
      <c r="BM48" s="2219">
        <f t="shared" si="37"/>
        <v>0</v>
      </c>
      <c r="BN48" s="2220"/>
      <c r="BO48" s="2220"/>
      <c r="BP48" s="2219">
        <f t="shared" si="38"/>
        <v>0</v>
      </c>
      <c r="BQ48" s="2220"/>
      <c r="BR48" s="2220"/>
      <c r="BS48" s="2219">
        <f t="shared" si="39"/>
        <v>0</v>
      </c>
      <c r="BT48" s="2220"/>
      <c r="BU48" s="2220"/>
      <c r="BV48" s="2219">
        <f t="shared" si="40"/>
        <v>0</v>
      </c>
      <c r="BW48" s="2220"/>
      <c r="BX48" s="2220"/>
      <c r="BY48" s="2219"/>
      <c r="BZ48" s="2219">
        <f t="shared" si="41"/>
        <v>0</v>
      </c>
      <c r="CA48" s="2220"/>
      <c r="CB48" s="2220"/>
      <c r="CC48" s="2219"/>
      <c r="CD48" s="2219">
        <f t="shared" si="42"/>
        <v>0</v>
      </c>
      <c r="CE48" s="2220"/>
      <c r="CF48" s="2220"/>
      <c r="CG48" s="2219">
        <f t="shared" si="43"/>
        <v>0</v>
      </c>
      <c r="CH48" s="2220"/>
      <c r="CI48" s="2220"/>
      <c r="CJ48" s="2219"/>
      <c r="CK48" s="2219">
        <f t="shared" si="44"/>
        <v>0</v>
      </c>
      <c r="CL48" s="2220"/>
      <c r="CM48" s="2220"/>
      <c r="CN48" s="2219"/>
      <c r="CO48" s="2220"/>
      <c r="CP48" s="2220"/>
      <c r="CQ48" s="2219"/>
      <c r="CR48" s="2220"/>
      <c r="CS48" s="2220"/>
      <c r="CT48" s="2219"/>
      <c r="CU48" s="2220"/>
      <c r="CV48" s="2220"/>
      <c r="CW48" s="2219">
        <f t="shared" si="45"/>
        <v>0</v>
      </c>
      <c r="CX48" s="2220"/>
      <c r="CY48" s="2220"/>
      <c r="CZ48" s="2219"/>
      <c r="DA48" s="2219">
        <f t="shared" si="46"/>
        <v>0</v>
      </c>
      <c r="DB48" s="2220"/>
      <c r="DC48" s="2220"/>
      <c r="DD48" s="2219">
        <f t="shared" si="47"/>
        <v>0</v>
      </c>
      <c r="DE48" s="2220"/>
      <c r="DF48" s="2220"/>
      <c r="DG48" s="2219">
        <f t="shared" si="48"/>
        <v>0</v>
      </c>
      <c r="DH48" s="2220"/>
      <c r="DI48" s="2220"/>
      <c r="DJ48" s="2219"/>
      <c r="DK48" s="2219">
        <f t="shared" si="49"/>
        <v>0</v>
      </c>
      <c r="DL48" s="2220"/>
      <c r="DM48" s="2220"/>
      <c r="DN48" s="2220"/>
      <c r="DO48" s="2219"/>
      <c r="DP48" s="2219"/>
      <c r="DQ48" s="2219"/>
      <c r="DR48" s="2219"/>
      <c r="DS48" s="2219"/>
      <c r="DT48" s="2219"/>
      <c r="DU48" s="2219"/>
      <c r="DV48" s="2219"/>
      <c r="DW48" s="2220"/>
      <c r="DX48" s="2220"/>
      <c r="DY48" s="2219"/>
      <c r="DZ48" s="2219"/>
      <c r="EA48" s="2223"/>
      <c r="EB48" s="2214">
        <f t="shared" si="77"/>
        <v>470000</v>
      </c>
      <c r="EC48" s="2173">
        <f t="shared" si="76"/>
        <v>0</v>
      </c>
      <c r="ED48" s="2174"/>
      <c r="EE48" s="2217">
        <f t="shared" si="54"/>
        <v>470000</v>
      </c>
      <c r="EF48" s="2174">
        <f t="shared" si="7"/>
        <v>0</v>
      </c>
      <c r="EG48" s="2217">
        <f t="shared" si="25"/>
        <v>0</v>
      </c>
      <c r="EI48" s="2216"/>
    </row>
    <row r="49" spans="1:139" ht="13.5" customHeight="1" outlineLevel="1">
      <c r="A49" s="2233">
        <v>5499</v>
      </c>
      <c r="B49" s="2206" t="s">
        <v>746</v>
      </c>
      <c r="C49" s="2217">
        <v>1620000</v>
      </c>
      <c r="D49" s="2217">
        <v>1980000</v>
      </c>
      <c r="E49" s="2217">
        <v>1980000</v>
      </c>
      <c r="F49" s="2217">
        <v>1980000</v>
      </c>
      <c r="G49" s="2217">
        <v>1980000</v>
      </c>
      <c r="H49" s="2217">
        <v>1980000</v>
      </c>
      <c r="I49" s="2217">
        <f t="shared" si="51"/>
        <v>1980000</v>
      </c>
      <c r="J49" s="2218"/>
      <c r="K49" s="2219"/>
      <c r="L49" s="2219"/>
      <c r="M49" s="2219"/>
      <c r="N49" s="2219">
        <f>+'[6]Všebecná pokladna'!$B$64</f>
        <v>1980000</v>
      </c>
      <c r="O49" s="2219"/>
      <c r="P49" s="2219"/>
      <c r="Q49" s="2219"/>
      <c r="R49" s="2219">
        <f t="shared" si="26"/>
        <v>0</v>
      </c>
      <c r="S49" s="2220"/>
      <c r="T49" s="2221"/>
      <c r="U49" s="2219"/>
      <c r="V49" s="2235">
        <f t="shared" si="56"/>
        <v>0</v>
      </c>
      <c r="W49" s="2219"/>
      <c r="X49" s="2219"/>
      <c r="Y49" s="2219"/>
      <c r="Z49" s="2219"/>
      <c r="AA49" s="2219"/>
      <c r="AB49" s="2219"/>
      <c r="AC49" s="2219"/>
      <c r="AD49" s="2219"/>
      <c r="AE49" s="2219"/>
      <c r="AF49" s="2219">
        <f t="shared" si="27"/>
        <v>0</v>
      </c>
      <c r="AG49" s="2220"/>
      <c r="AH49" s="2220"/>
      <c r="AI49" s="2219">
        <f t="shared" si="28"/>
        <v>0</v>
      </c>
      <c r="AJ49" s="2220"/>
      <c r="AK49" s="2220"/>
      <c r="AL49" s="2219">
        <f t="shared" si="29"/>
        <v>0</v>
      </c>
      <c r="AM49" s="2220"/>
      <c r="AN49" s="2220"/>
      <c r="AO49" s="2219"/>
      <c r="AP49" s="2219"/>
      <c r="AQ49" s="2219"/>
      <c r="AR49" s="2219">
        <f t="shared" si="30"/>
        <v>0</v>
      </c>
      <c r="AS49" s="2220"/>
      <c r="AT49" s="2220"/>
      <c r="AU49" s="2219">
        <f t="shared" si="31"/>
        <v>0</v>
      </c>
      <c r="AV49" s="2220"/>
      <c r="AW49" s="2220"/>
      <c r="AX49" s="2219">
        <f t="shared" si="78"/>
        <v>0</v>
      </c>
      <c r="AY49" s="2220"/>
      <c r="AZ49" s="2220"/>
      <c r="BA49" s="2219">
        <f t="shared" si="79"/>
        <v>0</v>
      </c>
      <c r="BB49" s="2220"/>
      <c r="BC49" s="2220"/>
      <c r="BD49" s="2219">
        <f t="shared" si="34"/>
        <v>0</v>
      </c>
      <c r="BE49" s="2220"/>
      <c r="BF49" s="2220"/>
      <c r="BG49" s="2219">
        <f t="shared" si="80"/>
        <v>0</v>
      </c>
      <c r="BH49" s="2220"/>
      <c r="BI49" s="2220"/>
      <c r="BJ49" s="2219">
        <f t="shared" si="36"/>
        <v>0</v>
      </c>
      <c r="BK49" s="2220"/>
      <c r="BL49" s="2220"/>
      <c r="BM49" s="2219">
        <f t="shared" si="37"/>
        <v>0</v>
      </c>
      <c r="BN49" s="2220"/>
      <c r="BO49" s="2220"/>
      <c r="BP49" s="2219">
        <f t="shared" si="38"/>
        <v>0</v>
      </c>
      <c r="BQ49" s="2220"/>
      <c r="BR49" s="2220"/>
      <c r="BS49" s="2219">
        <f t="shared" si="39"/>
        <v>0</v>
      </c>
      <c r="BT49" s="2220"/>
      <c r="BU49" s="2220"/>
      <c r="BV49" s="2219">
        <f t="shared" si="40"/>
        <v>0</v>
      </c>
      <c r="BW49" s="2220"/>
      <c r="BX49" s="2220"/>
      <c r="BY49" s="2219"/>
      <c r="BZ49" s="2219">
        <f t="shared" si="41"/>
        <v>0</v>
      </c>
      <c r="CA49" s="2220"/>
      <c r="CB49" s="2220"/>
      <c r="CC49" s="2219"/>
      <c r="CD49" s="2219">
        <f t="shared" si="42"/>
        <v>0</v>
      </c>
      <c r="CE49" s="2220"/>
      <c r="CF49" s="2220"/>
      <c r="CG49" s="2219">
        <f t="shared" si="43"/>
        <v>0</v>
      </c>
      <c r="CH49" s="2220"/>
      <c r="CI49" s="2220"/>
      <c r="CJ49" s="2219"/>
      <c r="CK49" s="2219">
        <f t="shared" si="44"/>
        <v>0</v>
      </c>
      <c r="CL49" s="2220"/>
      <c r="CM49" s="2220"/>
      <c r="CN49" s="2219"/>
      <c r="CO49" s="2220"/>
      <c r="CP49" s="2220"/>
      <c r="CQ49" s="2219"/>
      <c r="CR49" s="2220"/>
      <c r="CS49" s="2220"/>
      <c r="CT49" s="2219"/>
      <c r="CU49" s="2220"/>
      <c r="CV49" s="2220"/>
      <c r="CW49" s="2219">
        <f t="shared" si="45"/>
        <v>0</v>
      </c>
      <c r="CX49" s="2220"/>
      <c r="CY49" s="2220"/>
      <c r="CZ49" s="2219"/>
      <c r="DA49" s="2219">
        <f t="shared" si="46"/>
        <v>0</v>
      </c>
      <c r="DB49" s="2220"/>
      <c r="DC49" s="2220"/>
      <c r="DD49" s="2219">
        <f t="shared" si="47"/>
        <v>0</v>
      </c>
      <c r="DE49" s="2220"/>
      <c r="DF49" s="2220"/>
      <c r="DG49" s="2219">
        <f t="shared" si="48"/>
        <v>0</v>
      </c>
      <c r="DH49" s="2220"/>
      <c r="DI49" s="2220"/>
      <c r="DJ49" s="2219"/>
      <c r="DK49" s="2219">
        <f t="shared" si="49"/>
        <v>0</v>
      </c>
      <c r="DL49" s="2220"/>
      <c r="DM49" s="2220"/>
      <c r="DN49" s="2220"/>
      <c r="DO49" s="2219"/>
      <c r="DP49" s="2219"/>
      <c r="DQ49" s="2219"/>
      <c r="DR49" s="2219"/>
      <c r="DS49" s="2219"/>
      <c r="DT49" s="2219"/>
      <c r="DU49" s="2219"/>
      <c r="DV49" s="2219"/>
      <c r="DW49" s="2220"/>
      <c r="DX49" s="2220"/>
      <c r="DY49" s="2219"/>
      <c r="DZ49" s="2219"/>
      <c r="EA49" s="2223"/>
      <c r="EB49" s="2214">
        <f t="shared" si="77"/>
        <v>1980000</v>
      </c>
      <c r="EC49" s="2173">
        <f t="shared" si="76"/>
        <v>0</v>
      </c>
      <c r="ED49" s="2174"/>
      <c r="EE49" s="2217">
        <f t="shared" si="54"/>
        <v>1980000</v>
      </c>
      <c r="EF49" s="2174">
        <f t="shared" si="7"/>
        <v>0</v>
      </c>
      <c r="EG49" s="2217">
        <f t="shared" si="25"/>
        <v>0</v>
      </c>
      <c r="EI49" s="2216"/>
    </row>
    <row r="50" spans="1:139" ht="13.5" customHeight="1" outlineLevel="1">
      <c r="A50" s="2233">
        <v>5222</v>
      </c>
      <c r="B50" s="2206" t="s">
        <v>101</v>
      </c>
      <c r="C50" s="2217">
        <v>1200000</v>
      </c>
      <c r="D50" s="2217">
        <v>1200000</v>
      </c>
      <c r="E50" s="2217">
        <v>1200000</v>
      </c>
      <c r="F50" s="2217">
        <v>1200000</v>
      </c>
      <c r="G50" s="2217">
        <v>1200000</v>
      </c>
      <c r="H50" s="2217">
        <v>1200000</v>
      </c>
      <c r="I50" s="2217">
        <f t="shared" si="51"/>
        <v>1200000</v>
      </c>
      <c r="J50" s="2218"/>
      <c r="K50" s="2219"/>
      <c r="L50" s="2219"/>
      <c r="M50" s="2219"/>
      <c r="N50" s="2219"/>
      <c r="O50" s="2219"/>
      <c r="P50" s="2219"/>
      <c r="Q50" s="2219"/>
      <c r="R50" s="2219">
        <f t="shared" si="26"/>
        <v>0</v>
      </c>
      <c r="S50" s="2220"/>
      <c r="T50" s="2221"/>
      <c r="U50" s="2219"/>
      <c r="V50" s="2235">
        <f t="shared" si="56"/>
        <v>0</v>
      </c>
      <c r="W50" s="2219"/>
      <c r="X50" s="2219"/>
      <c r="Y50" s="2219"/>
      <c r="Z50" s="2219"/>
      <c r="AA50" s="2219"/>
      <c r="AB50" s="2219"/>
      <c r="AC50" s="2219"/>
      <c r="AD50" s="2219"/>
      <c r="AE50" s="2219"/>
      <c r="AF50" s="2219">
        <f t="shared" si="27"/>
        <v>0</v>
      </c>
      <c r="AG50" s="2220"/>
      <c r="AH50" s="2220"/>
      <c r="AI50" s="2219">
        <f t="shared" si="28"/>
        <v>0</v>
      </c>
      <c r="AJ50" s="2220"/>
      <c r="AK50" s="2220"/>
      <c r="AL50" s="2219">
        <f t="shared" si="29"/>
        <v>0</v>
      </c>
      <c r="AM50" s="2220"/>
      <c r="AN50" s="2220"/>
      <c r="AO50" s="2219"/>
      <c r="AP50" s="2219"/>
      <c r="AQ50" s="2219"/>
      <c r="AR50" s="2219">
        <f t="shared" si="30"/>
        <v>0</v>
      </c>
      <c r="AS50" s="2220"/>
      <c r="AT50" s="2220"/>
      <c r="AU50" s="2219">
        <f t="shared" si="31"/>
        <v>0</v>
      </c>
      <c r="AV50" s="2220">
        <f>+[6]Koupaliště!$B$11</f>
        <v>0</v>
      </c>
      <c r="AW50" s="2220"/>
      <c r="AX50" s="2219">
        <f t="shared" si="78"/>
        <v>0</v>
      </c>
      <c r="AY50" s="2220">
        <f>+[6]Hřiště!$B$11</f>
        <v>0</v>
      </c>
      <c r="AZ50" s="2220"/>
      <c r="BA50" s="2219">
        <f t="shared" si="79"/>
        <v>1200000</v>
      </c>
      <c r="BB50" s="2220">
        <f>+[6]Spolky!$B$11</f>
        <v>1200000</v>
      </c>
      <c r="BC50" s="2220">
        <v>0</v>
      </c>
      <c r="BD50" s="2219">
        <f t="shared" si="34"/>
        <v>0</v>
      </c>
      <c r="BE50" s="2220"/>
      <c r="BF50" s="2220"/>
      <c r="BG50" s="2219">
        <f t="shared" si="80"/>
        <v>0</v>
      </c>
      <c r="BH50" s="2220"/>
      <c r="BI50" s="2220"/>
      <c r="BJ50" s="2219">
        <f t="shared" si="36"/>
        <v>0</v>
      </c>
      <c r="BK50" s="2220"/>
      <c r="BL50" s="2220"/>
      <c r="BM50" s="2219">
        <f t="shared" si="37"/>
        <v>0</v>
      </c>
      <c r="BN50" s="2220"/>
      <c r="BO50" s="2220"/>
      <c r="BP50" s="2219">
        <f t="shared" si="38"/>
        <v>0</v>
      </c>
      <c r="BQ50" s="2220"/>
      <c r="BR50" s="2220"/>
      <c r="BS50" s="2219">
        <f t="shared" si="39"/>
        <v>0</v>
      </c>
      <c r="BT50" s="2220"/>
      <c r="BU50" s="2220"/>
      <c r="BV50" s="2219">
        <f t="shared" si="40"/>
        <v>0</v>
      </c>
      <c r="BW50" s="2220"/>
      <c r="BX50" s="2220"/>
      <c r="BY50" s="2219"/>
      <c r="BZ50" s="2219">
        <f t="shared" si="41"/>
        <v>0</v>
      </c>
      <c r="CA50" s="2220"/>
      <c r="CB50" s="2220"/>
      <c r="CC50" s="2219"/>
      <c r="CD50" s="2219">
        <f t="shared" si="42"/>
        <v>0</v>
      </c>
      <c r="CE50" s="2220"/>
      <c r="CF50" s="2220"/>
      <c r="CG50" s="2219">
        <f t="shared" si="43"/>
        <v>0</v>
      </c>
      <c r="CH50" s="2220"/>
      <c r="CI50" s="2220"/>
      <c r="CJ50" s="2219"/>
      <c r="CK50" s="2219">
        <f t="shared" si="44"/>
        <v>0</v>
      </c>
      <c r="CL50" s="2220"/>
      <c r="CM50" s="2220"/>
      <c r="CN50" s="2219"/>
      <c r="CO50" s="2220"/>
      <c r="CP50" s="2220"/>
      <c r="CQ50" s="2219"/>
      <c r="CR50" s="2220"/>
      <c r="CS50" s="2220"/>
      <c r="CT50" s="2219"/>
      <c r="CU50" s="2220"/>
      <c r="CV50" s="2220"/>
      <c r="CW50" s="2219">
        <f t="shared" si="45"/>
        <v>0</v>
      </c>
      <c r="CX50" s="2220"/>
      <c r="CY50" s="2220"/>
      <c r="CZ50" s="2219"/>
      <c r="DA50" s="2219">
        <f t="shared" si="46"/>
        <v>0</v>
      </c>
      <c r="DB50" s="2220"/>
      <c r="DC50" s="2220"/>
      <c r="DD50" s="2219">
        <f t="shared" si="47"/>
        <v>0</v>
      </c>
      <c r="DE50" s="2220"/>
      <c r="DF50" s="2220"/>
      <c r="DG50" s="2219">
        <f t="shared" si="48"/>
        <v>0</v>
      </c>
      <c r="DH50" s="2220"/>
      <c r="DI50" s="2220"/>
      <c r="DJ50" s="2219"/>
      <c r="DK50" s="2219">
        <f t="shared" si="49"/>
        <v>0</v>
      </c>
      <c r="DL50" s="2220"/>
      <c r="DM50" s="2220"/>
      <c r="DN50" s="2220"/>
      <c r="DO50" s="2219"/>
      <c r="DP50" s="2219"/>
      <c r="DQ50" s="2219"/>
      <c r="DR50" s="2219"/>
      <c r="DS50" s="2219"/>
      <c r="DT50" s="2219"/>
      <c r="DU50" s="2219"/>
      <c r="DV50" s="2219"/>
      <c r="DW50" s="2220"/>
      <c r="DX50" s="2220"/>
      <c r="DY50" s="2219"/>
      <c r="DZ50" s="2219"/>
      <c r="EA50" s="2223"/>
      <c r="EB50" s="2214">
        <f t="shared" si="77"/>
        <v>1200000</v>
      </c>
      <c r="EC50" s="2173">
        <f t="shared" si="76"/>
        <v>0</v>
      </c>
      <c r="ED50" s="2174"/>
      <c r="EE50" s="2217">
        <f t="shared" si="54"/>
        <v>1200000</v>
      </c>
      <c r="EF50" s="2174">
        <f t="shared" si="7"/>
        <v>0</v>
      </c>
      <c r="EG50" s="2217">
        <f t="shared" si="25"/>
        <v>0</v>
      </c>
      <c r="EI50" s="2216"/>
    </row>
    <row r="51" spans="1:139" ht="12.75" customHeight="1" outlineLevel="1">
      <c r="A51" s="2246">
        <v>5903</v>
      </c>
      <c r="B51" s="2247" t="s">
        <v>762</v>
      </c>
      <c r="C51" s="2248">
        <v>69012.591499999995</v>
      </c>
      <c r="D51" s="2248">
        <v>74053.766499999998</v>
      </c>
      <c r="E51" s="2248">
        <v>74053.766499999998</v>
      </c>
      <c r="F51" s="2248">
        <v>74053.766499999998</v>
      </c>
      <c r="G51" s="2248">
        <v>74053.766499999998</v>
      </c>
      <c r="H51" s="2248">
        <v>74053.766499999998</v>
      </c>
      <c r="I51" s="2217">
        <f t="shared" si="51"/>
        <v>74053.766499999998</v>
      </c>
      <c r="J51" s="2249"/>
      <c r="K51" s="2250"/>
      <c r="L51" s="2250">
        <f>+'[6]Krizové situace-5213'!$B$4</f>
        <v>74053.766499999998</v>
      </c>
      <c r="M51" s="2250"/>
      <c r="N51" s="2250"/>
      <c r="O51" s="2250"/>
      <c r="P51" s="2250"/>
      <c r="Q51" s="2250"/>
      <c r="R51" s="2250">
        <f t="shared" si="26"/>
        <v>0</v>
      </c>
      <c r="S51" s="2251"/>
      <c r="T51" s="2252"/>
      <c r="U51" s="2250"/>
      <c r="V51" s="2253">
        <f>+T51+AT51+CI51+CF51+CB51+DN51+AH51+AN51+AW51+BF51+BL51+BO51+BR51+BU51+BX51+CM51+CY51+DC51+DF51+DI51+AK51+DX51</f>
        <v>0</v>
      </c>
      <c r="W51" s="2250"/>
      <c r="X51" s="2250"/>
      <c r="Y51" s="2250"/>
      <c r="Z51" s="2250"/>
      <c r="AA51" s="2250"/>
      <c r="AB51" s="2250"/>
      <c r="AC51" s="2250"/>
      <c r="AD51" s="2250"/>
      <c r="AE51" s="2250"/>
      <c r="AF51" s="2250"/>
      <c r="AG51" s="2251"/>
      <c r="AH51" s="2251"/>
      <c r="AI51" s="2250"/>
      <c r="AJ51" s="2251"/>
      <c r="AK51" s="2251"/>
      <c r="AL51" s="2250"/>
      <c r="AM51" s="2251"/>
      <c r="AN51" s="2251"/>
      <c r="AO51" s="2250"/>
      <c r="AP51" s="2250"/>
      <c r="AQ51" s="2250"/>
      <c r="AR51" s="2250"/>
      <c r="AS51" s="2251"/>
      <c r="AT51" s="2251"/>
      <c r="AU51" s="2250"/>
      <c r="AV51" s="2251"/>
      <c r="AW51" s="2251"/>
      <c r="AX51" s="2250"/>
      <c r="AY51" s="2251"/>
      <c r="AZ51" s="2251"/>
      <c r="BA51" s="2250"/>
      <c r="BB51" s="2251"/>
      <c r="BC51" s="2251"/>
      <c r="BD51" s="2250"/>
      <c r="BE51" s="2251"/>
      <c r="BF51" s="2251"/>
      <c r="BG51" s="2250"/>
      <c r="BH51" s="2251"/>
      <c r="BI51" s="2251"/>
      <c r="BJ51" s="2250"/>
      <c r="BK51" s="2251"/>
      <c r="BL51" s="2251"/>
      <c r="BM51" s="2250"/>
      <c r="BN51" s="2251"/>
      <c r="BO51" s="2251"/>
      <c r="BP51" s="2250"/>
      <c r="BQ51" s="2251"/>
      <c r="BR51" s="2251"/>
      <c r="BS51" s="2250"/>
      <c r="BT51" s="2251"/>
      <c r="BU51" s="2251"/>
      <c r="BV51" s="2250"/>
      <c r="BW51" s="2251"/>
      <c r="BX51" s="2251"/>
      <c r="BY51" s="2250"/>
      <c r="BZ51" s="2250"/>
      <c r="CA51" s="2251"/>
      <c r="CB51" s="2251"/>
      <c r="CC51" s="2250"/>
      <c r="CD51" s="2250"/>
      <c r="CE51" s="2251"/>
      <c r="CF51" s="2251"/>
      <c r="CG51" s="2250"/>
      <c r="CH51" s="2251"/>
      <c r="CI51" s="2251"/>
      <c r="CJ51" s="2250"/>
      <c r="CK51" s="2250"/>
      <c r="CL51" s="2251"/>
      <c r="CM51" s="2251"/>
      <c r="CN51" s="2250"/>
      <c r="CO51" s="2251"/>
      <c r="CP51" s="2251"/>
      <c r="CQ51" s="2250"/>
      <c r="CR51" s="2251"/>
      <c r="CS51" s="2251"/>
      <c r="CT51" s="2250"/>
      <c r="CU51" s="2251"/>
      <c r="CV51" s="2251"/>
      <c r="CW51" s="2250"/>
      <c r="CX51" s="2251"/>
      <c r="CY51" s="2251"/>
      <c r="CZ51" s="2250"/>
      <c r="DA51" s="2250"/>
      <c r="DB51" s="2251"/>
      <c r="DC51" s="2251"/>
      <c r="DD51" s="2250"/>
      <c r="DE51" s="2251"/>
      <c r="DF51" s="2251"/>
      <c r="DG51" s="2250"/>
      <c r="DH51" s="2251"/>
      <c r="DI51" s="2251"/>
      <c r="DJ51" s="2250"/>
      <c r="DK51" s="2250"/>
      <c r="DL51" s="2251"/>
      <c r="DM51" s="2251"/>
      <c r="DN51" s="2251"/>
      <c r="DO51" s="2250"/>
      <c r="DP51" s="2250"/>
      <c r="DQ51" s="2250"/>
      <c r="DR51" s="2250"/>
      <c r="DS51" s="2250"/>
      <c r="DT51" s="2250"/>
      <c r="DU51" s="2250"/>
      <c r="DV51" s="2250"/>
      <c r="DW51" s="2251"/>
      <c r="DX51" s="2251"/>
      <c r="DY51" s="2250"/>
      <c r="DZ51" s="2250"/>
      <c r="EA51" s="2254"/>
      <c r="EB51" s="2214">
        <f t="shared" si="77"/>
        <v>74053.766499999998</v>
      </c>
      <c r="EC51" s="2173"/>
      <c r="ED51" s="2174"/>
      <c r="EE51" s="2248">
        <f t="shared" si="54"/>
        <v>74053.766499999998</v>
      </c>
      <c r="EF51" s="2174">
        <f t="shared" si="7"/>
        <v>0</v>
      </c>
      <c r="EG51" s="2248"/>
      <c r="EI51" s="2216"/>
    </row>
    <row r="52" spans="1:139" ht="15" thickBot="1">
      <c r="A52" s="2224" t="s">
        <v>102</v>
      </c>
      <c r="B52" s="2225"/>
      <c r="C52" s="2226">
        <v>110279134.5915</v>
      </c>
      <c r="D52" s="2226">
        <v>158188775.7665</v>
      </c>
      <c r="E52" s="2226">
        <v>163277327.7665</v>
      </c>
      <c r="F52" s="2226">
        <v>166446737.7665</v>
      </c>
      <c r="G52" s="2226">
        <v>166446737.7665</v>
      </c>
      <c r="H52" s="2226">
        <v>176697037.7665</v>
      </c>
      <c r="I52" s="2226">
        <f>SUM(I17:I51)</f>
        <v>187526537.7665</v>
      </c>
      <c r="J52" s="2227">
        <f t="shared" ref="J52:K52" si="81">SUM(J17:J51)</f>
        <v>80000</v>
      </c>
      <c r="K52" s="2228">
        <f t="shared" si="81"/>
        <v>0</v>
      </c>
      <c r="L52" s="2228">
        <f>SUM(L17:L51)</f>
        <v>74053.766499999998</v>
      </c>
      <c r="M52" s="2228">
        <f>SUM(M17:M51)</f>
        <v>0</v>
      </c>
      <c r="N52" s="2228">
        <f t="shared" ref="N52:U52" si="82">SUM(N17:N51)</f>
        <v>20653850</v>
      </c>
      <c r="O52" s="2228">
        <f t="shared" ref="O52" si="83">SUM(O17:O51)</f>
        <v>0</v>
      </c>
      <c r="P52" s="2228">
        <f t="shared" si="82"/>
        <v>1060000</v>
      </c>
      <c r="Q52" s="2228">
        <f t="shared" si="82"/>
        <v>0</v>
      </c>
      <c r="R52" s="2228">
        <f t="shared" si="82"/>
        <v>11030500</v>
      </c>
      <c r="S52" s="2229">
        <f t="shared" si="82"/>
        <v>10960500</v>
      </c>
      <c r="T52" s="2230">
        <f t="shared" si="82"/>
        <v>70000</v>
      </c>
      <c r="U52" s="2228">
        <f t="shared" si="82"/>
        <v>0</v>
      </c>
      <c r="V52" s="2231">
        <f>SUM(V17:V50)-V22-V34-V35</f>
        <v>30900000</v>
      </c>
      <c r="W52" s="2228">
        <f t="shared" ref="W52:CS52" si="84">SUM(W17:W51)</f>
        <v>524000</v>
      </c>
      <c r="X52" s="2228">
        <f t="shared" ref="X52" si="85">SUM(X17:X51)</f>
        <v>600000</v>
      </c>
      <c r="Y52" s="2228">
        <f t="shared" si="84"/>
        <v>300000</v>
      </c>
      <c r="Z52" s="2228">
        <f t="shared" si="84"/>
        <v>2251445</v>
      </c>
      <c r="AA52" s="2228">
        <f t="shared" si="84"/>
        <v>117000</v>
      </c>
      <c r="AB52" s="2228">
        <f t="shared" ref="AB52" si="86">SUM(AB17:AB51)</f>
        <v>226240</v>
      </c>
      <c r="AC52" s="2228">
        <f t="shared" si="84"/>
        <v>1117850</v>
      </c>
      <c r="AD52" s="2228">
        <f t="shared" si="84"/>
        <v>590000</v>
      </c>
      <c r="AE52" s="2228">
        <f t="shared" si="84"/>
        <v>1680000</v>
      </c>
      <c r="AF52" s="2228">
        <f t="shared" si="84"/>
        <v>7669000</v>
      </c>
      <c r="AG52" s="2229">
        <f t="shared" si="84"/>
        <v>7639000</v>
      </c>
      <c r="AH52" s="2229">
        <f t="shared" si="84"/>
        <v>30000</v>
      </c>
      <c r="AI52" s="2228">
        <f t="shared" si="84"/>
        <v>6870000</v>
      </c>
      <c r="AJ52" s="2229">
        <f t="shared" si="84"/>
        <v>6770000</v>
      </c>
      <c r="AK52" s="2229">
        <f t="shared" si="84"/>
        <v>100000</v>
      </c>
      <c r="AL52" s="2228">
        <f t="shared" si="84"/>
        <v>3220800</v>
      </c>
      <c r="AM52" s="2229">
        <f t="shared" si="84"/>
        <v>3130800</v>
      </c>
      <c r="AN52" s="2229">
        <f t="shared" si="84"/>
        <v>90000</v>
      </c>
      <c r="AO52" s="2228">
        <f t="shared" si="84"/>
        <v>1322900</v>
      </c>
      <c r="AP52" s="2228">
        <f t="shared" si="84"/>
        <v>430000</v>
      </c>
      <c r="AQ52" s="2228">
        <f t="shared" si="84"/>
        <v>0</v>
      </c>
      <c r="AR52" s="2228">
        <f t="shared" si="84"/>
        <v>540000</v>
      </c>
      <c r="AS52" s="2229">
        <f t="shared" si="84"/>
        <v>520000</v>
      </c>
      <c r="AT52" s="2229">
        <f t="shared" si="84"/>
        <v>20000</v>
      </c>
      <c r="AU52" s="2228">
        <f t="shared" si="84"/>
        <v>890000</v>
      </c>
      <c r="AV52" s="2229">
        <f t="shared" si="84"/>
        <v>890000</v>
      </c>
      <c r="AW52" s="2229">
        <f t="shared" si="84"/>
        <v>0</v>
      </c>
      <c r="AX52" s="2228">
        <f t="shared" ref="AX52:AZ52" si="87">SUM(AX17:AX51)</f>
        <v>1534100</v>
      </c>
      <c r="AY52" s="2229">
        <f t="shared" si="87"/>
        <v>1264100</v>
      </c>
      <c r="AZ52" s="2229">
        <f t="shared" si="87"/>
        <v>270000</v>
      </c>
      <c r="BA52" s="2228">
        <f t="shared" ref="BA52:BC52" si="88">SUM(BA17:BA51)</f>
        <v>1750000</v>
      </c>
      <c r="BB52" s="2229">
        <f t="shared" si="88"/>
        <v>1750000</v>
      </c>
      <c r="BC52" s="2229">
        <f t="shared" si="88"/>
        <v>0</v>
      </c>
      <c r="BD52" s="2228">
        <f t="shared" si="84"/>
        <v>20672224</v>
      </c>
      <c r="BE52" s="2229">
        <f t="shared" si="84"/>
        <v>20672224</v>
      </c>
      <c r="BF52" s="2229">
        <f t="shared" si="84"/>
        <v>0</v>
      </c>
      <c r="BG52" s="2228">
        <f t="shared" ref="BG52:BI52" si="89">SUM(BG17:BG51)</f>
        <v>1600000</v>
      </c>
      <c r="BH52" s="2229">
        <f t="shared" si="89"/>
        <v>1600000</v>
      </c>
      <c r="BI52" s="2229">
        <f t="shared" si="89"/>
        <v>0</v>
      </c>
      <c r="BJ52" s="2228">
        <f t="shared" si="84"/>
        <v>710000</v>
      </c>
      <c r="BK52" s="2229">
        <f t="shared" si="84"/>
        <v>710000</v>
      </c>
      <c r="BL52" s="2229">
        <f t="shared" si="84"/>
        <v>0</v>
      </c>
      <c r="BM52" s="2228">
        <f t="shared" si="84"/>
        <v>860000</v>
      </c>
      <c r="BN52" s="2229">
        <f t="shared" si="84"/>
        <v>830000</v>
      </c>
      <c r="BO52" s="2229">
        <f t="shared" si="84"/>
        <v>30000</v>
      </c>
      <c r="BP52" s="2228">
        <f t="shared" si="84"/>
        <v>1970000</v>
      </c>
      <c r="BQ52" s="2229">
        <f t="shared" si="84"/>
        <v>1930000</v>
      </c>
      <c r="BR52" s="2229">
        <f t="shared" si="84"/>
        <v>40000</v>
      </c>
      <c r="BS52" s="2228">
        <f t="shared" si="84"/>
        <v>4964000</v>
      </c>
      <c r="BT52" s="2229">
        <f t="shared" si="84"/>
        <v>4924000</v>
      </c>
      <c r="BU52" s="2229">
        <f t="shared" si="84"/>
        <v>40000</v>
      </c>
      <c r="BV52" s="2228">
        <f t="shared" si="84"/>
        <v>1500000</v>
      </c>
      <c r="BW52" s="2229">
        <f t="shared" si="84"/>
        <v>1500000</v>
      </c>
      <c r="BX52" s="2229">
        <f t="shared" si="84"/>
        <v>0</v>
      </c>
      <c r="BY52" s="2228">
        <f t="shared" si="84"/>
        <v>270000</v>
      </c>
      <c r="BZ52" s="2228">
        <f t="shared" si="84"/>
        <v>720000</v>
      </c>
      <c r="CA52" s="2229">
        <f t="shared" si="84"/>
        <v>680000</v>
      </c>
      <c r="CB52" s="2229">
        <f t="shared" si="84"/>
        <v>40000</v>
      </c>
      <c r="CC52" s="2228">
        <f t="shared" si="84"/>
        <v>850000</v>
      </c>
      <c r="CD52" s="2228">
        <f t="shared" si="84"/>
        <v>3022100</v>
      </c>
      <c r="CE52" s="2229">
        <f t="shared" si="84"/>
        <v>2672100</v>
      </c>
      <c r="CF52" s="2229">
        <f t="shared" si="84"/>
        <v>350000</v>
      </c>
      <c r="CG52" s="2228">
        <f t="shared" si="84"/>
        <v>25422055</v>
      </c>
      <c r="CH52" s="2229">
        <f t="shared" si="84"/>
        <v>22572055</v>
      </c>
      <c r="CI52" s="2229">
        <f t="shared" si="84"/>
        <v>2850000</v>
      </c>
      <c r="CJ52" s="2228">
        <f t="shared" si="84"/>
        <v>4050000</v>
      </c>
      <c r="CK52" s="2228">
        <f t="shared" si="84"/>
        <v>780000</v>
      </c>
      <c r="CL52" s="2229">
        <f t="shared" si="84"/>
        <v>780000</v>
      </c>
      <c r="CM52" s="2229">
        <f t="shared" si="84"/>
        <v>0</v>
      </c>
      <c r="CN52" s="2228">
        <f t="shared" si="84"/>
        <v>5200000</v>
      </c>
      <c r="CO52" s="2229">
        <f t="shared" si="84"/>
        <v>5200000</v>
      </c>
      <c r="CP52" s="2229">
        <f t="shared" si="84"/>
        <v>0</v>
      </c>
      <c r="CQ52" s="2228">
        <f t="shared" si="84"/>
        <v>3740000</v>
      </c>
      <c r="CR52" s="2229">
        <f t="shared" si="84"/>
        <v>3740000</v>
      </c>
      <c r="CS52" s="2229">
        <f t="shared" si="84"/>
        <v>0</v>
      </c>
      <c r="CT52" s="2228">
        <f t="shared" ref="CT52:EA52" si="90">SUM(CT17:CT51)</f>
        <v>2500000</v>
      </c>
      <c r="CU52" s="2229">
        <f t="shared" si="90"/>
        <v>2500000</v>
      </c>
      <c r="CV52" s="2229">
        <f t="shared" si="90"/>
        <v>0</v>
      </c>
      <c r="CW52" s="2228">
        <f t="shared" si="90"/>
        <v>1650000</v>
      </c>
      <c r="CX52" s="2229">
        <f t="shared" si="90"/>
        <v>1350000</v>
      </c>
      <c r="CY52" s="2229">
        <f t="shared" si="90"/>
        <v>300000</v>
      </c>
      <c r="CZ52" s="2228">
        <f t="shared" si="90"/>
        <v>100000</v>
      </c>
      <c r="DA52" s="2228">
        <f t="shared" si="90"/>
        <v>7100000</v>
      </c>
      <c r="DB52" s="2229">
        <f t="shared" si="90"/>
        <v>50000</v>
      </c>
      <c r="DC52" s="2229">
        <f t="shared" si="90"/>
        <v>7050000</v>
      </c>
      <c r="DD52" s="2228">
        <f t="shared" si="90"/>
        <v>0</v>
      </c>
      <c r="DE52" s="2229">
        <f t="shared" si="90"/>
        <v>0</v>
      </c>
      <c r="DF52" s="2229">
        <f t="shared" si="90"/>
        <v>0</v>
      </c>
      <c r="DG52" s="2228">
        <f t="shared" si="90"/>
        <v>100000</v>
      </c>
      <c r="DH52" s="2229">
        <f t="shared" si="90"/>
        <v>0</v>
      </c>
      <c r="DI52" s="2229">
        <f t="shared" si="90"/>
        <v>100000</v>
      </c>
      <c r="DJ52" s="2228">
        <f t="shared" si="90"/>
        <v>101500</v>
      </c>
      <c r="DK52" s="2228">
        <f t="shared" si="90"/>
        <v>3856420</v>
      </c>
      <c r="DL52" s="2229">
        <f t="shared" si="90"/>
        <v>1606420</v>
      </c>
      <c r="DM52" s="2229">
        <f t="shared" si="90"/>
        <v>0</v>
      </c>
      <c r="DN52" s="2229">
        <f t="shared" si="90"/>
        <v>2250000</v>
      </c>
      <c r="DO52" s="2228">
        <f t="shared" si="90"/>
        <v>356500</v>
      </c>
      <c r="DP52" s="2228">
        <f t="shared" si="90"/>
        <v>0</v>
      </c>
      <c r="DQ52" s="2228">
        <f t="shared" si="90"/>
        <v>0</v>
      </c>
      <c r="DR52" s="2228">
        <f t="shared" si="90"/>
        <v>0</v>
      </c>
      <c r="DS52" s="2228">
        <f t="shared" si="90"/>
        <v>0</v>
      </c>
      <c r="DT52" s="2228">
        <f t="shared" si="90"/>
        <v>0</v>
      </c>
      <c r="DU52" s="2228">
        <f t="shared" si="90"/>
        <v>0</v>
      </c>
      <c r="DV52" s="2228">
        <f t="shared" si="90"/>
        <v>0</v>
      </c>
      <c r="DW52" s="2229">
        <f t="shared" ref="DW52:DX52" si="91">SUM(DW17:DW51)</f>
        <v>0</v>
      </c>
      <c r="DX52" s="2229">
        <f t="shared" si="91"/>
        <v>0</v>
      </c>
      <c r="DY52" s="2228">
        <f t="shared" si="90"/>
        <v>0</v>
      </c>
      <c r="DZ52" s="2228">
        <f t="shared" si="90"/>
        <v>0</v>
      </c>
      <c r="EA52" s="2232">
        <f t="shared" si="90"/>
        <v>0</v>
      </c>
      <c r="EB52" s="2214"/>
      <c r="EC52" s="2173"/>
      <c r="ED52" s="2174"/>
      <c r="EE52" s="2226">
        <f>SUM(EE17:EE50)</f>
        <v>142922484</v>
      </c>
      <c r="EF52" s="2174"/>
      <c r="EG52" s="2226">
        <f>SUM(EG17:EG50)</f>
        <v>44530000</v>
      </c>
      <c r="EI52" s="2216"/>
    </row>
    <row r="53" spans="1:139" outlineLevel="1">
      <c r="A53" s="2233">
        <v>5141</v>
      </c>
      <c r="B53" s="2206" t="s">
        <v>7</v>
      </c>
      <c r="C53" s="2207">
        <v>2952545.0202600001</v>
      </c>
      <c r="D53" s="2207">
        <v>2327757.9317000001</v>
      </c>
      <c r="E53" s="2207">
        <v>2327757.9317000001</v>
      </c>
      <c r="F53" s="2207">
        <v>2327757.9317000001</v>
      </c>
      <c r="G53" s="2207">
        <v>2327757.9317000001</v>
      </c>
      <c r="H53" s="2207">
        <v>2327757.9317000001</v>
      </c>
      <c r="I53" s="2207">
        <f t="shared" ref="I53:I54" si="92">SUM(J53:R53)+SUM(W53:AF53)+AI53+AL53+SUM(AO53:AR53)+AU53+BD53+BJ53+BM53+BP53+BS53+BV53+BY53+BZ53+CC53+CD53+CG53+SUM(CJ53:CK53)+CT53+CW53+CZ53+DA53+DD53+DG53+DJ53+DK53+SUM(DO53:DV53)+CN53+CQ53+SUM(DY53:EA53)+U53+AX53+BA53+BG53</f>
        <v>2327757.9317000001</v>
      </c>
      <c r="J53" s="2255">
        <f>+[6]Úroky!$B$4</f>
        <v>2327757.9317000001</v>
      </c>
      <c r="K53" s="2256"/>
      <c r="L53" s="2256"/>
      <c r="M53" s="2256"/>
      <c r="N53" s="2256"/>
      <c r="O53" s="2256"/>
      <c r="P53" s="2256"/>
      <c r="Q53" s="2256"/>
      <c r="R53" s="2256">
        <f t="shared" ref="R53:R54" si="93">+S53+T53</f>
        <v>0</v>
      </c>
      <c r="S53" s="2257"/>
      <c r="T53" s="2258"/>
      <c r="U53" s="2256"/>
      <c r="V53" s="2259">
        <f t="shared" ref="V53:V54" si="94">+T53+AT53+CI53+CF53+CB53+DN53+AH53+AN53+AW53+BF53+BL53+BO53+BR53+BU53+BX53+CM53+CY53+DC53+DF53+DI53+AK53+DX53</f>
        <v>0</v>
      </c>
      <c r="W53" s="2256"/>
      <c r="X53" s="2256"/>
      <c r="Y53" s="2256"/>
      <c r="Z53" s="2256"/>
      <c r="AA53" s="2256"/>
      <c r="AB53" s="2256"/>
      <c r="AC53" s="2256"/>
      <c r="AD53" s="2256"/>
      <c r="AE53" s="2256"/>
      <c r="AF53" s="2256">
        <f t="shared" ref="AF53:AF54" si="95">+AG53+AH53</f>
        <v>0</v>
      </c>
      <c r="AG53" s="2257"/>
      <c r="AH53" s="2257"/>
      <c r="AI53" s="2256">
        <f t="shared" ref="AI53:AI54" si="96">+AJ53+AK53</f>
        <v>0</v>
      </c>
      <c r="AJ53" s="2257"/>
      <c r="AK53" s="2257"/>
      <c r="AL53" s="2256">
        <f t="shared" ref="AL53:AL54" si="97">+AM53+AN53</f>
        <v>0</v>
      </c>
      <c r="AM53" s="2257"/>
      <c r="AN53" s="2257"/>
      <c r="AO53" s="2256"/>
      <c r="AP53" s="2256"/>
      <c r="AQ53" s="2256"/>
      <c r="AR53" s="2256">
        <f t="shared" ref="AR53:AR54" si="98">+AS53+AT53</f>
        <v>0</v>
      </c>
      <c r="AS53" s="2257"/>
      <c r="AT53" s="2257"/>
      <c r="AU53" s="2256">
        <f t="shared" ref="AU53:AU54" si="99">+AV53+AW53</f>
        <v>0</v>
      </c>
      <c r="AV53" s="2257"/>
      <c r="AW53" s="2257"/>
      <c r="AX53" s="2256">
        <f t="shared" ref="AX53:AX54" si="100">+AY53+AZ53</f>
        <v>0</v>
      </c>
      <c r="AY53" s="2257"/>
      <c r="AZ53" s="2257"/>
      <c r="BA53" s="2256">
        <f t="shared" ref="BA53:BA54" si="101">+BB53+BC53</f>
        <v>0</v>
      </c>
      <c r="BB53" s="2257"/>
      <c r="BC53" s="2257"/>
      <c r="BD53" s="2256">
        <f t="shared" ref="BD53:BD54" si="102">+BE53+BF53</f>
        <v>0</v>
      </c>
      <c r="BE53" s="2257"/>
      <c r="BF53" s="2257"/>
      <c r="BG53" s="2256">
        <f t="shared" ref="BG53:BG54" si="103">+BH53+BI53</f>
        <v>0</v>
      </c>
      <c r="BH53" s="2257"/>
      <c r="BI53" s="2257"/>
      <c r="BJ53" s="2256">
        <f t="shared" ref="BJ53:BJ54" si="104">+BK53+BL53</f>
        <v>0</v>
      </c>
      <c r="BK53" s="2257"/>
      <c r="BL53" s="2257"/>
      <c r="BM53" s="2256">
        <f t="shared" ref="BM53:BM54" si="105">+BN53+BO53</f>
        <v>0</v>
      </c>
      <c r="BN53" s="2257"/>
      <c r="BO53" s="2257"/>
      <c r="BP53" s="2256">
        <f t="shared" ref="BP53:BP54" si="106">+BQ53+BR53</f>
        <v>0</v>
      </c>
      <c r="BQ53" s="2257"/>
      <c r="BR53" s="2257"/>
      <c r="BS53" s="2256">
        <f t="shared" ref="BS53:BS54" si="107">+BT53+BU53</f>
        <v>0</v>
      </c>
      <c r="BT53" s="2257"/>
      <c r="BU53" s="2257"/>
      <c r="BV53" s="2256">
        <f t="shared" ref="BV53:BV54" si="108">+BW53+BX53</f>
        <v>0</v>
      </c>
      <c r="BW53" s="2257"/>
      <c r="BX53" s="2257"/>
      <c r="BY53" s="2256"/>
      <c r="BZ53" s="2256">
        <f t="shared" ref="BZ53:BZ54" si="109">+CA53+CB53</f>
        <v>0</v>
      </c>
      <c r="CA53" s="2257"/>
      <c r="CB53" s="2257"/>
      <c r="CC53" s="2256"/>
      <c r="CD53" s="2256">
        <f t="shared" ref="CD53:CD54" si="110">+CE53+CF53</f>
        <v>0</v>
      </c>
      <c r="CE53" s="2257"/>
      <c r="CF53" s="2257"/>
      <c r="CG53" s="2256">
        <f t="shared" ref="CG53:CG54" si="111">+CH53+CI53</f>
        <v>0</v>
      </c>
      <c r="CH53" s="2257"/>
      <c r="CI53" s="2257"/>
      <c r="CJ53" s="2256"/>
      <c r="CK53" s="2256">
        <f t="shared" ref="CK53:CK54" si="112">+CL53+CM53</f>
        <v>0</v>
      </c>
      <c r="CL53" s="2257"/>
      <c r="CM53" s="2257"/>
      <c r="CN53" s="2256"/>
      <c r="CO53" s="2257"/>
      <c r="CP53" s="2257"/>
      <c r="CQ53" s="2256"/>
      <c r="CR53" s="2257"/>
      <c r="CS53" s="2257"/>
      <c r="CT53" s="2256"/>
      <c r="CU53" s="2257"/>
      <c r="CV53" s="2257"/>
      <c r="CW53" s="2256">
        <f t="shared" ref="CW53:CW54" si="113">+CX53+CY53</f>
        <v>0</v>
      </c>
      <c r="CX53" s="2257"/>
      <c r="CY53" s="2257"/>
      <c r="CZ53" s="2256"/>
      <c r="DA53" s="2256">
        <f t="shared" ref="DA53:DA54" si="114">+DB53+DC53</f>
        <v>0</v>
      </c>
      <c r="DB53" s="2257"/>
      <c r="DC53" s="2257"/>
      <c r="DD53" s="2256">
        <f t="shared" ref="DD53:DD54" si="115">+DE53+DF53</f>
        <v>0</v>
      </c>
      <c r="DE53" s="2257"/>
      <c r="DF53" s="2257"/>
      <c r="DG53" s="2256">
        <f t="shared" ref="DG53:DG54" si="116">+DH53+DI53</f>
        <v>0</v>
      </c>
      <c r="DH53" s="2257"/>
      <c r="DI53" s="2257"/>
      <c r="DJ53" s="2256"/>
      <c r="DK53" s="2256">
        <f t="shared" ref="DK53:DK54" si="117">+DL53+DM53+DN53</f>
        <v>0</v>
      </c>
      <c r="DL53" s="2257"/>
      <c r="DM53" s="2257"/>
      <c r="DN53" s="2257"/>
      <c r="DO53" s="2256"/>
      <c r="DP53" s="2256"/>
      <c r="DQ53" s="2256"/>
      <c r="DR53" s="2256"/>
      <c r="DS53" s="2256"/>
      <c r="DT53" s="2256"/>
      <c r="DU53" s="2256"/>
      <c r="DV53" s="2256"/>
      <c r="DW53" s="2257"/>
      <c r="DX53" s="2257"/>
      <c r="DY53" s="2256"/>
      <c r="DZ53" s="2256"/>
      <c r="EA53" s="2260"/>
      <c r="EB53" s="2214">
        <f t="shared" ref="EB53:EB54" si="118">+J53+K53+L53+N53+P53+Q53+R53+U53+V53+W53+Y53+Z53+AA53+AC53+AD53+AE53+AF53+AI53+AL53+AO53+AP53+AQ53+AR53+AU53+BD53+BJ53+BM53+BP53+BS53+BV53+BY53+BZ53+CC53+CD53+CG53+CJ53+CK53+CN53+CQ53+CT53+CW53+CZ53+DA53+DD53+DG53+DJ53+DK53+DO53+DP53+DQ53+DR53+DS53+DU53+DV53+DY53+DZ53+EA53+BG53+BA53+AX53+AB53-V53+M53+O53+X53</f>
        <v>2327757.9317000001</v>
      </c>
      <c r="EC53" s="2173">
        <f t="shared" si="76"/>
        <v>0</v>
      </c>
      <c r="ED53" s="2174"/>
      <c r="EE53" s="2261">
        <f t="shared" ref="EE53:EE54" si="119">+I53-EG53</f>
        <v>2327757.9317000001</v>
      </c>
      <c r="EF53" s="2174">
        <f t="shared" si="7"/>
        <v>0</v>
      </c>
      <c r="EG53" s="2261"/>
      <c r="EI53" s="2216"/>
    </row>
    <row r="54" spans="1:139" outlineLevel="1">
      <c r="A54" s="2262">
        <v>5144</v>
      </c>
      <c r="B54" s="2263" t="s">
        <v>675</v>
      </c>
      <c r="C54" s="2261">
        <v>0</v>
      </c>
      <c r="D54" s="2261">
        <v>0</v>
      </c>
      <c r="E54" s="2261">
        <v>0</v>
      </c>
      <c r="F54" s="2261">
        <v>0</v>
      </c>
      <c r="G54" s="2261">
        <v>0</v>
      </c>
      <c r="H54" s="2261">
        <v>0</v>
      </c>
      <c r="I54" s="2261">
        <f t="shared" si="92"/>
        <v>0</v>
      </c>
      <c r="J54" s="2264"/>
      <c r="K54" s="2265"/>
      <c r="L54" s="2265"/>
      <c r="M54" s="2265"/>
      <c r="N54" s="2265"/>
      <c r="O54" s="2265"/>
      <c r="P54" s="2265"/>
      <c r="Q54" s="2265"/>
      <c r="R54" s="2265">
        <f t="shared" si="93"/>
        <v>0</v>
      </c>
      <c r="S54" s="2266"/>
      <c r="T54" s="2267"/>
      <c r="U54" s="2265"/>
      <c r="V54" s="2268">
        <f t="shared" si="94"/>
        <v>0</v>
      </c>
      <c r="W54" s="2265"/>
      <c r="X54" s="2265"/>
      <c r="Y54" s="2265"/>
      <c r="Z54" s="2265"/>
      <c r="AA54" s="2265"/>
      <c r="AB54" s="2265"/>
      <c r="AC54" s="2265"/>
      <c r="AD54" s="2265"/>
      <c r="AE54" s="2265"/>
      <c r="AF54" s="2265">
        <f t="shared" si="95"/>
        <v>0</v>
      </c>
      <c r="AG54" s="2266"/>
      <c r="AH54" s="2266"/>
      <c r="AI54" s="2265">
        <f t="shared" si="96"/>
        <v>0</v>
      </c>
      <c r="AJ54" s="2266"/>
      <c r="AK54" s="2266"/>
      <c r="AL54" s="2265">
        <f t="shared" si="97"/>
        <v>0</v>
      </c>
      <c r="AM54" s="2266"/>
      <c r="AN54" s="2266"/>
      <c r="AO54" s="2265"/>
      <c r="AP54" s="2265"/>
      <c r="AQ54" s="2265"/>
      <c r="AR54" s="2265">
        <f t="shared" si="98"/>
        <v>0</v>
      </c>
      <c r="AS54" s="2266"/>
      <c r="AT54" s="2266"/>
      <c r="AU54" s="2265">
        <f t="shared" si="99"/>
        <v>0</v>
      </c>
      <c r="AV54" s="2266"/>
      <c r="AW54" s="2266"/>
      <c r="AX54" s="2265">
        <f t="shared" si="100"/>
        <v>0</v>
      </c>
      <c r="AY54" s="2266"/>
      <c r="AZ54" s="2266"/>
      <c r="BA54" s="2265">
        <f t="shared" si="101"/>
        <v>0</v>
      </c>
      <c r="BB54" s="2266"/>
      <c r="BC54" s="2266"/>
      <c r="BD54" s="2265">
        <f t="shared" si="102"/>
        <v>0</v>
      </c>
      <c r="BE54" s="2266"/>
      <c r="BF54" s="2266"/>
      <c r="BG54" s="2265">
        <f t="shared" si="103"/>
        <v>0</v>
      </c>
      <c r="BH54" s="2266"/>
      <c r="BI54" s="2266"/>
      <c r="BJ54" s="2265">
        <f t="shared" si="104"/>
        <v>0</v>
      </c>
      <c r="BK54" s="2266"/>
      <c r="BL54" s="2266"/>
      <c r="BM54" s="2265">
        <f t="shared" si="105"/>
        <v>0</v>
      </c>
      <c r="BN54" s="2266"/>
      <c r="BO54" s="2266"/>
      <c r="BP54" s="2265">
        <f t="shared" si="106"/>
        <v>0</v>
      </c>
      <c r="BQ54" s="2266"/>
      <c r="BR54" s="2266"/>
      <c r="BS54" s="2265">
        <f t="shared" si="107"/>
        <v>0</v>
      </c>
      <c r="BT54" s="2266"/>
      <c r="BU54" s="2266"/>
      <c r="BV54" s="2265">
        <f t="shared" si="108"/>
        <v>0</v>
      </c>
      <c r="BW54" s="2266"/>
      <c r="BX54" s="2266"/>
      <c r="BY54" s="2265"/>
      <c r="BZ54" s="2265">
        <f t="shared" si="109"/>
        <v>0</v>
      </c>
      <c r="CA54" s="2266"/>
      <c r="CB54" s="2266"/>
      <c r="CC54" s="2265"/>
      <c r="CD54" s="2265">
        <f t="shared" si="110"/>
        <v>0</v>
      </c>
      <c r="CE54" s="2266"/>
      <c r="CF54" s="2266"/>
      <c r="CG54" s="2265">
        <f t="shared" si="111"/>
        <v>0</v>
      </c>
      <c r="CH54" s="2266"/>
      <c r="CI54" s="2266"/>
      <c r="CJ54" s="2265"/>
      <c r="CK54" s="2265">
        <f t="shared" si="112"/>
        <v>0</v>
      </c>
      <c r="CL54" s="2266"/>
      <c r="CM54" s="2266"/>
      <c r="CN54" s="2265"/>
      <c r="CO54" s="2266"/>
      <c r="CP54" s="2266"/>
      <c r="CQ54" s="2265"/>
      <c r="CR54" s="2266"/>
      <c r="CS54" s="2266"/>
      <c r="CT54" s="2265"/>
      <c r="CU54" s="2266"/>
      <c r="CV54" s="2266"/>
      <c r="CW54" s="2265">
        <f t="shared" si="113"/>
        <v>0</v>
      </c>
      <c r="CX54" s="2266"/>
      <c r="CY54" s="2266"/>
      <c r="CZ54" s="2265"/>
      <c r="DA54" s="2265">
        <f t="shared" si="114"/>
        <v>0</v>
      </c>
      <c r="DB54" s="2266"/>
      <c r="DC54" s="2266"/>
      <c r="DD54" s="2265">
        <f t="shared" si="115"/>
        <v>0</v>
      </c>
      <c r="DE54" s="2266"/>
      <c r="DF54" s="2266"/>
      <c r="DG54" s="2265">
        <f t="shared" si="116"/>
        <v>0</v>
      </c>
      <c r="DH54" s="2266"/>
      <c r="DI54" s="2266"/>
      <c r="DJ54" s="2265"/>
      <c r="DK54" s="2265">
        <f t="shared" si="117"/>
        <v>0</v>
      </c>
      <c r="DL54" s="2266"/>
      <c r="DM54" s="2266"/>
      <c r="DN54" s="2266"/>
      <c r="DO54" s="2265"/>
      <c r="DP54" s="2265"/>
      <c r="DQ54" s="2265"/>
      <c r="DR54" s="2265"/>
      <c r="DS54" s="2265"/>
      <c r="DT54" s="2265"/>
      <c r="DU54" s="2265"/>
      <c r="DV54" s="2265"/>
      <c r="DW54" s="2266"/>
      <c r="DX54" s="2266"/>
      <c r="DY54" s="2265"/>
      <c r="DZ54" s="2265"/>
      <c r="EA54" s="2269"/>
      <c r="EB54" s="2214">
        <f t="shared" si="118"/>
        <v>0</v>
      </c>
      <c r="EC54" s="2173"/>
      <c r="ED54" s="2174"/>
      <c r="EE54" s="2261">
        <f t="shared" si="119"/>
        <v>0</v>
      </c>
      <c r="EF54" s="2174">
        <f t="shared" si="7"/>
        <v>0</v>
      </c>
      <c r="EG54" s="2261"/>
      <c r="EI54" s="2216"/>
    </row>
    <row r="55" spans="1:139" ht="15" thickBot="1">
      <c r="A55" s="2224" t="s">
        <v>103</v>
      </c>
      <c r="B55" s="2225" t="s">
        <v>104</v>
      </c>
      <c r="C55" s="2226">
        <v>157240969.61176002</v>
      </c>
      <c r="D55" s="2226">
        <v>211316024.9982</v>
      </c>
      <c r="E55" s="2226">
        <v>216404576.9982</v>
      </c>
      <c r="F55" s="2226">
        <v>219573986.9982</v>
      </c>
      <c r="G55" s="2226">
        <v>219573986.9982</v>
      </c>
      <c r="H55" s="2226">
        <v>229296286.9982</v>
      </c>
      <c r="I55" s="2226">
        <f t="shared" ref="I55:M55" si="120">+I52+I53+I16+I54</f>
        <v>240125786.9982</v>
      </c>
      <c r="J55" s="2227">
        <f t="shared" si="120"/>
        <v>2407757.9317000001</v>
      </c>
      <c r="K55" s="2228">
        <f t="shared" si="120"/>
        <v>0</v>
      </c>
      <c r="L55" s="2228">
        <f t="shared" si="120"/>
        <v>74053.766499999998</v>
      </c>
      <c r="M55" s="2228">
        <f t="shared" si="120"/>
        <v>0</v>
      </c>
      <c r="N55" s="2228">
        <f t="shared" ref="N55:AV55" si="121">+N52+N53+N16+N54</f>
        <v>20653850</v>
      </c>
      <c r="O55" s="2228">
        <f t="shared" ref="O55" si="122">+O52+O53+O16+O54</f>
        <v>0</v>
      </c>
      <c r="P55" s="2228">
        <f t="shared" si="121"/>
        <v>5764700</v>
      </c>
      <c r="Q55" s="2228">
        <f t="shared" si="121"/>
        <v>0</v>
      </c>
      <c r="R55" s="2228">
        <f t="shared" si="121"/>
        <v>39369596.5</v>
      </c>
      <c r="S55" s="2229">
        <f t="shared" si="121"/>
        <v>39299596.5</v>
      </c>
      <c r="T55" s="2230">
        <f t="shared" si="121"/>
        <v>70000</v>
      </c>
      <c r="U55" s="2228">
        <f t="shared" si="121"/>
        <v>2822820</v>
      </c>
      <c r="V55" s="2231">
        <f t="shared" si="121"/>
        <v>30967210</v>
      </c>
      <c r="W55" s="2228">
        <f t="shared" si="121"/>
        <v>3010770</v>
      </c>
      <c r="X55" s="2228">
        <f t="shared" ref="X55" si="123">+X52+X53+X16+X54</f>
        <v>600000</v>
      </c>
      <c r="Y55" s="2228">
        <f t="shared" si="121"/>
        <v>300000</v>
      </c>
      <c r="Z55" s="2228">
        <f t="shared" si="121"/>
        <v>11354367.4</v>
      </c>
      <c r="AA55" s="2228">
        <f t="shared" si="121"/>
        <v>133130.4</v>
      </c>
      <c r="AB55" s="2228">
        <f t="shared" ref="AB55" si="124">+AB52+AB53+AB16+AB54</f>
        <v>226240</v>
      </c>
      <c r="AC55" s="2228">
        <f t="shared" si="121"/>
        <v>3335780</v>
      </c>
      <c r="AD55" s="2228">
        <f t="shared" si="121"/>
        <v>912608</v>
      </c>
      <c r="AE55" s="2228">
        <f t="shared" si="121"/>
        <v>1680000</v>
      </c>
      <c r="AF55" s="2228">
        <f t="shared" si="121"/>
        <v>7669000</v>
      </c>
      <c r="AG55" s="2229">
        <f t="shared" si="121"/>
        <v>7639000</v>
      </c>
      <c r="AH55" s="2229">
        <f t="shared" si="121"/>
        <v>30000</v>
      </c>
      <c r="AI55" s="2228">
        <f t="shared" si="121"/>
        <v>6870000</v>
      </c>
      <c r="AJ55" s="2229">
        <f t="shared" si="121"/>
        <v>6770000</v>
      </c>
      <c r="AK55" s="2229">
        <f t="shared" si="121"/>
        <v>100000</v>
      </c>
      <c r="AL55" s="2228">
        <f t="shared" si="121"/>
        <v>3220800</v>
      </c>
      <c r="AM55" s="2229">
        <f t="shared" si="121"/>
        <v>3130800</v>
      </c>
      <c r="AN55" s="2229">
        <f t="shared" si="121"/>
        <v>90000</v>
      </c>
      <c r="AO55" s="2228">
        <f t="shared" si="121"/>
        <v>1514204</v>
      </c>
      <c r="AP55" s="2228">
        <f t="shared" si="121"/>
        <v>430000</v>
      </c>
      <c r="AQ55" s="2228">
        <f t="shared" si="121"/>
        <v>0</v>
      </c>
      <c r="AR55" s="2228">
        <f t="shared" si="121"/>
        <v>540000</v>
      </c>
      <c r="AS55" s="2229">
        <f t="shared" si="121"/>
        <v>520000</v>
      </c>
      <c r="AT55" s="2229">
        <f t="shared" si="121"/>
        <v>20000</v>
      </c>
      <c r="AU55" s="2228">
        <f t="shared" si="121"/>
        <v>890000</v>
      </c>
      <c r="AV55" s="2229">
        <f t="shared" si="121"/>
        <v>890000</v>
      </c>
      <c r="AW55" s="2229">
        <f t="shared" ref="AW55:CK55" si="125">+AW52+AW53+AW16+AW54</f>
        <v>0</v>
      </c>
      <c r="AX55" s="2228">
        <f t="shared" si="125"/>
        <v>1534100</v>
      </c>
      <c r="AY55" s="2229">
        <f t="shared" si="125"/>
        <v>1264100</v>
      </c>
      <c r="AZ55" s="2229">
        <f t="shared" ref="AZ55:BB55" si="126">+AZ52+AZ53+AZ16+AZ54</f>
        <v>270000</v>
      </c>
      <c r="BA55" s="2228">
        <f t="shared" si="126"/>
        <v>1750000</v>
      </c>
      <c r="BB55" s="2229">
        <f t="shared" si="126"/>
        <v>1750000</v>
      </c>
      <c r="BC55" s="2229">
        <f t="shared" ref="BC55" si="127">+BC52+BC53+BC16+BC54</f>
        <v>0</v>
      </c>
      <c r="BD55" s="2228">
        <f t="shared" si="125"/>
        <v>20672224</v>
      </c>
      <c r="BE55" s="2229">
        <f t="shared" si="125"/>
        <v>20672224</v>
      </c>
      <c r="BF55" s="2229">
        <f t="shared" si="125"/>
        <v>0</v>
      </c>
      <c r="BG55" s="2228">
        <f t="shared" ref="BG55:BI55" si="128">+BG52+BG53+BG16+BG54</f>
        <v>1600000</v>
      </c>
      <c r="BH55" s="2229">
        <f t="shared" si="128"/>
        <v>1600000</v>
      </c>
      <c r="BI55" s="2229">
        <f t="shared" si="128"/>
        <v>0</v>
      </c>
      <c r="BJ55" s="2228">
        <f t="shared" si="125"/>
        <v>710000</v>
      </c>
      <c r="BK55" s="2229">
        <f t="shared" si="125"/>
        <v>710000</v>
      </c>
      <c r="BL55" s="2229">
        <f t="shared" si="125"/>
        <v>0</v>
      </c>
      <c r="BM55" s="2228">
        <f t="shared" si="125"/>
        <v>860000</v>
      </c>
      <c r="BN55" s="2229">
        <f t="shared" si="125"/>
        <v>830000</v>
      </c>
      <c r="BO55" s="2229">
        <f t="shared" si="125"/>
        <v>30000</v>
      </c>
      <c r="BP55" s="2228">
        <f t="shared" si="125"/>
        <v>1970000</v>
      </c>
      <c r="BQ55" s="2229">
        <f t="shared" si="125"/>
        <v>1930000</v>
      </c>
      <c r="BR55" s="2229">
        <f t="shared" si="125"/>
        <v>40000</v>
      </c>
      <c r="BS55" s="2228">
        <f t="shared" si="125"/>
        <v>4964000</v>
      </c>
      <c r="BT55" s="2229">
        <f t="shared" si="125"/>
        <v>4924000</v>
      </c>
      <c r="BU55" s="2229">
        <f t="shared" si="125"/>
        <v>40000</v>
      </c>
      <c r="BV55" s="2228">
        <f t="shared" si="125"/>
        <v>1500000</v>
      </c>
      <c r="BW55" s="2229">
        <f t="shared" si="125"/>
        <v>1500000</v>
      </c>
      <c r="BX55" s="2229">
        <f t="shared" si="125"/>
        <v>0</v>
      </c>
      <c r="BY55" s="2228">
        <f t="shared" si="125"/>
        <v>270000</v>
      </c>
      <c r="BZ55" s="2228">
        <f t="shared" si="125"/>
        <v>720000</v>
      </c>
      <c r="CA55" s="2229">
        <f t="shared" si="125"/>
        <v>680000</v>
      </c>
      <c r="CB55" s="2229">
        <f t="shared" si="125"/>
        <v>40000</v>
      </c>
      <c r="CC55" s="2228">
        <f t="shared" si="125"/>
        <v>850000</v>
      </c>
      <c r="CD55" s="2228">
        <f t="shared" si="125"/>
        <v>3022100</v>
      </c>
      <c r="CE55" s="2229">
        <f t="shared" si="125"/>
        <v>2672100</v>
      </c>
      <c r="CF55" s="2229">
        <f t="shared" si="125"/>
        <v>350000</v>
      </c>
      <c r="CG55" s="2228">
        <f t="shared" si="125"/>
        <v>25422055</v>
      </c>
      <c r="CH55" s="2229">
        <f t="shared" si="125"/>
        <v>22572055</v>
      </c>
      <c r="CI55" s="2229">
        <f t="shared" si="125"/>
        <v>2850000</v>
      </c>
      <c r="CJ55" s="2228">
        <f t="shared" si="125"/>
        <v>4050000</v>
      </c>
      <c r="CK55" s="2228">
        <f t="shared" si="125"/>
        <v>780000</v>
      </c>
      <c r="CL55" s="2229">
        <f t="shared" ref="CL55:CN55" si="129">+CL52+CL53+CL16+CL54</f>
        <v>780000</v>
      </c>
      <c r="CM55" s="2229">
        <f t="shared" si="129"/>
        <v>0</v>
      </c>
      <c r="CN55" s="2228">
        <f t="shared" si="129"/>
        <v>5200000</v>
      </c>
      <c r="CO55" s="2229"/>
      <c r="CP55" s="2229"/>
      <c r="CQ55" s="2228">
        <f>+CQ52+CQ53+CQ16+CQ54</f>
        <v>3740000</v>
      </c>
      <c r="CR55" s="2228">
        <f t="shared" ref="CR55:CS55" si="130">+CR52+CR53+CR16+CR54</f>
        <v>3740000</v>
      </c>
      <c r="CS55" s="2228">
        <f t="shared" si="130"/>
        <v>0</v>
      </c>
      <c r="CT55" s="2228">
        <f>+CT52+CT53+CT16+CT54</f>
        <v>2500000</v>
      </c>
      <c r="CU55" s="2228">
        <f t="shared" ref="CU55:CV55" si="131">+CU52+CU53+CU16+CU54</f>
        <v>2500000</v>
      </c>
      <c r="CV55" s="2228">
        <f t="shared" si="131"/>
        <v>0</v>
      </c>
      <c r="CW55" s="2228">
        <f t="shared" ref="CW55:EA55" si="132">+CW52+CW53+CW16+CW54</f>
        <v>1650000</v>
      </c>
      <c r="CX55" s="2229">
        <f t="shared" si="132"/>
        <v>1350000</v>
      </c>
      <c r="CY55" s="2229">
        <f t="shared" si="132"/>
        <v>300000</v>
      </c>
      <c r="CZ55" s="2228">
        <f t="shared" si="132"/>
        <v>100000</v>
      </c>
      <c r="DA55" s="2228">
        <f t="shared" si="132"/>
        <v>7100000</v>
      </c>
      <c r="DB55" s="2229">
        <f t="shared" si="132"/>
        <v>50000</v>
      </c>
      <c r="DC55" s="2229">
        <f t="shared" si="132"/>
        <v>7050000</v>
      </c>
      <c r="DD55" s="2228">
        <f t="shared" si="132"/>
        <v>0</v>
      </c>
      <c r="DE55" s="2229">
        <f t="shared" si="132"/>
        <v>0</v>
      </c>
      <c r="DF55" s="2229">
        <f t="shared" si="132"/>
        <v>0</v>
      </c>
      <c r="DG55" s="2228">
        <f t="shared" si="132"/>
        <v>100000</v>
      </c>
      <c r="DH55" s="2229">
        <f t="shared" si="132"/>
        <v>0</v>
      </c>
      <c r="DI55" s="2229">
        <f t="shared" si="132"/>
        <v>100000</v>
      </c>
      <c r="DJ55" s="2228">
        <f t="shared" si="132"/>
        <v>101500</v>
      </c>
      <c r="DK55" s="2228">
        <f t="shared" si="132"/>
        <v>3856420</v>
      </c>
      <c r="DL55" s="2229">
        <f t="shared" si="132"/>
        <v>1606420</v>
      </c>
      <c r="DM55" s="2229">
        <f t="shared" si="132"/>
        <v>0</v>
      </c>
      <c r="DN55" s="2229">
        <f t="shared" si="132"/>
        <v>2250000</v>
      </c>
      <c r="DO55" s="2228">
        <f t="shared" si="132"/>
        <v>356500</v>
      </c>
      <c r="DP55" s="2228">
        <f t="shared" si="132"/>
        <v>0</v>
      </c>
      <c r="DQ55" s="2228">
        <f t="shared" si="132"/>
        <v>0</v>
      </c>
      <c r="DR55" s="2228">
        <f t="shared" si="132"/>
        <v>0</v>
      </c>
      <c r="DS55" s="2228">
        <f t="shared" si="132"/>
        <v>0</v>
      </c>
      <c r="DT55" s="2228">
        <f t="shared" si="132"/>
        <v>0</v>
      </c>
      <c r="DU55" s="2228">
        <f t="shared" si="132"/>
        <v>0</v>
      </c>
      <c r="DV55" s="2228">
        <f t="shared" si="132"/>
        <v>0</v>
      </c>
      <c r="DW55" s="2229">
        <f t="shared" ref="DW55:DX55" si="133">+DW52+DW53+DW16+DW54</f>
        <v>0</v>
      </c>
      <c r="DX55" s="2229">
        <f t="shared" si="133"/>
        <v>0</v>
      </c>
      <c r="DY55" s="2228">
        <f t="shared" si="132"/>
        <v>0</v>
      </c>
      <c r="DZ55" s="2228">
        <f t="shared" si="132"/>
        <v>0</v>
      </c>
      <c r="EA55" s="2232">
        <f t="shared" si="132"/>
        <v>0</v>
      </c>
      <c r="EB55" s="2214"/>
      <c r="EC55" s="2173"/>
      <c r="ED55" s="2174"/>
      <c r="EE55" s="2226">
        <f>+EE52+EE53+EE16</f>
        <v>195521733.2317</v>
      </c>
      <c r="EF55" s="2174"/>
      <c r="EG55" s="2226">
        <f>+EG52+EG53+EG16</f>
        <v>44530000</v>
      </c>
      <c r="EI55" s="2216"/>
    </row>
    <row r="56" spans="1:139" outlineLevel="1">
      <c r="A56" s="2233"/>
      <c r="B56" s="2206"/>
      <c r="C56" s="2270"/>
      <c r="D56" s="2270"/>
      <c r="E56" s="2270"/>
      <c r="F56" s="2270"/>
      <c r="G56" s="2270"/>
      <c r="H56" s="2270"/>
      <c r="I56" s="2270"/>
      <c r="J56" s="2271"/>
      <c r="K56" s="2265"/>
      <c r="L56" s="2265"/>
      <c r="M56" s="2265"/>
      <c r="N56" s="2265"/>
      <c r="O56" s="2265"/>
      <c r="P56" s="2265"/>
      <c r="Q56" s="2265"/>
      <c r="R56" s="2265"/>
      <c r="S56" s="2266"/>
      <c r="T56" s="2267"/>
      <c r="U56" s="2265"/>
      <c r="V56" s="2268">
        <f t="shared" ref="V56:V64" si="134">+T56+AT56+CI56+CF56+CB56+DN56+AH56+AN56+AW56+BF56+BL56+BO56+BR56+BU56+BX56+CM56+CY56+DC56+DF56+DI56+AK56+DX56</f>
        <v>0</v>
      </c>
      <c r="W56" s="2265"/>
      <c r="X56" s="2265"/>
      <c r="Y56" s="2265"/>
      <c r="Z56" s="2265"/>
      <c r="AA56" s="2265"/>
      <c r="AB56" s="2265"/>
      <c r="AC56" s="2265"/>
      <c r="AD56" s="2265"/>
      <c r="AE56" s="2265"/>
      <c r="AF56" s="2265"/>
      <c r="AG56" s="2266"/>
      <c r="AH56" s="2266"/>
      <c r="AI56" s="2265"/>
      <c r="AJ56" s="2266"/>
      <c r="AK56" s="2266"/>
      <c r="AL56" s="2265"/>
      <c r="AM56" s="2266"/>
      <c r="AN56" s="2266"/>
      <c r="AO56" s="2265"/>
      <c r="AP56" s="2265"/>
      <c r="AQ56" s="2265"/>
      <c r="AR56" s="2265"/>
      <c r="AS56" s="2266"/>
      <c r="AT56" s="2266"/>
      <c r="AU56" s="2265"/>
      <c r="AV56" s="2266"/>
      <c r="AW56" s="2266"/>
      <c r="AX56" s="2265"/>
      <c r="AY56" s="2266"/>
      <c r="AZ56" s="2266"/>
      <c r="BA56" s="2265"/>
      <c r="BB56" s="2266"/>
      <c r="BC56" s="2266"/>
      <c r="BD56" s="2265"/>
      <c r="BE56" s="2266"/>
      <c r="BF56" s="2266"/>
      <c r="BG56" s="2265"/>
      <c r="BH56" s="2266"/>
      <c r="BI56" s="2266"/>
      <c r="BJ56" s="2265"/>
      <c r="BK56" s="2266"/>
      <c r="BL56" s="2266"/>
      <c r="BM56" s="2265"/>
      <c r="BN56" s="2266"/>
      <c r="BO56" s="2266"/>
      <c r="BP56" s="2265"/>
      <c r="BQ56" s="2266"/>
      <c r="BR56" s="2266"/>
      <c r="BS56" s="2265"/>
      <c r="BT56" s="2266"/>
      <c r="BU56" s="2266"/>
      <c r="BV56" s="2265"/>
      <c r="BW56" s="2266"/>
      <c r="BX56" s="2266"/>
      <c r="BY56" s="2265"/>
      <c r="BZ56" s="2265"/>
      <c r="CA56" s="2266"/>
      <c r="CB56" s="2266"/>
      <c r="CC56" s="2265"/>
      <c r="CD56" s="2265"/>
      <c r="CE56" s="2266"/>
      <c r="CF56" s="2266"/>
      <c r="CG56" s="2265"/>
      <c r="CH56" s="2266"/>
      <c r="CI56" s="2266"/>
      <c r="CJ56" s="2265"/>
      <c r="CK56" s="2265"/>
      <c r="CL56" s="2266"/>
      <c r="CM56" s="2266"/>
      <c r="CN56" s="2265"/>
      <c r="CO56" s="2266"/>
      <c r="CP56" s="2266"/>
      <c r="CQ56" s="2265"/>
      <c r="CR56" s="2266"/>
      <c r="CS56" s="2266"/>
      <c r="CT56" s="2265"/>
      <c r="CU56" s="2266"/>
      <c r="CV56" s="2266"/>
      <c r="CW56" s="2265"/>
      <c r="CX56" s="2266"/>
      <c r="CY56" s="2266"/>
      <c r="CZ56" s="2265"/>
      <c r="DA56" s="2265"/>
      <c r="DB56" s="2266"/>
      <c r="DC56" s="2266"/>
      <c r="DD56" s="2265"/>
      <c r="DE56" s="2266"/>
      <c r="DF56" s="2266"/>
      <c r="DG56" s="2265"/>
      <c r="DH56" s="2266"/>
      <c r="DI56" s="2266"/>
      <c r="DJ56" s="2265"/>
      <c r="DK56" s="2265"/>
      <c r="DL56" s="2266"/>
      <c r="DM56" s="2266"/>
      <c r="DN56" s="2266"/>
      <c r="DO56" s="2265"/>
      <c r="DP56" s="2265"/>
      <c r="DQ56" s="2265"/>
      <c r="DR56" s="2265"/>
      <c r="DS56" s="2265"/>
      <c r="DT56" s="2265"/>
      <c r="DU56" s="2265"/>
      <c r="DV56" s="2265"/>
      <c r="DW56" s="2266"/>
      <c r="DX56" s="2266"/>
      <c r="DY56" s="2265"/>
      <c r="DZ56" s="2265"/>
      <c r="EA56" s="2269"/>
      <c r="EB56" s="2214">
        <f t="shared" ref="EB56" si="135">+J56+K56+L56+N56+P56+Q56+R56+U56+V56+W56+Y56+Z56+AA56+AC56+AD56+AE56+AF56+AI56+AL56+AO56+AP56+AQ56+AR56+AU56+BD56+BJ56+BM56+BP56+BS56+BV56+BY56+BZ56+CC56+CD56+CG56+CJ56+CK56+CN56+CQ56+CT56+CW56+CZ56+DA56+DD56+DG56+DJ56+DK56+DO56+DP56+DQ56+DR56+DS56+DU56+DV56+DY56+DZ56+EA56+BG56+BA56+AX56+AB56-V56</f>
        <v>0</v>
      </c>
      <c r="EC56" s="2173"/>
      <c r="ED56" s="2174"/>
      <c r="EE56" s="2261"/>
      <c r="EF56" s="2174">
        <f t="shared" si="7"/>
        <v>0</v>
      </c>
      <c r="EG56" s="2261"/>
      <c r="EI56" s="2216"/>
    </row>
    <row r="57" spans="1:139" outlineLevel="1">
      <c r="A57" s="2272">
        <v>6111</v>
      </c>
      <c r="B57" s="2273" t="s">
        <v>90</v>
      </c>
      <c r="C57" s="2217">
        <v>0</v>
      </c>
      <c r="D57" s="2217">
        <v>3269880</v>
      </c>
      <c r="E57" s="2217">
        <v>3269880</v>
      </c>
      <c r="F57" s="2217">
        <v>3269880</v>
      </c>
      <c r="G57" s="2217">
        <v>3269880</v>
      </c>
      <c r="H57" s="2217">
        <v>3269880</v>
      </c>
      <c r="I57" s="2217">
        <f t="shared" ref="I57:I64" si="136">SUM(J57:R57)+SUM(W57:AF57)+AI57+AL57+SUM(AO57:AR57)+AU57+BD57+BJ57+BM57+BP57+BS57+BV57+BY57+BZ57+CC57+CD57+CG57+SUM(CJ57:CK57)+CT57+CW57+CZ57+DA57+DD57+DG57+DJ57+DK57+SUM(DO57:DV57)+CN57+CQ57+SUM(DY57:EA57)+U57+AX57+BA57+BG57</f>
        <v>3269880</v>
      </c>
      <c r="J57" s="2218"/>
      <c r="K57" s="2219"/>
      <c r="L57" s="2219"/>
      <c r="M57" s="2219"/>
      <c r="N57" s="2219"/>
      <c r="O57" s="2219"/>
      <c r="P57" s="2219"/>
      <c r="Q57" s="2219"/>
      <c r="R57" s="2219">
        <f t="shared" ref="R57:R68" si="137">+S57+T57</f>
        <v>3269880</v>
      </c>
      <c r="S57" s="2220">
        <f>+[2]Správa!$B$153</f>
        <v>3269880</v>
      </c>
      <c r="T57" s="2221"/>
      <c r="U57" s="2219"/>
      <c r="V57" s="2235">
        <f t="shared" si="134"/>
        <v>0</v>
      </c>
      <c r="W57" s="2219"/>
      <c r="X57" s="2219"/>
      <c r="Y57" s="2219"/>
      <c r="Z57" s="2219"/>
      <c r="AA57" s="2219"/>
      <c r="AB57" s="2219"/>
      <c r="AC57" s="2219"/>
      <c r="AD57" s="2219"/>
      <c r="AE57" s="2219"/>
      <c r="AF57" s="2219">
        <f t="shared" ref="AF57:AF68" si="138">+AG57+AH57</f>
        <v>0</v>
      </c>
      <c r="AG57" s="2220"/>
      <c r="AH57" s="2220"/>
      <c r="AI57" s="2219">
        <f t="shared" ref="AI57:AI68" si="139">+AJ57+AK57</f>
        <v>0</v>
      </c>
      <c r="AJ57" s="2220"/>
      <c r="AK57" s="2220"/>
      <c r="AL57" s="2219">
        <f t="shared" ref="AL57:AL68" si="140">+AM57+AN57</f>
        <v>0</v>
      </c>
      <c r="AM57" s="2220"/>
      <c r="AN57" s="2220"/>
      <c r="AO57" s="2219"/>
      <c r="AP57" s="2219"/>
      <c r="AQ57" s="2219"/>
      <c r="AR57" s="2219">
        <f t="shared" ref="AR57:AR68" si="141">+AS57+AT57</f>
        <v>0</v>
      </c>
      <c r="AS57" s="2220"/>
      <c r="AT57" s="2220"/>
      <c r="AU57" s="2219">
        <f t="shared" ref="AU57:AU68" si="142">+AV57+AW57</f>
        <v>0</v>
      </c>
      <c r="AV57" s="2220"/>
      <c r="AW57" s="2220"/>
      <c r="AX57" s="2219">
        <f t="shared" ref="AX57:AX64" si="143">+AY57+AZ57</f>
        <v>0</v>
      </c>
      <c r="AY57" s="2220"/>
      <c r="AZ57" s="2220"/>
      <c r="BA57" s="2219">
        <f t="shared" ref="BA57:BA64" si="144">+BB57+BC57</f>
        <v>0</v>
      </c>
      <c r="BB57" s="2220"/>
      <c r="BC57" s="2220"/>
      <c r="BD57" s="2219">
        <f t="shared" ref="BD57:BD68" si="145">+BE57+BF57</f>
        <v>0</v>
      </c>
      <c r="BE57" s="2220"/>
      <c r="BF57" s="2220"/>
      <c r="BG57" s="2219">
        <f t="shared" ref="BG57:BG64" si="146">+BH57+BI57</f>
        <v>0</v>
      </c>
      <c r="BH57" s="2220"/>
      <c r="BI57" s="2220"/>
      <c r="BJ57" s="2219">
        <f t="shared" ref="BJ57:BJ68" si="147">+BK57+BL57</f>
        <v>0</v>
      </c>
      <c r="BK57" s="2220"/>
      <c r="BL57" s="2220"/>
      <c r="BM57" s="2219">
        <f t="shared" ref="BM57:BM68" si="148">+BN57+BO57</f>
        <v>0</v>
      </c>
      <c r="BN57" s="2220"/>
      <c r="BO57" s="2220"/>
      <c r="BP57" s="2219">
        <f t="shared" ref="BP57:BP68" si="149">+BQ57+BR57</f>
        <v>0</v>
      </c>
      <c r="BQ57" s="2220"/>
      <c r="BR57" s="2220"/>
      <c r="BS57" s="2219">
        <f t="shared" ref="BS57:BS68" si="150">+BT57+BU57</f>
        <v>0</v>
      </c>
      <c r="BT57" s="2220"/>
      <c r="BU57" s="2220"/>
      <c r="BV57" s="2219">
        <f t="shared" ref="BV57:BV68" si="151">+BW57+BX57</f>
        <v>0</v>
      </c>
      <c r="BW57" s="2220"/>
      <c r="BX57" s="2220"/>
      <c r="BY57" s="2219"/>
      <c r="BZ57" s="2219">
        <f t="shared" ref="BZ57:BZ68" si="152">+CA57+CB57</f>
        <v>0</v>
      </c>
      <c r="CA57" s="2220"/>
      <c r="CB57" s="2220"/>
      <c r="CC57" s="2219"/>
      <c r="CD57" s="2219">
        <f t="shared" ref="CD57:CD68" si="153">+CE57+CF57</f>
        <v>0</v>
      </c>
      <c r="CE57" s="2220"/>
      <c r="CF57" s="2220"/>
      <c r="CG57" s="2219">
        <f t="shared" ref="CG57:CG68" si="154">+CH57+CI57</f>
        <v>0</v>
      </c>
      <c r="CH57" s="2220"/>
      <c r="CI57" s="2220"/>
      <c r="CJ57" s="2219"/>
      <c r="CK57" s="2219">
        <f t="shared" ref="CK57:CK68" si="155">+CL57+CM57</f>
        <v>0</v>
      </c>
      <c r="CL57" s="2220"/>
      <c r="CM57" s="2220"/>
      <c r="CN57" s="2219"/>
      <c r="CO57" s="2220"/>
      <c r="CP57" s="2220"/>
      <c r="CQ57" s="2219"/>
      <c r="CR57" s="2220"/>
      <c r="CS57" s="2220"/>
      <c r="CT57" s="2219"/>
      <c r="CU57" s="2220"/>
      <c r="CV57" s="2220"/>
      <c r="CW57" s="2219">
        <f t="shared" ref="CW57:CW68" si="156">+CX57+CY57</f>
        <v>0</v>
      </c>
      <c r="CX57" s="2220"/>
      <c r="CY57" s="2220"/>
      <c r="CZ57" s="2219"/>
      <c r="DA57" s="2219">
        <f t="shared" ref="DA57:DA68" si="157">+DB57+DC57</f>
        <v>0</v>
      </c>
      <c r="DB57" s="2220"/>
      <c r="DC57" s="2220"/>
      <c r="DD57" s="2219">
        <f t="shared" ref="DD57:DD68" si="158">+DE57+DF57</f>
        <v>0</v>
      </c>
      <c r="DE57" s="2220"/>
      <c r="DF57" s="2220"/>
      <c r="DG57" s="2219">
        <f t="shared" ref="DG57:DG68" si="159">+DH57+DI57</f>
        <v>0</v>
      </c>
      <c r="DH57" s="2220"/>
      <c r="DI57" s="2220"/>
      <c r="DJ57" s="2219"/>
      <c r="DK57" s="2219">
        <f t="shared" ref="DK57:DK68" si="160">+DL57+DM57+DN57</f>
        <v>0</v>
      </c>
      <c r="DL57" s="2220"/>
      <c r="DM57" s="2220"/>
      <c r="DN57" s="2220"/>
      <c r="DO57" s="2219"/>
      <c r="DP57" s="2219"/>
      <c r="DQ57" s="2219"/>
      <c r="DR57" s="2219"/>
      <c r="DS57" s="2219"/>
      <c r="DT57" s="2219"/>
      <c r="DU57" s="2219"/>
      <c r="DV57" s="2219"/>
      <c r="DW57" s="2220"/>
      <c r="DX57" s="2220"/>
      <c r="DY57" s="2219"/>
      <c r="DZ57" s="2219"/>
      <c r="EA57" s="2223"/>
      <c r="EB57" s="2214">
        <f t="shared" ref="EB57:EB68" si="161">+J57+K57+L57+N57+P57+Q57+R57+U57+V57+W57+Y57+Z57+AA57+AC57+AD57+AE57+AF57+AI57+AL57+AO57+AP57+AQ57+AR57+AU57+BD57+BJ57+BM57+BP57+BS57+BV57+BY57+BZ57+CC57+CD57+CG57+CJ57+CK57+CN57+CQ57+CT57+CW57+CZ57+DA57+DD57+DG57+DJ57+DK57+DO57+DP57+DQ57+DR57+DS57+DU57+DV57+DY57+DZ57+EA57+BG57+BA57+AX57+AB57-V57+M57+O57+X57</f>
        <v>3269880</v>
      </c>
      <c r="EC57" s="2173">
        <f>EB57-I57</f>
        <v>0</v>
      </c>
      <c r="ED57" s="2174"/>
      <c r="EE57" s="2217">
        <f t="shared" ref="EE57:EE68" si="162">+I57-EG57</f>
        <v>3269880</v>
      </c>
      <c r="EF57" s="2174">
        <f t="shared" si="7"/>
        <v>0</v>
      </c>
      <c r="EG57" s="2217">
        <f t="shared" ref="EG57:EG68" si="163">+T57+AH57+AK57++AN57+AT57+AW57+BF57+BL57+BO57+BR57+BU57+BX57+CB57+CF57+CI57+CM57+CY57+DC57+DF57+DI57+DN57</f>
        <v>0</v>
      </c>
      <c r="EI57" s="2216"/>
    </row>
    <row r="58" spans="1:139" outlineLevel="1">
      <c r="A58" s="2233">
        <v>6121</v>
      </c>
      <c r="B58" s="2206" t="s">
        <v>105</v>
      </c>
      <c r="C58" s="2217">
        <v>51938654.480000004</v>
      </c>
      <c r="D58" s="2217">
        <v>120189200</v>
      </c>
      <c r="E58" s="2217">
        <v>138389200</v>
      </c>
      <c r="F58" s="2217">
        <v>135465099</v>
      </c>
      <c r="G58" s="2217">
        <v>141315099</v>
      </c>
      <c r="H58" s="2217">
        <v>111587202</v>
      </c>
      <c r="I58" s="2217">
        <f t="shared" si="136"/>
        <v>111587202</v>
      </c>
      <c r="J58" s="2218"/>
      <c r="K58" s="2219"/>
      <c r="L58" s="2219"/>
      <c r="M58" s="2219"/>
      <c r="N58" s="2219">
        <f>+'[6]Všebecná pokladna'!$B$92</f>
        <v>0</v>
      </c>
      <c r="O58" s="2219"/>
      <c r="P58" s="2219"/>
      <c r="Q58" s="2219"/>
      <c r="R58" s="2219">
        <f t="shared" si="137"/>
        <v>0</v>
      </c>
      <c r="S58" s="2220"/>
      <c r="T58" s="2221"/>
      <c r="U58" s="2219"/>
      <c r="V58" s="2239">
        <f t="shared" si="134"/>
        <v>0</v>
      </c>
      <c r="W58" s="2219"/>
      <c r="X58" s="2219"/>
      <c r="Y58" s="2219"/>
      <c r="Z58" s="2219"/>
      <c r="AA58" s="2219"/>
      <c r="AB58" s="2219">
        <f>+'[4]Hotel Budka'!$B$4</f>
        <v>0</v>
      </c>
      <c r="AC58" s="2219">
        <f>+[3]Knihovna!$B$36</f>
        <v>0</v>
      </c>
      <c r="AD58" s="2219"/>
      <c r="AE58" s="2219"/>
      <c r="AF58" s="2219">
        <f t="shared" ref="AF58:AF60" si="164">+AG58+AH58</f>
        <v>9200000</v>
      </c>
      <c r="AG58" s="2220">
        <f>+[4]Byty!$B$4</f>
        <v>9200000</v>
      </c>
      <c r="AH58" s="2220"/>
      <c r="AI58" s="2274">
        <f t="shared" si="139"/>
        <v>0</v>
      </c>
      <c r="AJ58" s="2244">
        <f>+[3]DPS!$D$49</f>
        <v>0</v>
      </c>
      <c r="AK58" s="2244">
        <f>+[3]DPS!$E$49</f>
        <v>0</v>
      </c>
      <c r="AL58" s="2274">
        <f t="shared" si="140"/>
        <v>9835899</v>
      </c>
      <c r="AM58" s="2244">
        <f>+[4]Nebyty!$B$4</f>
        <v>9835899</v>
      </c>
      <c r="AN58" s="2244"/>
      <c r="AO58" s="2219">
        <f>+[3]Hasiči!$B$40</f>
        <v>0</v>
      </c>
      <c r="AP58" s="2219">
        <f>+'[3]Zdrav. středisko'!$B$18</f>
        <v>0</v>
      </c>
      <c r="AQ58" s="2219"/>
      <c r="AR58" s="2219">
        <f t="shared" si="141"/>
        <v>80000</v>
      </c>
      <c r="AS58" s="2220">
        <f>+[3]Hřbitov!$D$34</f>
        <v>80000</v>
      </c>
      <c r="AT58" s="2220">
        <f>+[3]Hřbitov!$E$34</f>
        <v>0</v>
      </c>
      <c r="AU58" s="2240">
        <f t="shared" si="142"/>
        <v>115000</v>
      </c>
      <c r="AV58" s="2220">
        <f>+[4]Koupaliště!$B$4+[3]koupaliště!$B$36</f>
        <v>115000</v>
      </c>
      <c r="AW58" s="2220">
        <f>+[3]koupaliště!$E$36</f>
        <v>0</v>
      </c>
      <c r="AX58" s="2240">
        <f t="shared" si="143"/>
        <v>0</v>
      </c>
      <c r="AY58" s="2220">
        <f>+[4]Hřiště!$B$4</f>
        <v>0</v>
      </c>
      <c r="AZ58" s="2220"/>
      <c r="BA58" s="2240">
        <f t="shared" si="144"/>
        <v>0</v>
      </c>
      <c r="BB58" s="2220"/>
      <c r="BC58" s="2220"/>
      <c r="BD58" s="2219">
        <f t="shared" si="145"/>
        <v>30000</v>
      </c>
      <c r="BE58" s="2220">
        <f>+[4]ZŠ!$B$4</f>
        <v>30000</v>
      </c>
      <c r="BF58" s="2220"/>
      <c r="BG58" s="2219">
        <f t="shared" si="146"/>
        <v>0</v>
      </c>
      <c r="BH58" s="2220">
        <f>+[4]Sv.Š!$B$4</f>
        <v>0</v>
      </c>
      <c r="BI58" s="2220"/>
      <c r="BJ58" s="2219">
        <f t="shared" si="147"/>
        <v>0</v>
      </c>
      <c r="BK58" s="2220">
        <f>+'[4]Č.p. 65'!$B$4</f>
        <v>0</v>
      </c>
      <c r="BL58" s="2220"/>
      <c r="BM58" s="2219">
        <f t="shared" si="148"/>
        <v>0</v>
      </c>
      <c r="BN58" s="2220"/>
      <c r="BO58" s="2220"/>
      <c r="BP58" s="2219">
        <f t="shared" si="149"/>
        <v>770000</v>
      </c>
      <c r="BQ58" s="2220">
        <f>+'[4]MŠ Pražská'!$B$4</f>
        <v>770000</v>
      </c>
      <c r="BR58" s="2220"/>
      <c r="BS58" s="2219">
        <f t="shared" si="150"/>
        <v>0</v>
      </c>
      <c r="BT58" s="2220">
        <f>+'[4]MŠ Kollárova'!$B$4</f>
        <v>0</v>
      </c>
      <c r="BU58" s="2220"/>
      <c r="BV58" s="2219">
        <f t="shared" si="151"/>
        <v>0</v>
      </c>
      <c r="BW58" s="2220">
        <f>+'[4]Jídelna ZŠ'!$B$3</f>
        <v>0</v>
      </c>
      <c r="BX58" s="2220"/>
      <c r="BY58" s="2219"/>
      <c r="BZ58" s="2240">
        <f t="shared" si="152"/>
        <v>42914703</v>
      </c>
      <c r="CA58" s="2220">
        <f>+'[4]MŠ Cukrovar'!$B$4</f>
        <v>42914703</v>
      </c>
      <c r="CB58" s="2220"/>
      <c r="CC58" s="2219"/>
      <c r="CD58" s="2219">
        <f t="shared" si="153"/>
        <v>1246400</v>
      </c>
      <c r="CE58" s="2238">
        <f>+[3]VO!$D$37</f>
        <v>1246400</v>
      </c>
      <c r="CF58" s="2220">
        <f>+[3]VO!$E$37</f>
        <v>0</v>
      </c>
      <c r="CG58" s="2240">
        <f t="shared" si="154"/>
        <v>12950000</v>
      </c>
      <c r="CH58" s="2220">
        <f>+'[4]Silnice stavba'!$B$4</f>
        <v>12950000</v>
      </c>
      <c r="CI58" s="2220"/>
      <c r="CJ58" s="2219"/>
      <c r="CK58" s="2219">
        <f t="shared" si="155"/>
        <v>0</v>
      </c>
      <c r="CL58" s="2220">
        <f>+[4]Vodovod!$B$4</f>
        <v>0</v>
      </c>
      <c r="CM58" s="2220"/>
      <c r="CN58" s="2219"/>
      <c r="CO58" s="2220"/>
      <c r="CP58" s="2220"/>
      <c r="CQ58" s="2219">
        <f>+CR58+CS58</f>
        <v>34195200</v>
      </c>
      <c r="CR58" s="2220">
        <f>+[4]Kanalizace!$B$4</f>
        <v>34195200</v>
      </c>
      <c r="CS58" s="2220"/>
      <c r="CT58" s="2219"/>
      <c r="CU58" s="2220"/>
      <c r="CV58" s="2220"/>
      <c r="CW58" s="2219">
        <f t="shared" si="156"/>
        <v>250000</v>
      </c>
      <c r="CX58" s="2220">
        <f>+'[4]Inženýrské sítě'!$B$4</f>
        <v>250000</v>
      </c>
      <c r="CY58" s="2220"/>
      <c r="CZ58" s="2219"/>
      <c r="DA58" s="2219">
        <f t="shared" si="157"/>
        <v>0</v>
      </c>
      <c r="DB58" s="2220"/>
      <c r="DC58" s="2220"/>
      <c r="DD58" s="2219">
        <f t="shared" si="158"/>
        <v>0</v>
      </c>
      <c r="DE58" s="2220"/>
      <c r="DF58" s="2220"/>
      <c r="DG58" s="2219">
        <f t="shared" si="159"/>
        <v>0</v>
      </c>
      <c r="DH58" s="2220"/>
      <c r="DI58" s="2220"/>
      <c r="DJ58" s="2219">
        <f>+'[5]Povodeň 3744'!$B$29</f>
        <v>0</v>
      </c>
      <c r="DK58" s="2219">
        <f t="shared" si="160"/>
        <v>0</v>
      </c>
      <c r="DL58" s="2220"/>
      <c r="DM58" s="2220"/>
      <c r="DN58" s="2220"/>
      <c r="DO58" s="2219"/>
      <c r="DP58" s="2219"/>
      <c r="DQ58" s="2219"/>
      <c r="DR58" s="2219"/>
      <c r="DS58" s="2219"/>
      <c r="DT58" s="2219"/>
      <c r="DU58" s="2219"/>
      <c r="DV58" s="2220">
        <f>+DW58+DX58</f>
        <v>0</v>
      </c>
      <c r="DW58" s="2220"/>
      <c r="DX58" s="2220"/>
      <c r="DY58" s="2219"/>
      <c r="DZ58" s="2219">
        <f>+[4]Cyklostezky!$B$4</f>
        <v>0</v>
      </c>
      <c r="EA58" s="2223"/>
      <c r="EB58" s="2214">
        <f t="shared" si="161"/>
        <v>111587202</v>
      </c>
      <c r="EC58" s="2173">
        <f>EB58-I58</f>
        <v>0</v>
      </c>
      <c r="ED58" s="2174"/>
      <c r="EE58" s="2217">
        <f t="shared" si="162"/>
        <v>111587202</v>
      </c>
      <c r="EF58" s="2174">
        <f t="shared" si="7"/>
        <v>0</v>
      </c>
      <c r="EG58" s="2217">
        <f>+T58+AH58+AK58++AN58+AT58+AW58+BF58+BL58+BO58+BR58+BU58+BX58+CB58+CF58+CI58+CM58+CY58+DC58+DF58+DI58+DN58</f>
        <v>0</v>
      </c>
      <c r="EI58" s="2216"/>
    </row>
    <row r="59" spans="1:139" outlineLevel="1">
      <c r="A59" s="2233">
        <v>6121</v>
      </c>
      <c r="B59" s="2206" t="s">
        <v>106</v>
      </c>
      <c r="C59" s="2217">
        <v>9560000</v>
      </c>
      <c r="D59" s="2217">
        <v>8492604</v>
      </c>
      <c r="E59" s="2217">
        <v>8992604</v>
      </c>
      <c r="F59" s="2217">
        <v>9081660</v>
      </c>
      <c r="G59" s="2217">
        <v>9081660</v>
      </c>
      <c r="H59" s="2217">
        <v>9291660</v>
      </c>
      <c r="I59" s="2217">
        <f t="shared" si="136"/>
        <v>9291660</v>
      </c>
      <c r="J59" s="2218"/>
      <c r="K59" s="2219"/>
      <c r="L59" s="2219"/>
      <c r="M59" s="2219"/>
      <c r="N59" s="2219"/>
      <c r="O59" s="2219"/>
      <c r="P59" s="2219"/>
      <c r="Q59" s="2219"/>
      <c r="R59" s="2219">
        <f t="shared" si="137"/>
        <v>0</v>
      </c>
      <c r="S59" s="2220"/>
      <c r="T59" s="2221"/>
      <c r="U59" s="2219"/>
      <c r="V59" s="2235">
        <f t="shared" si="134"/>
        <v>0</v>
      </c>
      <c r="W59" s="2219"/>
      <c r="X59" s="2219"/>
      <c r="Y59" s="2219"/>
      <c r="Z59" s="2219"/>
      <c r="AA59" s="2219"/>
      <c r="AB59" s="2219">
        <f>+'[4]Hotel Budka'!$B$5</f>
        <v>1100000</v>
      </c>
      <c r="AC59" s="2219">
        <f>+[3]Knihovna!$B$34+[3]Knihovna!$B$35</f>
        <v>280000</v>
      </c>
      <c r="AD59" s="2219"/>
      <c r="AE59" s="2219"/>
      <c r="AF59" s="2219">
        <f t="shared" si="164"/>
        <v>100000</v>
      </c>
      <c r="AG59" s="2220">
        <f>+[4]Byty!$B$5</f>
        <v>100000</v>
      </c>
      <c r="AH59" s="2220"/>
      <c r="AI59" s="2274">
        <f t="shared" si="139"/>
        <v>0</v>
      </c>
      <c r="AJ59" s="2244"/>
      <c r="AK59" s="2244"/>
      <c r="AL59" s="2274">
        <f t="shared" si="140"/>
        <v>1000000</v>
      </c>
      <c r="AM59" s="2220">
        <f>+[4]Nebyty!$B$5</f>
        <v>1000000</v>
      </c>
      <c r="AN59" s="2244"/>
      <c r="AO59" s="2219"/>
      <c r="AP59" s="2219"/>
      <c r="AQ59" s="2219"/>
      <c r="AR59" s="2219">
        <f t="shared" si="141"/>
        <v>0</v>
      </c>
      <c r="AS59" s="2220">
        <f>+[3]Hřbitov!$D$33</f>
        <v>0</v>
      </c>
      <c r="AT59" s="2220">
        <f>+[3]Hřbitov!$E$33</f>
        <v>0</v>
      </c>
      <c r="AU59" s="2219">
        <f t="shared" si="142"/>
        <v>100000</v>
      </c>
      <c r="AV59" s="2220">
        <f>+[3]koupaliště!$D$35</f>
        <v>100000</v>
      </c>
      <c r="AW59" s="2220">
        <f>+[3]koupaliště!$E$35</f>
        <v>0</v>
      </c>
      <c r="AX59" s="2219">
        <f t="shared" si="143"/>
        <v>0</v>
      </c>
      <c r="AY59" s="2220">
        <f>+[4]Hřiště!$B$5</f>
        <v>0</v>
      </c>
      <c r="AZ59" s="2220"/>
      <c r="BA59" s="2219">
        <f t="shared" si="144"/>
        <v>0</v>
      </c>
      <c r="BB59" s="2220"/>
      <c r="BC59" s="2220"/>
      <c r="BD59" s="2219">
        <f t="shared" si="145"/>
        <v>0</v>
      </c>
      <c r="BE59" s="2220">
        <f>+[4]ZŠ!$B$5</f>
        <v>0</v>
      </c>
      <c r="BF59" s="2220"/>
      <c r="BG59" s="2219">
        <f t="shared" si="146"/>
        <v>0</v>
      </c>
      <c r="BH59" s="2220">
        <f>+[4]Sv.Š!$B$5</f>
        <v>0</v>
      </c>
      <c r="BI59" s="2220"/>
      <c r="BJ59" s="2219">
        <f t="shared" si="147"/>
        <v>0</v>
      </c>
      <c r="BK59" s="2220">
        <f>+'[4]Č.p. 65'!$B$5</f>
        <v>0</v>
      </c>
      <c r="BL59" s="2220"/>
      <c r="BM59" s="2219">
        <f t="shared" si="148"/>
        <v>0</v>
      </c>
      <c r="BN59" s="2220"/>
      <c r="BO59" s="2220"/>
      <c r="BP59" s="2219">
        <f t="shared" si="149"/>
        <v>10000</v>
      </c>
      <c r="BQ59" s="2220">
        <f>+'[4]MŠ Pražská'!$B$5</f>
        <v>10000</v>
      </c>
      <c r="BR59" s="2220"/>
      <c r="BS59" s="2219">
        <f t="shared" si="150"/>
        <v>200000</v>
      </c>
      <c r="BT59" s="2220">
        <f>+'[4]MŠ Kollárova'!$B$5+'[3]MŠ Kollárova'!$B$21</f>
        <v>200000</v>
      </c>
      <c r="BU59" s="2220"/>
      <c r="BV59" s="2219">
        <f t="shared" si="151"/>
        <v>0</v>
      </c>
      <c r="BW59" s="2220">
        <f>+'[4]Jídelna ZŠ'!$B$4</f>
        <v>0</v>
      </c>
      <c r="BX59" s="2220"/>
      <c r="BY59" s="2219"/>
      <c r="BZ59" s="2219">
        <f t="shared" si="152"/>
        <v>300000</v>
      </c>
      <c r="CA59" s="2220">
        <f>+'[4]MŠ Cukrovar'!$B$5</f>
        <v>300000</v>
      </c>
      <c r="CB59" s="2220"/>
      <c r="CC59" s="2219">
        <f>+'[7]Územní plán 3635'!$B$29</f>
        <v>589056</v>
      </c>
      <c r="CD59" s="2219">
        <f t="shared" si="153"/>
        <v>0</v>
      </c>
      <c r="CE59" s="2220"/>
      <c r="CF59" s="2220"/>
      <c r="CG59" s="2219">
        <f t="shared" si="154"/>
        <v>3562604</v>
      </c>
      <c r="CH59" s="2220">
        <f>+'[4]Silnice stavba'!$B$5</f>
        <v>3562604</v>
      </c>
      <c r="CI59" s="2220"/>
      <c r="CJ59" s="2219"/>
      <c r="CK59" s="2219">
        <f t="shared" si="155"/>
        <v>0</v>
      </c>
      <c r="CL59" s="2220">
        <f>+[4]Vodovod!$B$5</f>
        <v>0</v>
      </c>
      <c r="CM59" s="2220"/>
      <c r="CN59" s="2219"/>
      <c r="CO59" s="2220"/>
      <c r="CP59" s="2220"/>
      <c r="CQ59" s="2219">
        <f t="shared" ref="CQ59" si="165">+CR59+CS59</f>
        <v>1500000</v>
      </c>
      <c r="CR59" s="2220">
        <f>+[4]Kanalizace!$B$5</f>
        <v>1500000</v>
      </c>
      <c r="CS59" s="2220"/>
      <c r="CT59" s="2219"/>
      <c r="CU59" s="2220"/>
      <c r="CV59" s="2220"/>
      <c r="CW59" s="2219">
        <f t="shared" si="156"/>
        <v>0</v>
      </c>
      <c r="CX59" s="2220">
        <f>+'[4]Inženýrské sítě'!$B$5</f>
        <v>0</v>
      </c>
      <c r="CY59" s="2220"/>
      <c r="CZ59" s="2219"/>
      <c r="DA59" s="2219">
        <f t="shared" si="157"/>
        <v>0</v>
      </c>
      <c r="DB59" s="2220"/>
      <c r="DC59" s="2220"/>
      <c r="DD59" s="2219">
        <f t="shared" si="158"/>
        <v>0</v>
      </c>
      <c r="DE59" s="2220"/>
      <c r="DF59" s="2220"/>
      <c r="DG59" s="2219">
        <f t="shared" si="159"/>
        <v>0</v>
      </c>
      <c r="DH59" s="2220"/>
      <c r="DI59" s="2220"/>
      <c r="DJ59" s="2219"/>
      <c r="DK59" s="2219">
        <f t="shared" si="160"/>
        <v>150000</v>
      </c>
      <c r="DL59" s="2220">
        <f>+'[7]Příroda 3749'!$B$32</f>
        <v>150000</v>
      </c>
      <c r="DM59" s="2220"/>
      <c r="DN59" s="2220"/>
      <c r="DO59" s="2219">
        <f>+'[7]Rybníky 3749-2'!$B$21</f>
        <v>200000</v>
      </c>
      <c r="DP59" s="2219"/>
      <c r="DQ59" s="2219"/>
      <c r="DR59" s="2219"/>
      <c r="DS59" s="2219"/>
      <c r="DT59" s="2219"/>
      <c r="DU59" s="2219"/>
      <c r="DV59" s="2220">
        <f t="shared" ref="DV59:DV60" si="166">+DW59+DX59</f>
        <v>0</v>
      </c>
      <c r="DW59" s="2220"/>
      <c r="DX59" s="2220"/>
      <c r="DY59" s="2219"/>
      <c r="DZ59" s="2219">
        <f>+[4]Cyklostezky!$B$5</f>
        <v>200000</v>
      </c>
      <c r="EA59" s="2223"/>
      <c r="EB59" s="2214">
        <f t="shared" si="161"/>
        <v>9291660</v>
      </c>
      <c r="EC59" s="2173">
        <f t="shared" si="76"/>
        <v>0</v>
      </c>
      <c r="ED59" s="2174"/>
      <c r="EE59" s="2217">
        <f t="shared" si="162"/>
        <v>9291660</v>
      </c>
      <c r="EF59" s="2174">
        <f t="shared" si="7"/>
        <v>0</v>
      </c>
      <c r="EG59" s="2217">
        <f t="shared" si="163"/>
        <v>0</v>
      </c>
      <c r="EI59" s="2216"/>
    </row>
    <row r="60" spans="1:139" outlineLevel="1">
      <c r="A60" s="2233">
        <v>6122</v>
      </c>
      <c r="B60" s="2206" t="s">
        <v>107</v>
      </c>
      <c r="C60" s="2217">
        <v>200000</v>
      </c>
      <c r="D60" s="2217">
        <v>570000</v>
      </c>
      <c r="E60" s="2217">
        <v>570000</v>
      </c>
      <c r="F60" s="2217">
        <v>570000</v>
      </c>
      <c r="G60" s="2217">
        <v>570000</v>
      </c>
      <c r="H60" s="2217">
        <v>720000</v>
      </c>
      <c r="I60" s="2217">
        <f t="shared" si="136"/>
        <v>720000</v>
      </c>
      <c r="J60" s="2218"/>
      <c r="K60" s="2219"/>
      <c r="L60" s="2219"/>
      <c r="M60" s="2219"/>
      <c r="N60" s="2219"/>
      <c r="O60" s="2219"/>
      <c r="P60" s="2219"/>
      <c r="Q60" s="2219"/>
      <c r="R60" s="2219">
        <f t="shared" si="137"/>
        <v>0</v>
      </c>
      <c r="S60" s="2220">
        <v>0</v>
      </c>
      <c r="T60" s="2221"/>
      <c r="U60" s="2219"/>
      <c r="V60" s="2235">
        <f t="shared" si="134"/>
        <v>0</v>
      </c>
      <c r="W60" s="2219"/>
      <c r="X60" s="2219"/>
      <c r="Y60" s="2219"/>
      <c r="Z60" s="2219"/>
      <c r="AA60" s="2219"/>
      <c r="AB60" s="2219"/>
      <c r="AC60" s="2219"/>
      <c r="AD60" s="2219"/>
      <c r="AE60" s="2219"/>
      <c r="AF60" s="2219">
        <f t="shared" si="164"/>
        <v>0</v>
      </c>
      <c r="AG60" s="2220"/>
      <c r="AH60" s="2220"/>
      <c r="AI60" s="2219">
        <f t="shared" si="139"/>
        <v>0</v>
      </c>
      <c r="AJ60" s="2220"/>
      <c r="AK60" s="2220"/>
      <c r="AL60" s="2219">
        <f t="shared" si="140"/>
        <v>180000</v>
      </c>
      <c r="AM60" s="2220">
        <f>+[3]Nebyty!$D$22</f>
        <v>180000</v>
      </c>
      <c r="AN60" s="2220">
        <f>+[3]Nebyty!$E$22</f>
        <v>0</v>
      </c>
      <c r="AO60" s="2219"/>
      <c r="AP60" s="2219"/>
      <c r="AQ60" s="2219"/>
      <c r="AR60" s="2219">
        <f t="shared" si="141"/>
        <v>0</v>
      </c>
      <c r="AS60" s="2220"/>
      <c r="AT60" s="2220"/>
      <c r="AU60" s="2219">
        <f t="shared" si="142"/>
        <v>0</v>
      </c>
      <c r="AV60" s="2220"/>
      <c r="AW60" s="2220"/>
      <c r="AX60" s="2219">
        <f t="shared" si="143"/>
        <v>0</v>
      </c>
      <c r="AY60" s="2220"/>
      <c r="AZ60" s="2220"/>
      <c r="BA60" s="2219">
        <f t="shared" si="144"/>
        <v>0</v>
      </c>
      <c r="BB60" s="2220"/>
      <c r="BC60" s="2220"/>
      <c r="BD60" s="2219">
        <f t="shared" si="145"/>
        <v>0</v>
      </c>
      <c r="BE60" s="2220"/>
      <c r="BF60" s="2220"/>
      <c r="BG60" s="2219">
        <f t="shared" si="146"/>
        <v>0</v>
      </c>
      <c r="BH60" s="2220"/>
      <c r="BI60" s="2220"/>
      <c r="BJ60" s="2219">
        <f t="shared" si="147"/>
        <v>0</v>
      </c>
      <c r="BK60" s="2220"/>
      <c r="BL60" s="2220"/>
      <c r="BM60" s="2219">
        <f t="shared" si="148"/>
        <v>0</v>
      </c>
      <c r="BN60" s="2220"/>
      <c r="BO60" s="2220"/>
      <c r="BP60" s="2219">
        <f t="shared" si="149"/>
        <v>0</v>
      </c>
      <c r="BQ60" s="2220"/>
      <c r="BR60" s="2220"/>
      <c r="BS60" s="2219">
        <f t="shared" si="150"/>
        <v>0</v>
      </c>
      <c r="BT60" s="2220"/>
      <c r="BU60" s="2220"/>
      <c r="BV60" s="2219">
        <f t="shared" si="151"/>
        <v>0</v>
      </c>
      <c r="BW60" s="2220"/>
      <c r="BX60" s="2220"/>
      <c r="BY60" s="2219"/>
      <c r="BZ60" s="2219">
        <f t="shared" si="152"/>
        <v>0</v>
      </c>
      <c r="CA60" s="2220"/>
      <c r="CB60" s="2220"/>
      <c r="CC60" s="2219"/>
      <c r="CD60" s="2219">
        <f t="shared" si="153"/>
        <v>0</v>
      </c>
      <c r="CE60" s="2220"/>
      <c r="CF60" s="2220"/>
      <c r="CG60" s="2219">
        <f t="shared" si="154"/>
        <v>540000</v>
      </c>
      <c r="CH60" s="2220">
        <f>+[3]Silnice!$B$78</f>
        <v>540000</v>
      </c>
      <c r="CI60" s="2220">
        <f>+[3]Silnice!$E$67</f>
        <v>0</v>
      </c>
      <c r="CJ60" s="2219"/>
      <c r="CK60" s="2219">
        <f t="shared" si="155"/>
        <v>0</v>
      </c>
      <c r="CL60" s="2220"/>
      <c r="CM60" s="2220"/>
      <c r="CN60" s="2219"/>
      <c r="CO60" s="2220"/>
      <c r="CP60" s="2220"/>
      <c r="CQ60" s="2219"/>
      <c r="CR60" s="2220"/>
      <c r="CS60" s="2220"/>
      <c r="CT60" s="2219"/>
      <c r="CU60" s="2220"/>
      <c r="CV60" s="2220"/>
      <c r="CW60" s="2219">
        <f t="shared" si="156"/>
        <v>0</v>
      </c>
      <c r="CX60" s="2220"/>
      <c r="CY60" s="2220"/>
      <c r="CZ60" s="2219"/>
      <c r="DA60" s="2219">
        <f t="shared" si="157"/>
        <v>0</v>
      </c>
      <c r="DB60" s="2220"/>
      <c r="DC60" s="2220"/>
      <c r="DD60" s="2219">
        <f t="shared" si="158"/>
        <v>0</v>
      </c>
      <c r="DE60" s="2220"/>
      <c r="DF60" s="2220"/>
      <c r="DG60" s="2219">
        <f t="shared" si="159"/>
        <v>0</v>
      </c>
      <c r="DH60" s="2220"/>
      <c r="DI60" s="2220"/>
      <c r="DJ60" s="2219"/>
      <c r="DK60" s="2219">
        <f t="shared" si="160"/>
        <v>0</v>
      </c>
      <c r="DL60" s="2220"/>
      <c r="DM60" s="2220"/>
      <c r="DN60" s="2220"/>
      <c r="DO60" s="2219"/>
      <c r="DP60" s="2219"/>
      <c r="DQ60" s="2219"/>
      <c r="DR60" s="2219"/>
      <c r="DS60" s="2219"/>
      <c r="DT60" s="2219"/>
      <c r="DU60" s="2219"/>
      <c r="DV60" s="2220">
        <f t="shared" si="166"/>
        <v>0</v>
      </c>
      <c r="DW60" s="2220"/>
      <c r="DX60" s="2220"/>
      <c r="DY60" s="2219"/>
      <c r="DZ60" s="2219"/>
      <c r="EA60" s="2223"/>
      <c r="EB60" s="2214">
        <f t="shared" si="161"/>
        <v>720000</v>
      </c>
      <c r="EC60" s="2173">
        <f t="shared" si="76"/>
        <v>0</v>
      </c>
      <c r="ED60" s="2174"/>
      <c r="EE60" s="2217">
        <f t="shared" si="162"/>
        <v>720000</v>
      </c>
      <c r="EF60" s="2174">
        <f t="shared" si="7"/>
        <v>0</v>
      </c>
      <c r="EG60" s="2217">
        <f t="shared" si="163"/>
        <v>0</v>
      </c>
      <c r="EI60" s="2216"/>
    </row>
    <row r="61" spans="1:139" outlineLevel="1">
      <c r="A61" s="2233">
        <v>6123</v>
      </c>
      <c r="B61" s="2206" t="s">
        <v>108</v>
      </c>
      <c r="C61" s="2217">
        <v>0</v>
      </c>
      <c r="D61" s="2217">
        <v>1200000</v>
      </c>
      <c r="E61" s="2217">
        <v>1200000</v>
      </c>
      <c r="F61" s="2217">
        <v>1200000</v>
      </c>
      <c r="G61" s="2217">
        <v>1200000</v>
      </c>
      <c r="H61" s="2217">
        <v>1200000</v>
      </c>
      <c r="I61" s="2217">
        <f t="shared" si="136"/>
        <v>1200000</v>
      </c>
      <c r="J61" s="2218"/>
      <c r="K61" s="2219"/>
      <c r="L61" s="2219"/>
      <c r="M61" s="2219"/>
      <c r="N61" s="2219"/>
      <c r="O61" s="2219"/>
      <c r="P61" s="2219"/>
      <c r="Q61" s="2219"/>
      <c r="R61" s="2274">
        <f t="shared" si="137"/>
        <v>600000</v>
      </c>
      <c r="S61" s="2244">
        <f>+[3]Správa!$D$18+[2]Správa!$B$138</f>
        <v>600000</v>
      </c>
      <c r="T61" s="2275">
        <f>+[3]Správa!$E$18</f>
        <v>0</v>
      </c>
      <c r="U61" s="2219"/>
      <c r="V61" s="2235">
        <f t="shared" si="134"/>
        <v>0</v>
      </c>
      <c r="W61" s="2219"/>
      <c r="X61" s="2219"/>
      <c r="Y61" s="2219"/>
      <c r="Z61" s="2219">
        <f>+'[2]Městská policie'!$B$155</f>
        <v>600000</v>
      </c>
      <c r="AA61" s="2219"/>
      <c r="AB61" s="2219"/>
      <c r="AC61" s="2219"/>
      <c r="AD61" s="2219"/>
      <c r="AE61" s="2219"/>
      <c r="AF61" s="2219">
        <f t="shared" si="138"/>
        <v>0</v>
      </c>
      <c r="AG61" s="2220"/>
      <c r="AH61" s="2220"/>
      <c r="AI61" s="2219">
        <f t="shared" si="139"/>
        <v>0</v>
      </c>
      <c r="AJ61" s="2220"/>
      <c r="AK61" s="2220"/>
      <c r="AL61" s="2219">
        <f t="shared" si="140"/>
        <v>0</v>
      </c>
      <c r="AM61" s="2220"/>
      <c r="AN61" s="2220"/>
      <c r="AO61" s="2219">
        <f>[2]Hasiči!$B$82</f>
        <v>0</v>
      </c>
      <c r="AP61" s="2219"/>
      <c r="AQ61" s="2219"/>
      <c r="AR61" s="2219">
        <f t="shared" si="141"/>
        <v>0</v>
      </c>
      <c r="AS61" s="2220"/>
      <c r="AT61" s="2220"/>
      <c r="AU61" s="2219">
        <f t="shared" si="142"/>
        <v>0</v>
      </c>
      <c r="AV61" s="2220"/>
      <c r="AW61" s="2220"/>
      <c r="AX61" s="2219">
        <f t="shared" si="143"/>
        <v>0</v>
      </c>
      <c r="AY61" s="2220"/>
      <c r="AZ61" s="2220"/>
      <c r="BA61" s="2219">
        <f t="shared" si="144"/>
        <v>0</v>
      </c>
      <c r="BB61" s="2220"/>
      <c r="BC61" s="2220"/>
      <c r="BD61" s="2219">
        <f t="shared" si="145"/>
        <v>0</v>
      </c>
      <c r="BE61" s="2220"/>
      <c r="BF61" s="2220"/>
      <c r="BG61" s="2219">
        <f t="shared" si="146"/>
        <v>0</v>
      </c>
      <c r="BH61" s="2220"/>
      <c r="BI61" s="2220"/>
      <c r="BJ61" s="2219">
        <f t="shared" si="147"/>
        <v>0</v>
      </c>
      <c r="BK61" s="2220"/>
      <c r="BL61" s="2220"/>
      <c r="BM61" s="2219">
        <f t="shared" si="148"/>
        <v>0</v>
      </c>
      <c r="BN61" s="2220"/>
      <c r="BO61" s="2220"/>
      <c r="BP61" s="2219">
        <f t="shared" si="149"/>
        <v>0</v>
      </c>
      <c r="BQ61" s="2220"/>
      <c r="BR61" s="2220"/>
      <c r="BS61" s="2219">
        <f t="shared" si="150"/>
        <v>0</v>
      </c>
      <c r="BT61" s="2220"/>
      <c r="BU61" s="2220"/>
      <c r="BV61" s="2219">
        <f t="shared" si="151"/>
        <v>0</v>
      </c>
      <c r="BW61" s="2220"/>
      <c r="BX61" s="2220"/>
      <c r="BY61" s="2219"/>
      <c r="BZ61" s="2219">
        <f t="shared" si="152"/>
        <v>0</v>
      </c>
      <c r="CA61" s="2220"/>
      <c r="CB61" s="2220"/>
      <c r="CC61" s="2219"/>
      <c r="CD61" s="2219">
        <f t="shared" si="153"/>
        <v>0</v>
      </c>
      <c r="CE61" s="2220"/>
      <c r="CF61" s="2220"/>
      <c r="CG61" s="2219">
        <f t="shared" si="154"/>
        <v>0</v>
      </c>
      <c r="CH61" s="2220"/>
      <c r="CI61" s="2220"/>
      <c r="CJ61" s="2219"/>
      <c r="CK61" s="2219">
        <f t="shared" si="155"/>
        <v>0</v>
      </c>
      <c r="CL61" s="2220"/>
      <c r="CM61" s="2220"/>
      <c r="CN61" s="2219"/>
      <c r="CO61" s="2220"/>
      <c r="CP61" s="2220"/>
      <c r="CQ61" s="2219"/>
      <c r="CR61" s="2220"/>
      <c r="CS61" s="2220"/>
      <c r="CT61" s="2219"/>
      <c r="CU61" s="2220"/>
      <c r="CV61" s="2220"/>
      <c r="CW61" s="2219">
        <f t="shared" si="156"/>
        <v>0</v>
      </c>
      <c r="CX61" s="2220"/>
      <c r="CY61" s="2220"/>
      <c r="CZ61" s="2219"/>
      <c r="DA61" s="2219">
        <f t="shared" si="157"/>
        <v>0</v>
      </c>
      <c r="DB61" s="2220"/>
      <c r="DC61" s="2220"/>
      <c r="DD61" s="2219">
        <f t="shared" si="158"/>
        <v>0</v>
      </c>
      <c r="DE61" s="2220"/>
      <c r="DF61" s="2220"/>
      <c r="DG61" s="2219">
        <f t="shared" si="159"/>
        <v>0</v>
      </c>
      <c r="DH61" s="2220"/>
      <c r="DI61" s="2220"/>
      <c r="DJ61" s="2219"/>
      <c r="DK61" s="2219">
        <f t="shared" si="160"/>
        <v>0</v>
      </c>
      <c r="DL61" s="2220"/>
      <c r="DM61" s="2220"/>
      <c r="DN61" s="2220"/>
      <c r="DO61" s="2219"/>
      <c r="DP61" s="2219"/>
      <c r="DQ61" s="2219"/>
      <c r="DR61" s="2219"/>
      <c r="DS61" s="2219"/>
      <c r="DT61" s="2219"/>
      <c r="DU61" s="2219"/>
      <c r="DV61" s="2219"/>
      <c r="DW61" s="2220"/>
      <c r="DX61" s="2220"/>
      <c r="DY61" s="2219"/>
      <c r="DZ61" s="2219"/>
      <c r="EA61" s="2223"/>
      <c r="EB61" s="2214">
        <f t="shared" si="161"/>
        <v>1200000</v>
      </c>
      <c r="EC61" s="2173">
        <f t="shared" si="76"/>
        <v>0</v>
      </c>
      <c r="ED61" s="2174"/>
      <c r="EE61" s="2217">
        <f t="shared" si="162"/>
        <v>1200000</v>
      </c>
      <c r="EF61" s="2174">
        <f t="shared" si="7"/>
        <v>0</v>
      </c>
      <c r="EG61" s="2217">
        <f t="shared" si="163"/>
        <v>0</v>
      </c>
      <c r="EI61" s="2216"/>
    </row>
    <row r="62" spans="1:139" outlineLevel="1">
      <c r="A62" s="2233">
        <v>6125</v>
      </c>
      <c r="B62" s="2206" t="s">
        <v>109</v>
      </c>
      <c r="C62" s="2217">
        <v>240000</v>
      </c>
      <c r="D62" s="2217">
        <v>4736152</v>
      </c>
      <c r="E62" s="2217">
        <v>4736152</v>
      </c>
      <c r="F62" s="2217">
        <v>4736152</v>
      </c>
      <c r="G62" s="2217">
        <v>4736152</v>
      </c>
      <c r="H62" s="2217">
        <v>4736152</v>
      </c>
      <c r="I62" s="2217">
        <f t="shared" si="136"/>
        <v>4736152</v>
      </c>
      <c r="J62" s="2218"/>
      <c r="K62" s="2219"/>
      <c r="L62" s="2219"/>
      <c r="M62" s="2219"/>
      <c r="N62" s="2219"/>
      <c r="O62" s="2219"/>
      <c r="P62" s="2220"/>
      <c r="Q62" s="2219"/>
      <c r="R62" s="2219">
        <f t="shared" si="137"/>
        <v>4736152</v>
      </c>
      <c r="S62" s="2220">
        <f>+[2]Správa!$B$145</f>
        <v>4736152</v>
      </c>
      <c r="T62" s="2221"/>
      <c r="U62" s="2219"/>
      <c r="V62" s="2235">
        <f t="shared" si="134"/>
        <v>0</v>
      </c>
      <c r="W62" s="2219"/>
      <c r="X62" s="2219"/>
      <c r="Y62" s="2219"/>
      <c r="Z62" s="2219">
        <f>+'[2]Městská policie'!$B$162</f>
        <v>0</v>
      </c>
      <c r="AA62" s="2219"/>
      <c r="AB62" s="2219"/>
      <c r="AC62" s="2219"/>
      <c r="AD62" s="2219"/>
      <c r="AE62" s="2219"/>
      <c r="AF62" s="2219">
        <f t="shared" si="138"/>
        <v>0</v>
      </c>
      <c r="AG62" s="2220"/>
      <c r="AH62" s="2220"/>
      <c r="AI62" s="2219">
        <f t="shared" si="139"/>
        <v>0</v>
      </c>
      <c r="AJ62" s="2220"/>
      <c r="AK62" s="2220"/>
      <c r="AL62" s="2219">
        <f t="shared" si="140"/>
        <v>0</v>
      </c>
      <c r="AM62" s="2220"/>
      <c r="AN62" s="2220"/>
      <c r="AO62" s="2219"/>
      <c r="AP62" s="2219"/>
      <c r="AQ62" s="2219"/>
      <c r="AR62" s="2219">
        <f t="shared" si="141"/>
        <v>0</v>
      </c>
      <c r="AS62" s="2220"/>
      <c r="AT62" s="2220"/>
      <c r="AU62" s="2219">
        <f t="shared" si="142"/>
        <v>0</v>
      </c>
      <c r="AV62" s="2220"/>
      <c r="AW62" s="2220"/>
      <c r="AX62" s="2219">
        <f t="shared" si="143"/>
        <v>0</v>
      </c>
      <c r="AY62" s="2220"/>
      <c r="AZ62" s="2220"/>
      <c r="BA62" s="2219">
        <f t="shared" si="144"/>
        <v>0</v>
      </c>
      <c r="BB62" s="2220"/>
      <c r="BC62" s="2220"/>
      <c r="BD62" s="2219">
        <f t="shared" si="145"/>
        <v>0</v>
      </c>
      <c r="BE62" s="2220"/>
      <c r="BF62" s="2220"/>
      <c r="BG62" s="2219">
        <f t="shared" si="146"/>
        <v>0</v>
      </c>
      <c r="BH62" s="2220"/>
      <c r="BI62" s="2220"/>
      <c r="BJ62" s="2219">
        <f t="shared" si="147"/>
        <v>0</v>
      </c>
      <c r="BK62" s="2220"/>
      <c r="BL62" s="2220"/>
      <c r="BM62" s="2219">
        <f t="shared" si="148"/>
        <v>0</v>
      </c>
      <c r="BN62" s="2220"/>
      <c r="BO62" s="2220"/>
      <c r="BP62" s="2219">
        <f t="shared" si="149"/>
        <v>0</v>
      </c>
      <c r="BQ62" s="2220"/>
      <c r="BR62" s="2220"/>
      <c r="BS62" s="2219">
        <f t="shared" si="150"/>
        <v>0</v>
      </c>
      <c r="BT62" s="2220"/>
      <c r="BU62" s="2220"/>
      <c r="BV62" s="2219">
        <f t="shared" si="151"/>
        <v>0</v>
      </c>
      <c r="BW62" s="2220"/>
      <c r="BX62" s="2220"/>
      <c r="BY62" s="2219"/>
      <c r="BZ62" s="2219">
        <f t="shared" si="152"/>
        <v>0</v>
      </c>
      <c r="CA62" s="2220"/>
      <c r="CB62" s="2220"/>
      <c r="CC62" s="2219"/>
      <c r="CD62" s="2219">
        <f t="shared" si="153"/>
        <v>0</v>
      </c>
      <c r="CE62" s="2220"/>
      <c r="CF62" s="2220"/>
      <c r="CG62" s="2219">
        <f t="shared" si="154"/>
        <v>0</v>
      </c>
      <c r="CH62" s="2220"/>
      <c r="CI62" s="2220"/>
      <c r="CJ62" s="2219"/>
      <c r="CK62" s="2219">
        <f t="shared" si="155"/>
        <v>0</v>
      </c>
      <c r="CL62" s="2220"/>
      <c r="CM62" s="2220"/>
      <c r="CN62" s="2219"/>
      <c r="CO62" s="2220"/>
      <c r="CP62" s="2220"/>
      <c r="CQ62" s="2219"/>
      <c r="CR62" s="2220"/>
      <c r="CS62" s="2220"/>
      <c r="CT62" s="2219"/>
      <c r="CU62" s="2220"/>
      <c r="CV62" s="2220"/>
      <c r="CW62" s="2219">
        <f t="shared" si="156"/>
        <v>0</v>
      </c>
      <c r="CX62" s="2220"/>
      <c r="CY62" s="2220"/>
      <c r="CZ62" s="2219"/>
      <c r="DA62" s="2219">
        <f t="shared" si="157"/>
        <v>0</v>
      </c>
      <c r="DB62" s="2220"/>
      <c r="DC62" s="2220"/>
      <c r="DD62" s="2219">
        <f t="shared" si="158"/>
        <v>0</v>
      </c>
      <c r="DE62" s="2220"/>
      <c r="DF62" s="2220"/>
      <c r="DG62" s="2219">
        <f t="shared" si="159"/>
        <v>0</v>
      </c>
      <c r="DH62" s="2220"/>
      <c r="DI62" s="2220"/>
      <c r="DJ62" s="2219"/>
      <c r="DK62" s="2219">
        <f t="shared" si="160"/>
        <v>0</v>
      </c>
      <c r="DL62" s="2220"/>
      <c r="DM62" s="2220"/>
      <c r="DN62" s="2220"/>
      <c r="DO62" s="2219"/>
      <c r="DP62" s="2219"/>
      <c r="DQ62" s="2219"/>
      <c r="DR62" s="2219"/>
      <c r="DS62" s="2219"/>
      <c r="DT62" s="2219"/>
      <c r="DU62" s="2219"/>
      <c r="DV62" s="2219"/>
      <c r="DW62" s="2220"/>
      <c r="DX62" s="2220"/>
      <c r="DY62" s="2219"/>
      <c r="DZ62" s="2219"/>
      <c r="EA62" s="2223"/>
      <c r="EB62" s="2214">
        <f t="shared" si="161"/>
        <v>4736152</v>
      </c>
      <c r="EC62" s="2173">
        <f t="shared" si="76"/>
        <v>0</v>
      </c>
      <c r="ED62" s="2174"/>
      <c r="EE62" s="2217">
        <f t="shared" si="162"/>
        <v>4736152</v>
      </c>
      <c r="EF62" s="2174">
        <f t="shared" si="7"/>
        <v>0</v>
      </c>
      <c r="EG62" s="2217">
        <f t="shared" si="163"/>
        <v>0</v>
      </c>
      <c r="EI62" s="2216"/>
    </row>
    <row r="63" spans="1:139" hidden="1" outlineLevel="1">
      <c r="A63" s="2233">
        <v>6129</v>
      </c>
      <c r="B63" s="2206" t="s">
        <v>110</v>
      </c>
      <c r="C63" s="2217">
        <v>0</v>
      </c>
      <c r="D63" s="2217">
        <v>0</v>
      </c>
      <c r="E63" s="2217">
        <v>0</v>
      </c>
      <c r="F63" s="2217">
        <v>0</v>
      </c>
      <c r="G63" s="2217">
        <v>0</v>
      </c>
      <c r="H63" s="2217">
        <v>0</v>
      </c>
      <c r="I63" s="2217">
        <f t="shared" si="136"/>
        <v>0</v>
      </c>
      <c r="J63" s="2218"/>
      <c r="K63" s="2219"/>
      <c r="L63" s="2219"/>
      <c r="M63" s="2219"/>
      <c r="N63" s="2219"/>
      <c r="O63" s="2219"/>
      <c r="P63" s="2219"/>
      <c r="Q63" s="2219"/>
      <c r="R63" s="2219">
        <f t="shared" si="137"/>
        <v>0</v>
      </c>
      <c r="S63" s="2220"/>
      <c r="T63" s="2221"/>
      <c r="U63" s="2219"/>
      <c r="V63" s="2235">
        <f t="shared" si="134"/>
        <v>0</v>
      </c>
      <c r="W63" s="2219"/>
      <c r="X63" s="2219"/>
      <c r="Y63" s="2219"/>
      <c r="Z63" s="2219"/>
      <c r="AA63" s="2219"/>
      <c r="AB63" s="2219"/>
      <c r="AC63" s="2219"/>
      <c r="AD63" s="2219"/>
      <c r="AE63" s="2219"/>
      <c r="AF63" s="2219">
        <f t="shared" si="138"/>
        <v>0</v>
      </c>
      <c r="AG63" s="2220"/>
      <c r="AH63" s="2220"/>
      <c r="AI63" s="2219">
        <f t="shared" si="139"/>
        <v>0</v>
      </c>
      <c r="AJ63" s="2220"/>
      <c r="AK63" s="2220"/>
      <c r="AL63" s="2219">
        <f t="shared" si="140"/>
        <v>0</v>
      </c>
      <c r="AM63" s="2220"/>
      <c r="AN63" s="2220"/>
      <c r="AO63" s="2219"/>
      <c r="AP63" s="2219"/>
      <c r="AQ63" s="2219"/>
      <c r="AR63" s="2219">
        <f t="shared" si="141"/>
        <v>0</v>
      </c>
      <c r="AS63" s="2220"/>
      <c r="AT63" s="2220"/>
      <c r="AU63" s="2219">
        <f t="shared" si="142"/>
        <v>0</v>
      </c>
      <c r="AV63" s="2220"/>
      <c r="AW63" s="2220"/>
      <c r="AX63" s="2219">
        <f t="shared" si="143"/>
        <v>0</v>
      </c>
      <c r="AY63" s="2220"/>
      <c r="AZ63" s="2220"/>
      <c r="BA63" s="2219">
        <f t="shared" si="144"/>
        <v>0</v>
      </c>
      <c r="BB63" s="2220"/>
      <c r="BC63" s="2220"/>
      <c r="BD63" s="2219">
        <f t="shared" si="145"/>
        <v>0</v>
      </c>
      <c r="BE63" s="2220"/>
      <c r="BF63" s="2220"/>
      <c r="BG63" s="2219">
        <f t="shared" si="146"/>
        <v>0</v>
      </c>
      <c r="BH63" s="2220"/>
      <c r="BI63" s="2220"/>
      <c r="BJ63" s="2219">
        <f t="shared" si="147"/>
        <v>0</v>
      </c>
      <c r="BK63" s="2220"/>
      <c r="BL63" s="2220"/>
      <c r="BM63" s="2219">
        <f t="shared" si="148"/>
        <v>0</v>
      </c>
      <c r="BN63" s="2220"/>
      <c r="BO63" s="2220"/>
      <c r="BP63" s="2219">
        <f t="shared" si="149"/>
        <v>0</v>
      </c>
      <c r="BQ63" s="2220"/>
      <c r="BR63" s="2220"/>
      <c r="BS63" s="2219">
        <f t="shared" si="150"/>
        <v>0</v>
      </c>
      <c r="BT63" s="2220"/>
      <c r="BU63" s="2220"/>
      <c r="BV63" s="2219">
        <f t="shared" si="151"/>
        <v>0</v>
      </c>
      <c r="BW63" s="2220"/>
      <c r="BX63" s="2220"/>
      <c r="BY63" s="2219"/>
      <c r="BZ63" s="2219">
        <f t="shared" si="152"/>
        <v>0</v>
      </c>
      <c r="CA63" s="2220"/>
      <c r="CB63" s="2220"/>
      <c r="CC63" s="2219"/>
      <c r="CD63" s="2219">
        <f t="shared" si="153"/>
        <v>0</v>
      </c>
      <c r="CE63" s="2220"/>
      <c r="CF63" s="2220"/>
      <c r="CG63" s="2219">
        <f t="shared" si="154"/>
        <v>0</v>
      </c>
      <c r="CH63" s="2220"/>
      <c r="CI63" s="2220"/>
      <c r="CJ63" s="2219"/>
      <c r="CK63" s="2219">
        <f t="shared" si="155"/>
        <v>0</v>
      </c>
      <c r="CL63" s="2220"/>
      <c r="CM63" s="2220"/>
      <c r="CN63" s="2219"/>
      <c r="CO63" s="2220"/>
      <c r="CP63" s="2220"/>
      <c r="CQ63" s="2219"/>
      <c r="CR63" s="2220"/>
      <c r="CS63" s="2220"/>
      <c r="CT63" s="2219"/>
      <c r="CU63" s="2220"/>
      <c r="CV63" s="2220"/>
      <c r="CW63" s="2219">
        <f t="shared" si="156"/>
        <v>0</v>
      </c>
      <c r="CX63" s="2220"/>
      <c r="CY63" s="2220"/>
      <c r="CZ63" s="2219"/>
      <c r="DA63" s="2219">
        <f t="shared" si="157"/>
        <v>0</v>
      </c>
      <c r="DB63" s="2220"/>
      <c r="DC63" s="2220"/>
      <c r="DD63" s="2219">
        <f t="shared" si="158"/>
        <v>0</v>
      </c>
      <c r="DE63" s="2220"/>
      <c r="DF63" s="2220"/>
      <c r="DG63" s="2219">
        <f t="shared" si="159"/>
        <v>0</v>
      </c>
      <c r="DH63" s="2220"/>
      <c r="DI63" s="2220"/>
      <c r="DJ63" s="2219"/>
      <c r="DK63" s="2219">
        <f t="shared" si="160"/>
        <v>0</v>
      </c>
      <c r="DL63" s="2220"/>
      <c r="DM63" s="2220"/>
      <c r="DN63" s="2220"/>
      <c r="DO63" s="2219"/>
      <c r="DP63" s="2219"/>
      <c r="DQ63" s="2219"/>
      <c r="DR63" s="2219"/>
      <c r="DS63" s="2219"/>
      <c r="DT63" s="2219"/>
      <c r="DU63" s="2219"/>
      <c r="DV63" s="2219"/>
      <c r="DW63" s="2220"/>
      <c r="DX63" s="2220"/>
      <c r="DY63" s="2219"/>
      <c r="DZ63" s="2219"/>
      <c r="EA63" s="2223"/>
      <c r="EB63" s="2214">
        <f t="shared" si="161"/>
        <v>0</v>
      </c>
      <c r="EC63" s="2173">
        <f t="shared" si="76"/>
        <v>0</v>
      </c>
      <c r="ED63" s="2174"/>
      <c r="EE63" s="2217">
        <f t="shared" si="162"/>
        <v>0</v>
      </c>
      <c r="EF63" s="2174">
        <f t="shared" si="7"/>
        <v>0</v>
      </c>
      <c r="EG63" s="2217">
        <f t="shared" si="163"/>
        <v>0</v>
      </c>
      <c r="EI63" s="2216"/>
    </row>
    <row r="64" spans="1:139" ht="18" customHeight="1" outlineLevel="1">
      <c r="A64" s="2233">
        <v>6130</v>
      </c>
      <c r="B64" s="2206" t="s">
        <v>111</v>
      </c>
      <c r="C64" s="2217">
        <v>2215000</v>
      </c>
      <c r="D64" s="2217">
        <v>5000000</v>
      </c>
      <c r="E64" s="2217">
        <v>5000000</v>
      </c>
      <c r="F64" s="2217">
        <v>6300000</v>
      </c>
      <c r="G64" s="2217">
        <v>6300000</v>
      </c>
      <c r="H64" s="2217">
        <v>6300000</v>
      </c>
      <c r="I64" s="2217">
        <f t="shared" si="136"/>
        <v>6300000</v>
      </c>
      <c r="J64" s="2218"/>
      <c r="K64" s="2219"/>
      <c r="L64" s="2219"/>
      <c r="M64" s="2219"/>
      <c r="N64" s="2219">
        <f>+'[3]Všeob. pokladna'!$B$53</f>
        <v>6300000</v>
      </c>
      <c r="O64" s="2219"/>
      <c r="P64" s="2219"/>
      <c r="Q64" s="2219"/>
      <c r="R64" s="2219">
        <f t="shared" si="137"/>
        <v>0</v>
      </c>
      <c r="S64" s="2220"/>
      <c r="T64" s="2221"/>
      <c r="U64" s="2219"/>
      <c r="V64" s="2235">
        <f t="shared" si="134"/>
        <v>0</v>
      </c>
      <c r="W64" s="2219"/>
      <c r="X64" s="2219"/>
      <c r="Y64" s="2219"/>
      <c r="Z64" s="2219"/>
      <c r="AA64" s="2219"/>
      <c r="AB64" s="2219"/>
      <c r="AC64" s="2219"/>
      <c r="AD64" s="2219"/>
      <c r="AE64" s="2219"/>
      <c r="AF64" s="2219">
        <f t="shared" si="138"/>
        <v>0</v>
      </c>
      <c r="AG64" s="2220"/>
      <c r="AH64" s="2220"/>
      <c r="AI64" s="2219">
        <f t="shared" si="139"/>
        <v>0</v>
      </c>
      <c r="AJ64" s="2220"/>
      <c r="AK64" s="2220"/>
      <c r="AL64" s="2219">
        <f t="shared" si="140"/>
        <v>0</v>
      </c>
      <c r="AM64" s="2220"/>
      <c r="AN64" s="2220"/>
      <c r="AO64" s="2219"/>
      <c r="AP64" s="2219"/>
      <c r="AQ64" s="2219"/>
      <c r="AR64" s="2219">
        <f t="shared" si="141"/>
        <v>0</v>
      </c>
      <c r="AS64" s="2220"/>
      <c r="AT64" s="2220"/>
      <c r="AU64" s="2219">
        <f t="shared" si="142"/>
        <v>0</v>
      </c>
      <c r="AV64" s="2220"/>
      <c r="AW64" s="2220"/>
      <c r="AX64" s="2219">
        <f t="shared" si="143"/>
        <v>0</v>
      </c>
      <c r="AY64" s="2220"/>
      <c r="AZ64" s="2220"/>
      <c r="BA64" s="2219">
        <f t="shared" si="144"/>
        <v>0</v>
      </c>
      <c r="BB64" s="2220"/>
      <c r="BC64" s="2220"/>
      <c r="BD64" s="2219">
        <f t="shared" si="145"/>
        <v>0</v>
      </c>
      <c r="BE64" s="2220"/>
      <c r="BF64" s="2220"/>
      <c r="BG64" s="2219">
        <f t="shared" si="146"/>
        <v>0</v>
      </c>
      <c r="BH64" s="2220">
        <f>+[3]Sv.Š!$D$46</f>
        <v>0</v>
      </c>
      <c r="BI64" s="2220">
        <f>+[3]Sv.Š!$E$46</f>
        <v>0</v>
      </c>
      <c r="BJ64" s="2219">
        <f t="shared" si="147"/>
        <v>0</v>
      </c>
      <c r="BK64" s="2220"/>
      <c r="BL64" s="2220"/>
      <c r="BM64" s="2219">
        <f t="shared" si="148"/>
        <v>0</v>
      </c>
      <c r="BN64" s="2220"/>
      <c r="BO64" s="2220"/>
      <c r="BP64" s="2219">
        <f t="shared" si="149"/>
        <v>0</v>
      </c>
      <c r="BQ64" s="2220"/>
      <c r="BR64" s="2220"/>
      <c r="BS64" s="2219">
        <f t="shared" si="150"/>
        <v>0</v>
      </c>
      <c r="BT64" s="2220"/>
      <c r="BU64" s="2220"/>
      <c r="BV64" s="2219">
        <f t="shared" si="151"/>
        <v>0</v>
      </c>
      <c r="BW64" s="2220"/>
      <c r="BX64" s="2220"/>
      <c r="BY64" s="2219"/>
      <c r="BZ64" s="2219">
        <f t="shared" si="152"/>
        <v>0</v>
      </c>
      <c r="CA64" s="2220"/>
      <c r="CB64" s="2220"/>
      <c r="CC64" s="2219"/>
      <c r="CD64" s="2219">
        <f t="shared" si="153"/>
        <v>0</v>
      </c>
      <c r="CE64" s="2220"/>
      <c r="CF64" s="2220"/>
      <c r="CG64" s="2219">
        <f t="shared" si="154"/>
        <v>0</v>
      </c>
      <c r="CH64" s="2220">
        <f>+'[4]Silnice - pozemky'!$B$4</f>
        <v>0</v>
      </c>
      <c r="CI64" s="2220"/>
      <c r="CJ64" s="2219"/>
      <c r="CK64" s="2219">
        <f t="shared" si="155"/>
        <v>0</v>
      </c>
      <c r="CL64" s="2220"/>
      <c r="CM64" s="2220"/>
      <c r="CN64" s="2219"/>
      <c r="CO64" s="2220"/>
      <c r="CP64" s="2220"/>
      <c r="CQ64" s="2219"/>
      <c r="CR64" s="2220"/>
      <c r="CS64" s="2220"/>
      <c r="CT64" s="2219"/>
      <c r="CU64" s="2220"/>
      <c r="CV64" s="2220"/>
      <c r="CW64" s="2219">
        <f t="shared" si="156"/>
        <v>0</v>
      </c>
      <c r="CX64" s="2220"/>
      <c r="CY64" s="2220"/>
      <c r="CZ64" s="2219"/>
      <c r="DA64" s="2219">
        <f t="shared" si="157"/>
        <v>0</v>
      </c>
      <c r="DB64" s="2220"/>
      <c r="DC64" s="2220"/>
      <c r="DD64" s="2219">
        <f t="shared" si="158"/>
        <v>0</v>
      </c>
      <c r="DE64" s="2220"/>
      <c r="DF64" s="2220"/>
      <c r="DG64" s="2219">
        <f t="shared" si="159"/>
        <v>0</v>
      </c>
      <c r="DH64" s="2220"/>
      <c r="DI64" s="2220"/>
      <c r="DJ64" s="2219"/>
      <c r="DK64" s="2219">
        <f t="shared" si="160"/>
        <v>0</v>
      </c>
      <c r="DL64" s="2220"/>
      <c r="DM64" s="2220"/>
      <c r="DN64" s="2220"/>
      <c r="DO64" s="2219"/>
      <c r="DP64" s="2219"/>
      <c r="DQ64" s="2219"/>
      <c r="DR64" s="2219"/>
      <c r="DS64" s="2219"/>
      <c r="DT64" s="2219"/>
      <c r="DU64" s="2219"/>
      <c r="DV64" s="2219"/>
      <c r="DW64" s="2220"/>
      <c r="DX64" s="2220"/>
      <c r="DY64" s="2219"/>
      <c r="DZ64" s="2219"/>
      <c r="EA64" s="2223"/>
      <c r="EB64" s="2214">
        <f t="shared" si="161"/>
        <v>6300000</v>
      </c>
      <c r="EC64" s="2173">
        <f t="shared" si="76"/>
        <v>0</v>
      </c>
      <c r="ED64" s="2174"/>
      <c r="EE64" s="2217">
        <f t="shared" si="162"/>
        <v>6300000</v>
      </c>
      <c r="EF64" s="2174">
        <f t="shared" si="7"/>
        <v>0</v>
      </c>
      <c r="EG64" s="2217">
        <f t="shared" si="163"/>
        <v>0</v>
      </c>
      <c r="EI64" s="2216"/>
    </row>
    <row r="65" spans="1:139" ht="18" customHeight="1" outlineLevel="1">
      <c r="A65" s="2233">
        <v>6349</v>
      </c>
      <c r="B65" s="2206" t="s">
        <v>1653</v>
      </c>
      <c r="C65" s="2217">
        <v>0</v>
      </c>
      <c r="D65" s="2217">
        <v>29400000</v>
      </c>
      <c r="E65" s="2217">
        <v>29400000</v>
      </c>
      <c r="F65" s="2217">
        <v>29400000</v>
      </c>
      <c r="G65" s="2217">
        <v>23550000</v>
      </c>
      <c r="H65" s="2217">
        <v>23600000</v>
      </c>
      <c r="I65" s="2217">
        <f>SUM(J65:R65)+SUM(W65:AF65)+AI65+AL65+SUM(AO65:AR65)+AU65+BD65+BJ65+BM65+BP65+BS65+BV65+BY65+BZ65+CC65+CD65+CG65+SUM(CJ65:CK65)+CT65+CW65+CZ65+DA65+DD65+DG65+DJ65+DK65+SUM(DO65:DV65)+CN65+CQ65+SUM(DY65:EA65)+U65+AX65+BA65+BG65</f>
        <v>23600000</v>
      </c>
      <c r="J65" s="2218"/>
      <c r="K65" s="2219"/>
      <c r="L65" s="2219"/>
      <c r="M65" s="2219"/>
      <c r="N65" s="2276">
        <f>+'[6]Všebecná pokladna'!$B$85</f>
        <v>23600000</v>
      </c>
      <c r="O65" s="2219"/>
      <c r="P65" s="2219"/>
      <c r="Q65" s="2219"/>
      <c r="R65" s="2219"/>
      <c r="S65" s="2220"/>
      <c r="T65" s="2221"/>
      <c r="U65" s="2219"/>
      <c r="V65" s="2235"/>
      <c r="W65" s="2219"/>
      <c r="X65" s="2219"/>
      <c r="Y65" s="2219"/>
      <c r="Z65" s="2219"/>
      <c r="AA65" s="2219"/>
      <c r="AB65" s="2219"/>
      <c r="AC65" s="2219"/>
      <c r="AD65" s="2219"/>
      <c r="AE65" s="2219"/>
      <c r="AF65" s="2219"/>
      <c r="AG65" s="2220"/>
      <c r="AH65" s="2220"/>
      <c r="AI65" s="2219">
        <f t="shared" si="139"/>
        <v>0</v>
      </c>
      <c r="AJ65" s="2220"/>
      <c r="AK65" s="2220"/>
      <c r="AL65" s="2219">
        <f t="shared" si="140"/>
        <v>0</v>
      </c>
      <c r="AM65" s="2220"/>
      <c r="AN65" s="2220"/>
      <c r="AO65" s="2219"/>
      <c r="AP65" s="2219"/>
      <c r="AQ65" s="2219"/>
      <c r="AR65" s="2219"/>
      <c r="AS65" s="2220"/>
      <c r="AT65" s="2220"/>
      <c r="AU65" s="2219"/>
      <c r="AV65" s="2220"/>
      <c r="AW65" s="2220"/>
      <c r="AX65" s="2219"/>
      <c r="AY65" s="2220"/>
      <c r="AZ65" s="2220"/>
      <c r="BA65" s="2219"/>
      <c r="BB65" s="2220"/>
      <c r="BC65" s="2220"/>
      <c r="BD65" s="2219"/>
      <c r="BE65" s="2220"/>
      <c r="BF65" s="2220"/>
      <c r="BG65" s="2219"/>
      <c r="BH65" s="2220"/>
      <c r="BI65" s="2220"/>
      <c r="BJ65" s="2219"/>
      <c r="BK65" s="2220"/>
      <c r="BL65" s="2220"/>
      <c r="BM65" s="2219"/>
      <c r="BN65" s="2220"/>
      <c r="BO65" s="2220"/>
      <c r="BP65" s="2219"/>
      <c r="BQ65" s="2220"/>
      <c r="BR65" s="2220"/>
      <c r="BS65" s="2219"/>
      <c r="BT65" s="2220"/>
      <c r="BU65" s="2220"/>
      <c r="BV65" s="2219"/>
      <c r="BW65" s="2220"/>
      <c r="BX65" s="2220"/>
      <c r="BY65" s="2219"/>
      <c r="BZ65" s="2219"/>
      <c r="CA65" s="2220"/>
      <c r="CB65" s="2220"/>
      <c r="CC65" s="2219"/>
      <c r="CD65" s="2219"/>
      <c r="CE65" s="2220"/>
      <c r="CF65" s="2220"/>
      <c r="CG65" s="2219"/>
      <c r="CH65" s="2220"/>
      <c r="CI65" s="2220"/>
      <c r="CJ65" s="2219"/>
      <c r="CK65" s="2219"/>
      <c r="CL65" s="2220"/>
      <c r="CM65" s="2220"/>
      <c r="CN65" s="2219"/>
      <c r="CO65" s="2220"/>
      <c r="CP65" s="2220"/>
      <c r="CQ65" s="2219"/>
      <c r="CR65" s="2220"/>
      <c r="CS65" s="2220"/>
      <c r="CT65" s="2219"/>
      <c r="CU65" s="2220"/>
      <c r="CV65" s="2220"/>
      <c r="CW65" s="2219"/>
      <c r="CX65" s="2220"/>
      <c r="CY65" s="2220"/>
      <c r="CZ65" s="2219"/>
      <c r="DA65" s="2219"/>
      <c r="DB65" s="2220"/>
      <c r="DC65" s="2220"/>
      <c r="DD65" s="2219"/>
      <c r="DE65" s="2220"/>
      <c r="DF65" s="2220"/>
      <c r="DG65" s="2219"/>
      <c r="DH65" s="2220"/>
      <c r="DI65" s="2220"/>
      <c r="DJ65" s="2219"/>
      <c r="DK65" s="2219"/>
      <c r="DL65" s="2220"/>
      <c r="DM65" s="2220"/>
      <c r="DN65" s="2220"/>
      <c r="DO65" s="2219"/>
      <c r="DP65" s="2219"/>
      <c r="DQ65" s="2219"/>
      <c r="DR65" s="2219"/>
      <c r="DS65" s="2219"/>
      <c r="DT65" s="2219"/>
      <c r="DU65" s="2219"/>
      <c r="DV65" s="2219"/>
      <c r="DW65" s="2220"/>
      <c r="DX65" s="2220"/>
      <c r="DY65" s="2219"/>
      <c r="DZ65" s="2219"/>
      <c r="EA65" s="2223"/>
      <c r="EB65" s="2214">
        <f t="shared" si="161"/>
        <v>23600000</v>
      </c>
      <c r="EC65" s="2173"/>
      <c r="ED65" s="2174"/>
      <c r="EE65" s="2217">
        <f t="shared" si="162"/>
        <v>23600000</v>
      </c>
      <c r="EF65" s="2174">
        <f t="shared" si="7"/>
        <v>0</v>
      </c>
      <c r="EG65" s="2217"/>
      <c r="EI65" s="2216"/>
    </row>
    <row r="66" spans="1:139" s="2288" customFormat="1" outlineLevel="1">
      <c r="A66" s="2277">
        <v>6351</v>
      </c>
      <c r="B66" s="2278" t="s">
        <v>295</v>
      </c>
      <c r="C66" s="2279">
        <v>3370000</v>
      </c>
      <c r="D66" s="2279">
        <v>4858080</v>
      </c>
      <c r="E66" s="2279">
        <v>4858080</v>
      </c>
      <c r="F66" s="2279">
        <v>6558080</v>
      </c>
      <c r="G66" s="2279">
        <v>6558080</v>
      </c>
      <c r="H66" s="2279">
        <v>8558080</v>
      </c>
      <c r="I66" s="2279">
        <f>SUM(J66:R66)+SUM(W66:AF66)+AI66+AL66+SUM(AO66:AR66)+AU66+BD66+BJ66+BM66+BP66+BS66+BV66+BY66+BZ66+CC66+CD66+CG66+SUM(CJ66:CK66)+CT66+CW66+CZ66+DA66+DD66+DG66+DJ66+DK66+SUM(DO66:DV66)+CN66+CQ66+SUM(DY66:EA66)+U66+AX66+BA66+V66</f>
        <v>8558080</v>
      </c>
      <c r="J66" s="2280"/>
      <c r="K66" s="2281"/>
      <c r="L66" s="2281"/>
      <c r="M66" s="2281"/>
      <c r="N66" s="2282">
        <f>+'[6]Všebecná pokladna'!$B$100</f>
        <v>0</v>
      </c>
      <c r="O66" s="2282">
        <f>+'[3]Participativní rozpočet'!$B$117</f>
        <v>600000</v>
      </c>
      <c r="P66" s="2281"/>
      <c r="Q66" s="2281"/>
      <c r="R66" s="2281">
        <f t="shared" si="137"/>
        <v>0</v>
      </c>
      <c r="S66" s="2281"/>
      <c r="T66" s="2283"/>
      <c r="U66" s="2281"/>
      <c r="V66" s="2239">
        <f>+[4]TSÚ!$B$4</f>
        <v>7958080</v>
      </c>
      <c r="W66" s="2281"/>
      <c r="X66" s="2281"/>
      <c r="Y66" s="2281"/>
      <c r="Z66" s="2281"/>
      <c r="AA66" s="2281"/>
      <c r="AB66" s="2281"/>
      <c r="AC66" s="2281"/>
      <c r="AD66" s="2281"/>
      <c r="AE66" s="2281"/>
      <c r="AF66" s="2281">
        <f t="shared" si="138"/>
        <v>0</v>
      </c>
      <c r="AG66" s="2281"/>
      <c r="AH66" s="2281"/>
      <c r="AI66" s="2281">
        <f t="shared" si="139"/>
        <v>0</v>
      </c>
      <c r="AJ66" s="2281"/>
      <c r="AK66" s="2281"/>
      <c r="AL66" s="2219">
        <f t="shared" si="140"/>
        <v>0</v>
      </c>
      <c r="AM66" s="2281"/>
      <c r="AN66" s="2281"/>
      <c r="AO66" s="2281"/>
      <c r="AP66" s="2281"/>
      <c r="AQ66" s="2281"/>
      <c r="AR66" s="2281">
        <f t="shared" si="141"/>
        <v>0</v>
      </c>
      <c r="AS66" s="2281"/>
      <c r="AT66" s="2281"/>
      <c r="AU66" s="2281">
        <f t="shared" si="142"/>
        <v>0</v>
      </c>
      <c r="AV66" s="2281"/>
      <c r="AW66" s="2281"/>
      <c r="AX66" s="2281">
        <f t="shared" ref="AX66:AX68" si="167">+AY66+AZ66</f>
        <v>0</v>
      </c>
      <c r="AY66" s="2281"/>
      <c r="AZ66" s="2281"/>
      <c r="BA66" s="2281">
        <f t="shared" ref="BA66:BA68" si="168">+BB66+BC66</f>
        <v>0</v>
      </c>
      <c r="BB66" s="2281"/>
      <c r="BC66" s="2281"/>
      <c r="BD66" s="2281">
        <f t="shared" si="145"/>
        <v>0</v>
      </c>
      <c r="BE66" s="2281">
        <f>+[6]ZŠ!$B$39</f>
        <v>0</v>
      </c>
      <c r="BF66" s="2281"/>
      <c r="BG66" s="2281">
        <f t="shared" ref="BG66:BG68" si="169">+BH66+BI66</f>
        <v>0</v>
      </c>
      <c r="BH66" s="2281"/>
      <c r="BI66" s="2281"/>
      <c r="BJ66" s="2281">
        <f t="shared" si="147"/>
        <v>0</v>
      </c>
      <c r="BK66" s="2281"/>
      <c r="BL66" s="2281"/>
      <c r="BM66" s="2281">
        <f t="shared" si="148"/>
        <v>0</v>
      </c>
      <c r="BN66" s="2281"/>
      <c r="BO66" s="2281"/>
      <c r="BP66" s="2281">
        <f t="shared" si="149"/>
        <v>0</v>
      </c>
      <c r="BQ66" s="2281"/>
      <c r="BR66" s="2281"/>
      <c r="BS66" s="2281">
        <f t="shared" si="150"/>
        <v>0</v>
      </c>
      <c r="BT66" s="2281"/>
      <c r="BU66" s="2281"/>
      <c r="BV66" s="2281">
        <f t="shared" si="151"/>
        <v>0</v>
      </c>
      <c r="BW66" s="2281"/>
      <c r="BX66" s="2281"/>
      <c r="BY66" s="2281"/>
      <c r="BZ66" s="2281">
        <f t="shared" si="152"/>
        <v>0</v>
      </c>
      <c r="CA66" s="2281"/>
      <c r="CB66" s="2281"/>
      <c r="CC66" s="2281"/>
      <c r="CD66" s="2281">
        <f t="shared" si="153"/>
        <v>0</v>
      </c>
      <c r="CE66" s="2281"/>
      <c r="CF66" s="2281"/>
      <c r="CG66" s="2281">
        <f t="shared" si="154"/>
        <v>0</v>
      </c>
      <c r="CH66" s="2281"/>
      <c r="CI66" s="2281"/>
      <c r="CJ66" s="2281"/>
      <c r="CK66" s="2281">
        <f t="shared" si="155"/>
        <v>0</v>
      </c>
      <c r="CL66" s="2281"/>
      <c r="CM66" s="2281"/>
      <c r="CN66" s="2281"/>
      <c r="CO66" s="2281"/>
      <c r="CP66" s="2281"/>
      <c r="CQ66" s="2281"/>
      <c r="CR66" s="2281"/>
      <c r="CS66" s="2281"/>
      <c r="CT66" s="2281"/>
      <c r="CU66" s="2281"/>
      <c r="CV66" s="2281"/>
      <c r="CW66" s="2281">
        <f t="shared" si="156"/>
        <v>0</v>
      </c>
      <c r="CX66" s="2281"/>
      <c r="CY66" s="2281"/>
      <c r="CZ66" s="2281"/>
      <c r="DA66" s="2281">
        <f t="shared" si="157"/>
        <v>0</v>
      </c>
      <c r="DB66" s="2281"/>
      <c r="DC66" s="2281"/>
      <c r="DD66" s="2281">
        <f t="shared" si="158"/>
        <v>0</v>
      </c>
      <c r="DE66" s="2281"/>
      <c r="DF66" s="2281"/>
      <c r="DG66" s="2281">
        <f t="shared" si="159"/>
        <v>0</v>
      </c>
      <c r="DH66" s="2281"/>
      <c r="DI66" s="2281"/>
      <c r="DJ66" s="2281"/>
      <c r="DK66" s="2281">
        <f t="shared" si="160"/>
        <v>0</v>
      </c>
      <c r="DL66" s="2281"/>
      <c r="DM66" s="2281"/>
      <c r="DN66" s="2281"/>
      <c r="DO66" s="2281"/>
      <c r="DP66" s="2281"/>
      <c r="DQ66" s="2281"/>
      <c r="DR66" s="2281"/>
      <c r="DS66" s="2281"/>
      <c r="DT66" s="2281"/>
      <c r="DU66" s="2281"/>
      <c r="DV66" s="2281"/>
      <c r="DW66" s="2281"/>
      <c r="DX66" s="2281"/>
      <c r="DY66" s="2281"/>
      <c r="DZ66" s="2281"/>
      <c r="EA66" s="2284"/>
      <c r="EB66" s="2285">
        <f>+J66+K66+L66+N66+P66+Q66+R66+U66+V66+W66+Y66+Z66+AA66+AC66+AD66+AE66+AF66+AI66+AL66+AO66+AP66+AQ66+AR66+AU66+BD66+BJ66+BM66+BP66+BS66+BV66+BY66+BZ66+CC66+CD66+CG66+CJ66+CK66+CN66+CQ66+CT66+CW66+CZ66+DA66+DD66+DG66+DJ66+DK66+DO66+DP66+DQ66+DR66+DS66+DU66+DV66+DY66+DZ66+EA66+BG66+BA66+AX66+AB66-V66+M66+O66+X66+V66</f>
        <v>8558080</v>
      </c>
      <c r="EC66" s="2286">
        <f t="shared" si="76"/>
        <v>0</v>
      </c>
      <c r="ED66" s="2287"/>
      <c r="EE66" s="2279">
        <f t="shared" si="162"/>
        <v>600000</v>
      </c>
      <c r="EF66" s="2287">
        <f t="shared" si="7"/>
        <v>0</v>
      </c>
      <c r="EG66" s="2279">
        <f>+T66+AH66+AK66++AN66+AT66+AW66+BF66+BL66+BO66+BR66+BU66+BX66+CB66+CF66+CI66+CM66+CY66+DC66+DF66+DI66+DN66+V66</f>
        <v>7958080</v>
      </c>
      <c r="EI66" s="2289"/>
    </row>
    <row r="67" spans="1:139" s="2300" customFormat="1" outlineLevel="1">
      <c r="A67" s="2290">
        <v>8115</v>
      </c>
      <c r="B67" s="2291" t="s">
        <v>1536</v>
      </c>
      <c r="C67" s="2292">
        <v>53665.908239975572</v>
      </c>
      <c r="D67" s="2292">
        <v>18441296.001800001</v>
      </c>
      <c r="E67" s="2292">
        <v>18767267.001800001</v>
      </c>
      <c r="F67" s="2292">
        <v>8208593.0018000007</v>
      </c>
      <c r="G67" s="2292">
        <v>8208593.0018000007</v>
      </c>
      <c r="H67" s="2292">
        <v>28454850.001800001</v>
      </c>
      <c r="I67" s="2292">
        <f t="shared" ref="I67" si="170">SUM(J67:R67)+SUM(W67:AF67)+AI67+AL67+SUM(AO67:AR67)+AU67+BD67+BJ67+BM67+BP67+BS67+BV67+BY67+BZ67+CC67+CD67+CG67+SUM(CJ67:CK67)+CT67+CW67+CZ67+DA67+DD67+DG67+DJ67+DK67+SUM(DO67:DV67)+CN67+CQ67+SUM(DY67:EA67)+U67+AX67+BA67</f>
        <v>17625350.001800001</v>
      </c>
      <c r="J67" s="2293"/>
      <c r="K67" s="2221"/>
      <c r="L67" s="2220"/>
      <c r="M67" s="2221"/>
      <c r="N67" s="2238">
        <f>N75</f>
        <v>17625350.001800001</v>
      </c>
      <c r="O67" s="2219"/>
      <c r="P67" s="2294"/>
      <c r="Q67" s="2294"/>
      <c r="R67" s="2220">
        <f t="shared" si="137"/>
        <v>0</v>
      </c>
      <c r="S67" s="2220"/>
      <c r="T67" s="2221"/>
      <c r="U67" s="2220"/>
      <c r="V67" s="2295">
        <f>+T67+AT67+CI67+CF67+CB67+DN67+AH67+AN67+AW67+BF67+BL67+BO67+BR67+BU67+BX67+CM67+CY67+DC67+DF67+DI67+AK67+DX67</f>
        <v>0</v>
      </c>
      <c r="W67" s="2220"/>
      <c r="X67" s="2220"/>
      <c r="Y67" s="2220"/>
      <c r="Z67" s="2220"/>
      <c r="AA67" s="2220"/>
      <c r="AB67" s="2220"/>
      <c r="AC67" s="2220"/>
      <c r="AD67" s="2220"/>
      <c r="AE67" s="2220"/>
      <c r="AF67" s="2220">
        <f t="shared" si="138"/>
        <v>0</v>
      </c>
      <c r="AG67" s="2220"/>
      <c r="AH67" s="2220"/>
      <c r="AI67" s="2220">
        <f t="shared" si="139"/>
        <v>0</v>
      </c>
      <c r="AJ67" s="2220"/>
      <c r="AK67" s="2220"/>
      <c r="AL67" s="2220">
        <f t="shared" si="140"/>
        <v>0</v>
      </c>
      <c r="AM67" s="2220"/>
      <c r="AN67" s="2220"/>
      <c r="AO67" s="2220"/>
      <c r="AP67" s="2220"/>
      <c r="AQ67" s="2220"/>
      <c r="AR67" s="2220">
        <f t="shared" si="141"/>
        <v>0</v>
      </c>
      <c r="AS67" s="2220"/>
      <c r="AT67" s="2220"/>
      <c r="AU67" s="2220">
        <f t="shared" si="142"/>
        <v>0</v>
      </c>
      <c r="AV67" s="2220"/>
      <c r="AW67" s="2220"/>
      <c r="AX67" s="2220">
        <f t="shared" si="167"/>
        <v>0</v>
      </c>
      <c r="AY67" s="2220"/>
      <c r="AZ67" s="2220"/>
      <c r="BA67" s="2220">
        <f t="shared" si="168"/>
        <v>0</v>
      </c>
      <c r="BB67" s="2220"/>
      <c r="BC67" s="2220"/>
      <c r="BD67" s="2220">
        <f t="shared" si="145"/>
        <v>0</v>
      </c>
      <c r="BE67" s="2220"/>
      <c r="BF67" s="2220"/>
      <c r="BG67" s="2220">
        <f t="shared" si="169"/>
        <v>0</v>
      </c>
      <c r="BH67" s="2220"/>
      <c r="BI67" s="2220"/>
      <c r="BJ67" s="2220">
        <f t="shared" si="147"/>
        <v>0</v>
      </c>
      <c r="BK67" s="2220"/>
      <c r="BL67" s="2220"/>
      <c r="BM67" s="2220">
        <f t="shared" si="148"/>
        <v>0</v>
      </c>
      <c r="BN67" s="2220"/>
      <c r="BO67" s="2220"/>
      <c r="BP67" s="2220">
        <f t="shared" si="149"/>
        <v>0</v>
      </c>
      <c r="BQ67" s="2220"/>
      <c r="BR67" s="2220"/>
      <c r="BS67" s="2220">
        <f t="shared" si="150"/>
        <v>0</v>
      </c>
      <c r="BT67" s="2220"/>
      <c r="BU67" s="2220"/>
      <c r="BV67" s="2220">
        <f t="shared" si="151"/>
        <v>0</v>
      </c>
      <c r="BW67" s="2220"/>
      <c r="BX67" s="2220"/>
      <c r="BY67" s="2220"/>
      <c r="BZ67" s="2220">
        <f t="shared" si="152"/>
        <v>0</v>
      </c>
      <c r="CA67" s="2220"/>
      <c r="CB67" s="2220"/>
      <c r="CC67" s="2220"/>
      <c r="CD67" s="2220">
        <f t="shared" si="153"/>
        <v>0</v>
      </c>
      <c r="CE67" s="2220"/>
      <c r="CF67" s="2220"/>
      <c r="CG67" s="2220">
        <f t="shared" si="154"/>
        <v>0</v>
      </c>
      <c r="CH67" s="2220"/>
      <c r="CI67" s="2220"/>
      <c r="CJ67" s="2220"/>
      <c r="CK67" s="2220">
        <f t="shared" si="155"/>
        <v>0</v>
      </c>
      <c r="CL67" s="2220"/>
      <c r="CM67" s="2220"/>
      <c r="CN67" s="2220"/>
      <c r="CO67" s="2220"/>
      <c r="CP67" s="2220"/>
      <c r="CQ67" s="2220"/>
      <c r="CR67" s="2220"/>
      <c r="CS67" s="2220"/>
      <c r="CT67" s="2220"/>
      <c r="CU67" s="2220"/>
      <c r="CV67" s="2220"/>
      <c r="CW67" s="2220">
        <f t="shared" si="156"/>
        <v>0</v>
      </c>
      <c r="CX67" s="2220"/>
      <c r="CY67" s="2220"/>
      <c r="CZ67" s="2220"/>
      <c r="DA67" s="2220">
        <f t="shared" si="157"/>
        <v>0</v>
      </c>
      <c r="DB67" s="2220"/>
      <c r="DC67" s="2220"/>
      <c r="DD67" s="2220">
        <f t="shared" si="158"/>
        <v>0</v>
      </c>
      <c r="DE67" s="2220"/>
      <c r="DF67" s="2220"/>
      <c r="DG67" s="2220">
        <f t="shared" si="159"/>
        <v>0</v>
      </c>
      <c r="DH67" s="2220"/>
      <c r="DI67" s="2220"/>
      <c r="DJ67" s="2220"/>
      <c r="DK67" s="2220">
        <f t="shared" si="160"/>
        <v>0</v>
      </c>
      <c r="DL67" s="2220"/>
      <c r="DM67" s="2220"/>
      <c r="DN67" s="2220"/>
      <c r="DO67" s="2220"/>
      <c r="DP67" s="2220"/>
      <c r="DQ67" s="2220"/>
      <c r="DR67" s="2220"/>
      <c r="DS67" s="2220"/>
      <c r="DT67" s="2220"/>
      <c r="DU67" s="2220"/>
      <c r="DV67" s="2220"/>
      <c r="DW67" s="2220"/>
      <c r="DX67" s="2220"/>
      <c r="DY67" s="2220"/>
      <c r="DZ67" s="2220"/>
      <c r="EA67" s="2296"/>
      <c r="EB67" s="2297">
        <f t="shared" si="161"/>
        <v>17625350.001800001</v>
      </c>
      <c r="EC67" s="2298">
        <f t="shared" si="76"/>
        <v>0</v>
      </c>
      <c r="ED67" s="2299"/>
      <c r="EE67" s="2292">
        <f t="shared" si="162"/>
        <v>17625350.001800001</v>
      </c>
      <c r="EF67" s="2299">
        <f t="shared" si="7"/>
        <v>0</v>
      </c>
      <c r="EG67" s="2292">
        <f t="shared" si="163"/>
        <v>0</v>
      </c>
      <c r="EI67" s="2237"/>
    </row>
    <row r="68" spans="1:139" outlineLevel="1">
      <c r="A68" s="2233">
        <v>6349</v>
      </c>
      <c r="B68" s="2206" t="s">
        <v>295</v>
      </c>
      <c r="C68" s="2217">
        <v>0</v>
      </c>
      <c r="D68" s="2217">
        <v>0</v>
      </c>
      <c r="E68" s="2217">
        <v>0</v>
      </c>
      <c r="F68" s="2217">
        <v>0</v>
      </c>
      <c r="G68" s="2217">
        <v>0</v>
      </c>
      <c r="H68" s="2217">
        <v>0</v>
      </c>
      <c r="I68" s="2217">
        <f>SUM(J68:R68)+SUM(W68:AF68)+AI68+AL68+SUM(AO68:AR68)+AU68+BD68+BJ68+BM68+BP68+BS68+BV68+BY68+BZ68+CC68+CD68+CG68+SUM(CJ68:CK68)+CT68+CW68+CZ68+DA68+DD68+DG68+DJ68+DK68+SUM(DO68:DV68)+CN68+CQ68+SUM(DY68:EA68)+U68+AX68+BA68+BG68</f>
        <v>0</v>
      </c>
      <c r="J68" s="2218"/>
      <c r="K68" s="2219"/>
      <c r="L68" s="2220"/>
      <c r="M68" s="2210"/>
      <c r="N68" s="2209"/>
      <c r="O68" s="2209"/>
      <c r="P68" s="2219"/>
      <c r="Q68" s="2219"/>
      <c r="R68" s="2219">
        <f t="shared" si="137"/>
        <v>0</v>
      </c>
      <c r="S68" s="2220"/>
      <c r="T68" s="2221"/>
      <c r="U68" s="2219"/>
      <c r="V68" s="2235"/>
      <c r="W68" s="2219"/>
      <c r="X68" s="2219"/>
      <c r="Y68" s="2219"/>
      <c r="Z68" s="2219"/>
      <c r="AA68" s="2219"/>
      <c r="AB68" s="2219"/>
      <c r="AC68" s="2219"/>
      <c r="AD68" s="2219"/>
      <c r="AE68" s="2219"/>
      <c r="AF68" s="2219">
        <f t="shared" si="138"/>
        <v>0</v>
      </c>
      <c r="AG68" s="2220"/>
      <c r="AH68" s="2220"/>
      <c r="AI68" s="2219">
        <f t="shared" si="139"/>
        <v>0</v>
      </c>
      <c r="AJ68" s="2220"/>
      <c r="AK68" s="2220"/>
      <c r="AL68" s="2219">
        <f t="shared" si="140"/>
        <v>0</v>
      </c>
      <c r="AM68" s="2220"/>
      <c r="AN68" s="2220"/>
      <c r="AO68" s="2219"/>
      <c r="AP68" s="2219"/>
      <c r="AQ68" s="2219"/>
      <c r="AR68" s="2219">
        <f t="shared" si="141"/>
        <v>0</v>
      </c>
      <c r="AS68" s="2220"/>
      <c r="AT68" s="2220"/>
      <c r="AU68" s="2219">
        <f t="shared" si="142"/>
        <v>0</v>
      </c>
      <c r="AV68" s="2220"/>
      <c r="AW68" s="2220"/>
      <c r="AX68" s="2219">
        <f t="shared" si="167"/>
        <v>0</v>
      </c>
      <c r="AY68" s="2220"/>
      <c r="AZ68" s="2220"/>
      <c r="BA68" s="2219">
        <f t="shared" si="168"/>
        <v>0</v>
      </c>
      <c r="BB68" s="2220"/>
      <c r="BC68" s="2220"/>
      <c r="BD68" s="2219">
        <f t="shared" si="145"/>
        <v>0</v>
      </c>
      <c r="BE68" s="2220"/>
      <c r="BF68" s="2220"/>
      <c r="BG68" s="2219">
        <f t="shared" si="169"/>
        <v>0</v>
      </c>
      <c r="BH68" s="2220"/>
      <c r="BI68" s="2220"/>
      <c r="BJ68" s="2219">
        <f t="shared" si="147"/>
        <v>0</v>
      </c>
      <c r="BK68" s="2220"/>
      <c r="BL68" s="2220"/>
      <c r="BM68" s="2219">
        <f t="shared" si="148"/>
        <v>0</v>
      </c>
      <c r="BN68" s="2220"/>
      <c r="BO68" s="2220"/>
      <c r="BP68" s="2219">
        <f t="shared" si="149"/>
        <v>0</v>
      </c>
      <c r="BQ68" s="2220"/>
      <c r="BR68" s="2220"/>
      <c r="BS68" s="2219">
        <f t="shared" si="150"/>
        <v>0</v>
      </c>
      <c r="BT68" s="2220"/>
      <c r="BU68" s="2220"/>
      <c r="BV68" s="2219">
        <f t="shared" si="151"/>
        <v>0</v>
      </c>
      <c r="BW68" s="2220"/>
      <c r="BX68" s="2220"/>
      <c r="BY68" s="2219"/>
      <c r="BZ68" s="2219">
        <f t="shared" si="152"/>
        <v>0</v>
      </c>
      <c r="CA68" s="2220"/>
      <c r="CB68" s="2220"/>
      <c r="CC68" s="2219"/>
      <c r="CD68" s="2219">
        <f t="shared" si="153"/>
        <v>0</v>
      </c>
      <c r="CE68" s="2220"/>
      <c r="CF68" s="2220"/>
      <c r="CG68" s="2219">
        <f t="shared" si="154"/>
        <v>0</v>
      </c>
      <c r="CH68" s="2220"/>
      <c r="CI68" s="2220"/>
      <c r="CJ68" s="2219"/>
      <c r="CK68" s="2219">
        <f t="shared" si="155"/>
        <v>0</v>
      </c>
      <c r="CL68" s="2220"/>
      <c r="CM68" s="2220"/>
      <c r="CN68" s="2219"/>
      <c r="CO68" s="2220"/>
      <c r="CP68" s="2220"/>
      <c r="CQ68" s="2219"/>
      <c r="CR68" s="2220"/>
      <c r="CS68" s="2220"/>
      <c r="CT68" s="2219"/>
      <c r="CU68" s="2219"/>
      <c r="CV68" s="2219"/>
      <c r="CW68" s="2219">
        <f t="shared" si="156"/>
        <v>0</v>
      </c>
      <c r="CX68" s="2220"/>
      <c r="CY68" s="2220"/>
      <c r="CZ68" s="2219"/>
      <c r="DA68" s="2219">
        <f t="shared" si="157"/>
        <v>0</v>
      </c>
      <c r="DB68" s="2220"/>
      <c r="DC68" s="2220"/>
      <c r="DD68" s="2219">
        <f t="shared" si="158"/>
        <v>0</v>
      </c>
      <c r="DE68" s="2220"/>
      <c r="DF68" s="2220"/>
      <c r="DG68" s="2219">
        <f t="shared" si="159"/>
        <v>0</v>
      </c>
      <c r="DH68" s="2220"/>
      <c r="DI68" s="2220"/>
      <c r="DJ68" s="2219"/>
      <c r="DK68" s="2219">
        <f t="shared" si="160"/>
        <v>0</v>
      </c>
      <c r="DL68" s="2220"/>
      <c r="DM68" s="2220"/>
      <c r="DN68" s="2220"/>
      <c r="DO68" s="2219"/>
      <c r="DP68" s="2219"/>
      <c r="DQ68" s="2219"/>
      <c r="DR68" s="2219"/>
      <c r="DS68" s="2219"/>
      <c r="DT68" s="2219"/>
      <c r="DU68" s="2219"/>
      <c r="DV68" s="2219"/>
      <c r="DW68" s="2220"/>
      <c r="DX68" s="2220"/>
      <c r="DY68" s="2219"/>
      <c r="DZ68" s="2219"/>
      <c r="EA68" s="2223"/>
      <c r="EB68" s="2214">
        <f t="shared" si="161"/>
        <v>0</v>
      </c>
      <c r="EC68" s="2173">
        <f t="shared" si="76"/>
        <v>0</v>
      </c>
      <c r="ED68" s="2174"/>
      <c r="EE68" s="2217">
        <f t="shared" si="162"/>
        <v>0</v>
      </c>
      <c r="EF68" s="2174">
        <f t="shared" si="7"/>
        <v>0</v>
      </c>
      <c r="EG68" s="2217">
        <f t="shared" si="163"/>
        <v>0</v>
      </c>
      <c r="EI68" s="2216"/>
    </row>
    <row r="69" spans="1:139" ht="15" thickBot="1">
      <c r="A69" s="2224" t="s">
        <v>113</v>
      </c>
      <c r="B69" s="2225" t="s">
        <v>114</v>
      </c>
      <c r="C69" s="2226">
        <v>67577320.38823998</v>
      </c>
      <c r="D69" s="2226">
        <v>196157212.0018</v>
      </c>
      <c r="E69" s="2226">
        <v>215183183.0018</v>
      </c>
      <c r="F69" s="2226">
        <v>204789464.0018</v>
      </c>
      <c r="G69" s="2226">
        <v>204789464.0018</v>
      </c>
      <c r="H69" s="2226">
        <v>197717824.0018</v>
      </c>
      <c r="I69" s="2226">
        <f t="shared" ref="I69:M69" si="171">SUM(I57:I68)</f>
        <v>186888324.0018</v>
      </c>
      <c r="J69" s="2227">
        <f t="shared" si="171"/>
        <v>0</v>
      </c>
      <c r="K69" s="2228">
        <f t="shared" si="171"/>
        <v>0</v>
      </c>
      <c r="L69" s="2228">
        <f t="shared" si="171"/>
        <v>0</v>
      </c>
      <c r="M69" s="2228">
        <f t="shared" si="171"/>
        <v>0</v>
      </c>
      <c r="N69" s="2228">
        <f t="shared" ref="N69:U69" si="172">SUM(N57:N68)</f>
        <v>47525350.001800001</v>
      </c>
      <c r="O69" s="2228">
        <f t="shared" si="172"/>
        <v>600000</v>
      </c>
      <c r="P69" s="2228">
        <f t="shared" si="172"/>
        <v>0</v>
      </c>
      <c r="Q69" s="2228">
        <f t="shared" si="172"/>
        <v>0</v>
      </c>
      <c r="R69" s="2228">
        <f t="shared" si="172"/>
        <v>8606032</v>
      </c>
      <c r="S69" s="2229">
        <f t="shared" si="172"/>
        <v>8606032</v>
      </c>
      <c r="T69" s="2230">
        <f t="shared" si="172"/>
        <v>0</v>
      </c>
      <c r="U69" s="2228">
        <f t="shared" si="172"/>
        <v>0</v>
      </c>
      <c r="V69" s="2231">
        <f>SUM(V66:V68)</f>
        <v>7958080</v>
      </c>
      <c r="W69" s="2228">
        <f t="shared" ref="W69:BM69" si="173">SUM(W57:W68)</f>
        <v>0</v>
      </c>
      <c r="X69" s="2228">
        <f t="shared" ref="X69" si="174">SUM(X57:X68)</f>
        <v>0</v>
      </c>
      <c r="Y69" s="2228">
        <f t="shared" si="173"/>
        <v>0</v>
      </c>
      <c r="Z69" s="2228">
        <f t="shared" si="173"/>
        <v>600000</v>
      </c>
      <c r="AA69" s="2228">
        <f t="shared" si="173"/>
        <v>0</v>
      </c>
      <c r="AB69" s="2228">
        <f t="shared" ref="AB69" si="175">SUM(AB57:AB68)</f>
        <v>1100000</v>
      </c>
      <c r="AC69" s="2228">
        <f t="shared" si="173"/>
        <v>280000</v>
      </c>
      <c r="AD69" s="2228">
        <f t="shared" si="173"/>
        <v>0</v>
      </c>
      <c r="AE69" s="2228">
        <f t="shared" si="173"/>
        <v>0</v>
      </c>
      <c r="AF69" s="2228">
        <f t="shared" si="173"/>
        <v>9300000</v>
      </c>
      <c r="AG69" s="2229">
        <f t="shared" si="173"/>
        <v>9300000</v>
      </c>
      <c r="AH69" s="2229">
        <f t="shared" si="173"/>
        <v>0</v>
      </c>
      <c r="AI69" s="2228">
        <f t="shared" si="173"/>
        <v>0</v>
      </c>
      <c r="AJ69" s="2229">
        <f t="shared" si="173"/>
        <v>0</v>
      </c>
      <c r="AK69" s="2229">
        <f t="shared" si="173"/>
        <v>0</v>
      </c>
      <c r="AL69" s="2228">
        <f t="shared" si="173"/>
        <v>11015899</v>
      </c>
      <c r="AM69" s="2229">
        <f t="shared" si="173"/>
        <v>11015899</v>
      </c>
      <c r="AN69" s="2229">
        <f t="shared" si="173"/>
        <v>0</v>
      </c>
      <c r="AO69" s="2228">
        <f t="shared" si="173"/>
        <v>0</v>
      </c>
      <c r="AP69" s="2228">
        <f t="shared" si="173"/>
        <v>0</v>
      </c>
      <c r="AQ69" s="2228">
        <f t="shared" si="173"/>
        <v>0</v>
      </c>
      <c r="AR69" s="2228">
        <f t="shared" si="173"/>
        <v>80000</v>
      </c>
      <c r="AS69" s="2229">
        <f t="shared" si="173"/>
        <v>80000</v>
      </c>
      <c r="AT69" s="2229">
        <f t="shared" si="173"/>
        <v>0</v>
      </c>
      <c r="AU69" s="2228">
        <f t="shared" si="173"/>
        <v>215000</v>
      </c>
      <c r="AV69" s="2229">
        <f t="shared" si="173"/>
        <v>215000</v>
      </c>
      <c r="AW69" s="2229">
        <f t="shared" si="173"/>
        <v>0</v>
      </c>
      <c r="AX69" s="2228">
        <f t="shared" ref="AX69:AZ69" si="176">SUM(AX57:AX68)</f>
        <v>0</v>
      </c>
      <c r="AY69" s="2229">
        <f t="shared" si="176"/>
        <v>0</v>
      </c>
      <c r="AZ69" s="2229">
        <f t="shared" si="176"/>
        <v>0</v>
      </c>
      <c r="BA69" s="2228">
        <f t="shared" ref="BA69:BC69" si="177">SUM(BA57:BA68)</f>
        <v>0</v>
      </c>
      <c r="BB69" s="2229">
        <f t="shared" si="177"/>
        <v>0</v>
      </c>
      <c r="BC69" s="2229">
        <f t="shared" si="177"/>
        <v>0</v>
      </c>
      <c r="BD69" s="2228">
        <f t="shared" si="173"/>
        <v>30000</v>
      </c>
      <c r="BE69" s="2229">
        <f t="shared" si="173"/>
        <v>30000</v>
      </c>
      <c r="BF69" s="2229">
        <f t="shared" si="173"/>
        <v>0</v>
      </c>
      <c r="BG69" s="2228">
        <f t="shared" ref="BG69:BI69" si="178">SUM(BG57:BG68)</f>
        <v>0</v>
      </c>
      <c r="BH69" s="2229">
        <f t="shared" si="178"/>
        <v>0</v>
      </c>
      <c r="BI69" s="2229">
        <f t="shared" si="178"/>
        <v>0</v>
      </c>
      <c r="BJ69" s="2228">
        <f t="shared" si="173"/>
        <v>0</v>
      </c>
      <c r="BK69" s="2229">
        <f t="shared" si="173"/>
        <v>0</v>
      </c>
      <c r="BL69" s="2229">
        <f t="shared" si="173"/>
        <v>0</v>
      </c>
      <c r="BM69" s="2228">
        <f t="shared" si="173"/>
        <v>0</v>
      </c>
      <c r="BN69" s="2229">
        <f t="shared" ref="BN69:CN69" si="179">SUM(BN57:BN68)</f>
        <v>0</v>
      </c>
      <c r="BO69" s="2229">
        <f t="shared" si="179"/>
        <v>0</v>
      </c>
      <c r="BP69" s="2228">
        <f t="shared" si="179"/>
        <v>780000</v>
      </c>
      <c r="BQ69" s="2229">
        <f t="shared" si="179"/>
        <v>780000</v>
      </c>
      <c r="BR69" s="2229">
        <f t="shared" si="179"/>
        <v>0</v>
      </c>
      <c r="BS69" s="2228">
        <f t="shared" si="179"/>
        <v>200000</v>
      </c>
      <c r="BT69" s="2229">
        <f t="shared" si="179"/>
        <v>200000</v>
      </c>
      <c r="BU69" s="2229">
        <f t="shared" si="179"/>
        <v>0</v>
      </c>
      <c r="BV69" s="2228">
        <f t="shared" si="179"/>
        <v>0</v>
      </c>
      <c r="BW69" s="2229">
        <f t="shared" si="179"/>
        <v>0</v>
      </c>
      <c r="BX69" s="2229">
        <f t="shared" si="179"/>
        <v>0</v>
      </c>
      <c r="BY69" s="2228">
        <f t="shared" si="179"/>
        <v>0</v>
      </c>
      <c r="BZ69" s="2228">
        <f t="shared" si="179"/>
        <v>43214703</v>
      </c>
      <c r="CA69" s="2229">
        <f t="shared" si="179"/>
        <v>43214703</v>
      </c>
      <c r="CB69" s="2229">
        <f t="shared" si="179"/>
        <v>0</v>
      </c>
      <c r="CC69" s="2228">
        <f t="shared" si="179"/>
        <v>589056</v>
      </c>
      <c r="CD69" s="2228">
        <f t="shared" si="179"/>
        <v>1246400</v>
      </c>
      <c r="CE69" s="2229">
        <f t="shared" si="179"/>
        <v>1246400</v>
      </c>
      <c r="CF69" s="2229">
        <f t="shared" si="179"/>
        <v>0</v>
      </c>
      <c r="CG69" s="2228">
        <f>SUM(CG57:CG68)</f>
        <v>17052604</v>
      </c>
      <c r="CH69" s="2229">
        <f t="shared" si="179"/>
        <v>17052604</v>
      </c>
      <c r="CI69" s="2229">
        <f t="shared" si="179"/>
        <v>0</v>
      </c>
      <c r="CJ69" s="2228">
        <f t="shared" si="179"/>
        <v>0</v>
      </c>
      <c r="CK69" s="2228">
        <f t="shared" si="179"/>
        <v>0</v>
      </c>
      <c r="CL69" s="2229">
        <f t="shared" si="179"/>
        <v>0</v>
      </c>
      <c r="CM69" s="2229">
        <f t="shared" si="179"/>
        <v>0</v>
      </c>
      <c r="CN69" s="2228">
        <f t="shared" si="179"/>
        <v>0</v>
      </c>
      <c r="CO69" s="2229"/>
      <c r="CP69" s="2229"/>
      <c r="CQ69" s="2228">
        <f>SUM(CQ57:CQ68)</f>
        <v>35695200</v>
      </c>
      <c r="CR69" s="2228">
        <f t="shared" ref="CR69:CS69" si="180">SUM(CR57:CR68)</f>
        <v>35695200</v>
      </c>
      <c r="CS69" s="2228">
        <f t="shared" si="180"/>
        <v>0</v>
      </c>
      <c r="CT69" s="2228">
        <f>SUM(CT57:CT68)</f>
        <v>0</v>
      </c>
      <c r="CU69" s="2228">
        <f t="shared" ref="CU69:CV69" si="181">SUM(CU57:CU68)</f>
        <v>0</v>
      </c>
      <c r="CV69" s="2228">
        <f t="shared" si="181"/>
        <v>0</v>
      </c>
      <c r="CW69" s="2228">
        <f t="shared" ref="CW69:EA69" si="182">SUM(CW57:CW68)</f>
        <v>250000</v>
      </c>
      <c r="CX69" s="2229">
        <f t="shared" si="182"/>
        <v>250000</v>
      </c>
      <c r="CY69" s="2229">
        <f t="shared" si="182"/>
        <v>0</v>
      </c>
      <c r="CZ69" s="2228">
        <f t="shared" si="182"/>
        <v>0</v>
      </c>
      <c r="DA69" s="2228">
        <f t="shared" si="182"/>
        <v>0</v>
      </c>
      <c r="DB69" s="2229">
        <f t="shared" si="182"/>
        <v>0</v>
      </c>
      <c r="DC69" s="2229">
        <f t="shared" si="182"/>
        <v>0</v>
      </c>
      <c r="DD69" s="2228">
        <f t="shared" si="182"/>
        <v>0</v>
      </c>
      <c r="DE69" s="2229">
        <f t="shared" si="182"/>
        <v>0</v>
      </c>
      <c r="DF69" s="2229">
        <f t="shared" si="182"/>
        <v>0</v>
      </c>
      <c r="DG69" s="2228">
        <f t="shared" si="182"/>
        <v>0</v>
      </c>
      <c r="DH69" s="2229">
        <f t="shared" si="182"/>
        <v>0</v>
      </c>
      <c r="DI69" s="2229">
        <f t="shared" si="182"/>
        <v>0</v>
      </c>
      <c r="DJ69" s="2228">
        <f t="shared" si="182"/>
        <v>0</v>
      </c>
      <c r="DK69" s="2228">
        <f t="shared" si="182"/>
        <v>150000</v>
      </c>
      <c r="DL69" s="2229">
        <f t="shared" si="182"/>
        <v>150000</v>
      </c>
      <c r="DM69" s="2229">
        <f t="shared" si="182"/>
        <v>0</v>
      </c>
      <c r="DN69" s="2229">
        <f t="shared" si="182"/>
        <v>0</v>
      </c>
      <c r="DO69" s="2228">
        <f t="shared" si="182"/>
        <v>200000</v>
      </c>
      <c r="DP69" s="2228">
        <f t="shared" si="182"/>
        <v>0</v>
      </c>
      <c r="DQ69" s="2228">
        <f t="shared" si="182"/>
        <v>0</v>
      </c>
      <c r="DR69" s="2228">
        <f t="shared" si="182"/>
        <v>0</v>
      </c>
      <c r="DS69" s="2228">
        <f t="shared" si="182"/>
        <v>0</v>
      </c>
      <c r="DT69" s="2228">
        <f t="shared" si="182"/>
        <v>0</v>
      </c>
      <c r="DU69" s="2228">
        <f t="shared" si="182"/>
        <v>0</v>
      </c>
      <c r="DV69" s="2228">
        <f t="shared" si="182"/>
        <v>0</v>
      </c>
      <c r="DW69" s="2229">
        <f t="shared" ref="DW69:DX69" si="183">SUM(DW57:DW68)</f>
        <v>0</v>
      </c>
      <c r="DX69" s="2229">
        <f t="shared" si="183"/>
        <v>0</v>
      </c>
      <c r="DY69" s="2228">
        <f t="shared" si="182"/>
        <v>0</v>
      </c>
      <c r="DZ69" s="2228">
        <f t="shared" si="182"/>
        <v>200000</v>
      </c>
      <c r="EA69" s="2232">
        <f t="shared" si="182"/>
        <v>0</v>
      </c>
      <c r="EB69" s="2214"/>
      <c r="EC69" s="2173"/>
      <c r="ED69" s="2174"/>
      <c r="EE69" s="2226">
        <f>SUM(EE57:EE68)</f>
        <v>178930244.0018</v>
      </c>
      <c r="EF69" s="2174">
        <f t="shared" si="7"/>
        <v>0</v>
      </c>
      <c r="EG69" s="2226">
        <f>SUM(EG57:EG68)</f>
        <v>7958080</v>
      </c>
      <c r="EI69" s="2216"/>
    </row>
    <row r="70" spans="1:139" outlineLevel="1">
      <c r="A70" s="2233"/>
      <c r="B70" s="2206"/>
      <c r="C70" s="2261"/>
      <c r="D70" s="2261"/>
      <c r="E70" s="2261"/>
      <c r="F70" s="2261"/>
      <c r="G70" s="2261"/>
      <c r="H70" s="2261"/>
      <c r="I70" s="2261"/>
      <c r="J70" s="2271"/>
      <c r="K70" s="2265"/>
      <c r="L70" s="2265"/>
      <c r="M70" s="2265"/>
      <c r="N70" s="2265"/>
      <c r="O70" s="2265"/>
      <c r="P70" s="2265"/>
      <c r="Q70" s="2265"/>
      <c r="R70" s="2265">
        <f t="shared" ref="R70:R71" si="184">+S70+T70</f>
        <v>0</v>
      </c>
      <c r="S70" s="2266"/>
      <c r="T70" s="2267"/>
      <c r="U70" s="2265"/>
      <c r="V70" s="2268">
        <f t="shared" ref="V70:V71" si="185">+T70+AT70+CI70+CF70+CB70+DN70+AH70+AN70+AW70+BF70+BL70+BO70+BR70+BU70+BX70+CM70+CY70+DC70+DF70+DI70+AK70+DX70</f>
        <v>0</v>
      </c>
      <c r="W70" s="2265"/>
      <c r="X70" s="2265"/>
      <c r="Y70" s="2265"/>
      <c r="Z70" s="2265"/>
      <c r="AA70" s="2265"/>
      <c r="AB70" s="2265"/>
      <c r="AC70" s="2265"/>
      <c r="AD70" s="2265"/>
      <c r="AE70" s="2265"/>
      <c r="AF70" s="2265">
        <f t="shared" ref="AF70:AF71" si="186">+AG70+AH70</f>
        <v>0</v>
      </c>
      <c r="AG70" s="2266"/>
      <c r="AH70" s="2266"/>
      <c r="AI70" s="2265">
        <f t="shared" ref="AI70:AI71" si="187">+AJ70+AK70</f>
        <v>0</v>
      </c>
      <c r="AJ70" s="2266"/>
      <c r="AK70" s="2266"/>
      <c r="AL70" s="2265">
        <f t="shared" ref="AL70:AL71" si="188">+AM70+AN70</f>
        <v>0</v>
      </c>
      <c r="AM70" s="2266"/>
      <c r="AN70" s="2266"/>
      <c r="AO70" s="2265"/>
      <c r="AP70" s="2265"/>
      <c r="AQ70" s="2265"/>
      <c r="AR70" s="2265">
        <f t="shared" ref="AR70:AR71" si="189">+AS70+AT70</f>
        <v>0</v>
      </c>
      <c r="AS70" s="2266"/>
      <c r="AT70" s="2266"/>
      <c r="AU70" s="2265">
        <f t="shared" ref="AU70:AU71" si="190">+AV70+AW70</f>
        <v>0</v>
      </c>
      <c r="AV70" s="2266"/>
      <c r="AW70" s="2266"/>
      <c r="AX70" s="2265">
        <f t="shared" ref="AX70:AX71" si="191">+AY70+AZ70</f>
        <v>0</v>
      </c>
      <c r="AY70" s="2266"/>
      <c r="AZ70" s="2266"/>
      <c r="BA70" s="2265">
        <f t="shared" ref="BA70:BA71" si="192">+BB70+BC70</f>
        <v>0</v>
      </c>
      <c r="BB70" s="2266"/>
      <c r="BC70" s="2266"/>
      <c r="BD70" s="2265">
        <f t="shared" ref="BD70:BD71" si="193">+BE70+BF70</f>
        <v>0</v>
      </c>
      <c r="BE70" s="2266"/>
      <c r="BF70" s="2266"/>
      <c r="BG70" s="2265">
        <f t="shared" ref="BG70:BG71" si="194">+BH70+BI70</f>
        <v>0</v>
      </c>
      <c r="BH70" s="2266"/>
      <c r="BI70" s="2266"/>
      <c r="BJ70" s="2265">
        <f t="shared" ref="BJ70:BJ71" si="195">+BK70+BL70</f>
        <v>0</v>
      </c>
      <c r="BK70" s="2266"/>
      <c r="BL70" s="2266"/>
      <c r="BM70" s="2265">
        <f t="shared" ref="BM70:BM71" si="196">+BN70+BO70</f>
        <v>0</v>
      </c>
      <c r="BN70" s="2266"/>
      <c r="BO70" s="2266"/>
      <c r="BP70" s="2265">
        <f t="shared" ref="BP70:BP71" si="197">+BQ70+BR70</f>
        <v>0</v>
      </c>
      <c r="BQ70" s="2266"/>
      <c r="BR70" s="2266"/>
      <c r="BS70" s="2265">
        <f t="shared" ref="BS70:BS71" si="198">+BT70+BU70</f>
        <v>0</v>
      </c>
      <c r="BT70" s="2266"/>
      <c r="BU70" s="2266"/>
      <c r="BV70" s="2265">
        <f t="shared" ref="BV70:BV71" si="199">+BW70+BX70</f>
        <v>0</v>
      </c>
      <c r="BW70" s="2266"/>
      <c r="BX70" s="2266"/>
      <c r="BY70" s="2265"/>
      <c r="BZ70" s="2265">
        <f t="shared" ref="BZ70:BZ71" si="200">+CA70+CB70</f>
        <v>0</v>
      </c>
      <c r="CA70" s="2266"/>
      <c r="CB70" s="2266"/>
      <c r="CC70" s="2265"/>
      <c r="CD70" s="2265">
        <f t="shared" ref="CD70:CD71" si="201">+CE70+CF70</f>
        <v>0</v>
      </c>
      <c r="CE70" s="2266"/>
      <c r="CF70" s="2266"/>
      <c r="CG70" s="2265">
        <f t="shared" ref="CG70:CG71" si="202">+CH70+CI70</f>
        <v>0</v>
      </c>
      <c r="CH70" s="2266"/>
      <c r="CI70" s="2266"/>
      <c r="CJ70" s="2265"/>
      <c r="CK70" s="2265">
        <f t="shared" ref="CK70:CK71" si="203">+CL70+CM70</f>
        <v>0</v>
      </c>
      <c r="CL70" s="2266"/>
      <c r="CM70" s="2266"/>
      <c r="CN70" s="2265"/>
      <c r="CO70" s="2266"/>
      <c r="CP70" s="2266"/>
      <c r="CQ70" s="2265"/>
      <c r="CR70" s="2266"/>
      <c r="CS70" s="2266"/>
      <c r="CT70" s="2265"/>
      <c r="CU70" s="2265"/>
      <c r="CV70" s="2265"/>
      <c r="CW70" s="2265">
        <f t="shared" ref="CW70:CW71" si="204">+CX70+CY70</f>
        <v>0</v>
      </c>
      <c r="CX70" s="2266"/>
      <c r="CY70" s="2266"/>
      <c r="CZ70" s="2265"/>
      <c r="DA70" s="2265">
        <f t="shared" ref="DA70:DA71" si="205">+DB70+DC70</f>
        <v>0</v>
      </c>
      <c r="DB70" s="2266"/>
      <c r="DC70" s="2266"/>
      <c r="DD70" s="2265">
        <f t="shared" ref="DD70:DD71" si="206">+DE70+DF70</f>
        <v>0</v>
      </c>
      <c r="DE70" s="2266"/>
      <c r="DF70" s="2266"/>
      <c r="DG70" s="2265">
        <f t="shared" ref="DG70:DG71" si="207">+DH70+DI70</f>
        <v>0</v>
      </c>
      <c r="DH70" s="2266"/>
      <c r="DI70" s="2266"/>
      <c r="DJ70" s="2265"/>
      <c r="DK70" s="2265">
        <f t="shared" ref="DK70:DK71" si="208">+DL70+DM70+DN70</f>
        <v>0</v>
      </c>
      <c r="DL70" s="2266"/>
      <c r="DM70" s="2266"/>
      <c r="DN70" s="2266"/>
      <c r="DO70" s="2265"/>
      <c r="DP70" s="2265"/>
      <c r="DQ70" s="2265"/>
      <c r="DR70" s="2265"/>
      <c r="DS70" s="2265"/>
      <c r="DT70" s="2265"/>
      <c r="DU70" s="2265"/>
      <c r="DV70" s="2265"/>
      <c r="DW70" s="2266"/>
      <c r="DX70" s="2266"/>
      <c r="DY70" s="2265"/>
      <c r="DZ70" s="2265"/>
      <c r="EA70" s="2269"/>
      <c r="EB70" s="2214">
        <f t="shared" ref="EB70:EB71" si="209">+J70+K70+L70+N70+P70+Q70+R70+U70+V70+W70+Y70+Z70+AA70+AC70+AD70+AE70+AF70+AI70+AL70+AO70+AP70+AQ70+AR70+AU70+BD70+BJ70+BM70+BP70+BS70+BV70+BY70+BZ70+CC70+CD70+CG70+CJ70+CK70+CN70+CQ70+CT70+CW70+CZ70+DA70+DD70+DG70+DJ70+DK70+DO70+DP70+DQ70+DR70+DS70+DU70+DV70+DY70+DZ70+EA70+BG70+BA70+AX70+AB70-V70+M70+O70+X70</f>
        <v>0</v>
      </c>
      <c r="EC70" s="2173">
        <f t="shared" si="76"/>
        <v>0</v>
      </c>
      <c r="ED70" s="2174"/>
      <c r="EE70" s="2261">
        <f t="shared" ref="EE70:EE71" si="210">+I70-EG70</f>
        <v>0</v>
      </c>
      <c r="EF70" s="2174">
        <f t="shared" si="7"/>
        <v>0</v>
      </c>
      <c r="EG70" s="2261"/>
      <c r="EI70" s="2216"/>
    </row>
    <row r="71" spans="1:139" outlineLevel="1">
      <c r="A71" s="2272" t="s">
        <v>115</v>
      </c>
      <c r="B71" s="2273" t="s">
        <v>116</v>
      </c>
      <c r="C71" s="2248">
        <v>19114264</v>
      </c>
      <c r="D71" s="2248">
        <v>8480967</v>
      </c>
      <c r="E71" s="2248">
        <v>8480967</v>
      </c>
      <c r="F71" s="2248">
        <v>8480967</v>
      </c>
      <c r="G71" s="2248">
        <v>8480967</v>
      </c>
      <c r="H71" s="2248">
        <v>8480967</v>
      </c>
      <c r="I71" s="2248">
        <f>SUM(J71:R71)+SUM(W71:AF71)+AI71+AL71+SUM(AO71:AR71)+AU71+BD71+BJ71+BM71+BP71+BS71+BV71+BY71+BZ71+CC71+CD71+CG71+SUM(CJ71:CK71)+CT71+CW71+CZ71+DA71+DD71+DG71+DJ71+DK71+SUM(DO71:DV71)+CN71+CQ71+SUM(DY71:EA71)+U71+AX71+BA71</f>
        <v>8480967</v>
      </c>
      <c r="J71" s="2301"/>
      <c r="K71" s="2250">
        <f>+'[6]Splátky jistiny'!$B$4</f>
        <v>8480967</v>
      </c>
      <c r="L71" s="2250"/>
      <c r="M71" s="2250"/>
      <c r="N71" s="2302"/>
      <c r="O71" s="2302"/>
      <c r="P71" s="2302"/>
      <c r="Q71" s="2302"/>
      <c r="R71" s="2302">
        <f t="shared" si="184"/>
        <v>0</v>
      </c>
      <c r="S71" s="2303"/>
      <c r="T71" s="2304"/>
      <c r="U71" s="2302"/>
      <c r="V71" s="2305">
        <f t="shared" si="185"/>
        <v>0</v>
      </c>
      <c r="W71" s="2302"/>
      <c r="X71" s="2302"/>
      <c r="Y71" s="2302"/>
      <c r="Z71" s="2302"/>
      <c r="AA71" s="2302"/>
      <c r="AB71" s="2302"/>
      <c r="AC71" s="2302"/>
      <c r="AD71" s="2302"/>
      <c r="AE71" s="2302"/>
      <c r="AF71" s="2302">
        <f t="shared" si="186"/>
        <v>0</v>
      </c>
      <c r="AG71" s="2303"/>
      <c r="AH71" s="2303"/>
      <c r="AI71" s="2302">
        <f t="shared" si="187"/>
        <v>0</v>
      </c>
      <c r="AJ71" s="2303"/>
      <c r="AK71" s="2303"/>
      <c r="AL71" s="2302">
        <f t="shared" si="188"/>
        <v>0</v>
      </c>
      <c r="AM71" s="2303"/>
      <c r="AN71" s="2303"/>
      <c r="AO71" s="2302"/>
      <c r="AP71" s="2302"/>
      <c r="AQ71" s="2302"/>
      <c r="AR71" s="2302">
        <f t="shared" si="189"/>
        <v>0</v>
      </c>
      <c r="AS71" s="2303"/>
      <c r="AT71" s="2303"/>
      <c r="AU71" s="2302">
        <f t="shared" si="190"/>
        <v>0</v>
      </c>
      <c r="AV71" s="2303"/>
      <c r="AW71" s="2303"/>
      <c r="AX71" s="2302">
        <f t="shared" si="191"/>
        <v>0</v>
      </c>
      <c r="AY71" s="2303"/>
      <c r="AZ71" s="2303"/>
      <c r="BA71" s="2302">
        <f t="shared" si="192"/>
        <v>0</v>
      </c>
      <c r="BB71" s="2303"/>
      <c r="BC71" s="2303"/>
      <c r="BD71" s="2302">
        <f t="shared" si="193"/>
        <v>0</v>
      </c>
      <c r="BE71" s="2303"/>
      <c r="BF71" s="2303"/>
      <c r="BG71" s="2302">
        <f t="shared" si="194"/>
        <v>0</v>
      </c>
      <c r="BH71" s="2303"/>
      <c r="BI71" s="2303"/>
      <c r="BJ71" s="2302">
        <f t="shared" si="195"/>
        <v>0</v>
      </c>
      <c r="BK71" s="2303"/>
      <c r="BL71" s="2303"/>
      <c r="BM71" s="2302">
        <f t="shared" si="196"/>
        <v>0</v>
      </c>
      <c r="BN71" s="2303"/>
      <c r="BO71" s="2303"/>
      <c r="BP71" s="2302">
        <f t="shared" si="197"/>
        <v>0</v>
      </c>
      <c r="BQ71" s="2303"/>
      <c r="BR71" s="2303"/>
      <c r="BS71" s="2302">
        <f t="shared" si="198"/>
        <v>0</v>
      </c>
      <c r="BT71" s="2303"/>
      <c r="BU71" s="2303"/>
      <c r="BV71" s="2302">
        <f t="shared" si="199"/>
        <v>0</v>
      </c>
      <c r="BW71" s="2303"/>
      <c r="BX71" s="2303"/>
      <c r="BY71" s="2302"/>
      <c r="BZ71" s="2302">
        <f t="shared" si="200"/>
        <v>0</v>
      </c>
      <c r="CA71" s="2303"/>
      <c r="CB71" s="2303"/>
      <c r="CC71" s="2302"/>
      <c r="CD71" s="2302">
        <f t="shared" si="201"/>
        <v>0</v>
      </c>
      <c r="CE71" s="2303"/>
      <c r="CF71" s="2303"/>
      <c r="CG71" s="2302">
        <f t="shared" si="202"/>
        <v>0</v>
      </c>
      <c r="CH71" s="2303"/>
      <c r="CI71" s="2303"/>
      <c r="CJ71" s="2302"/>
      <c r="CK71" s="2302">
        <f t="shared" si="203"/>
        <v>0</v>
      </c>
      <c r="CL71" s="2303"/>
      <c r="CM71" s="2303"/>
      <c r="CN71" s="2302"/>
      <c r="CO71" s="2303"/>
      <c r="CP71" s="2303"/>
      <c r="CQ71" s="2302"/>
      <c r="CR71" s="2303"/>
      <c r="CS71" s="2303"/>
      <c r="CT71" s="2302"/>
      <c r="CU71" s="2302"/>
      <c r="CV71" s="2302"/>
      <c r="CW71" s="2302">
        <f t="shared" si="204"/>
        <v>0</v>
      </c>
      <c r="CX71" s="2303"/>
      <c r="CY71" s="2303"/>
      <c r="CZ71" s="2302"/>
      <c r="DA71" s="2302">
        <f t="shared" si="205"/>
        <v>0</v>
      </c>
      <c r="DB71" s="2303"/>
      <c r="DC71" s="2303"/>
      <c r="DD71" s="2302">
        <f t="shared" si="206"/>
        <v>0</v>
      </c>
      <c r="DE71" s="2303"/>
      <c r="DF71" s="2303"/>
      <c r="DG71" s="2302">
        <f t="shared" si="207"/>
        <v>0</v>
      </c>
      <c r="DH71" s="2303"/>
      <c r="DI71" s="2303"/>
      <c r="DJ71" s="2302"/>
      <c r="DK71" s="2302">
        <f t="shared" si="208"/>
        <v>0</v>
      </c>
      <c r="DL71" s="2303"/>
      <c r="DM71" s="2303"/>
      <c r="DN71" s="2303"/>
      <c r="DO71" s="2302"/>
      <c r="DP71" s="2302"/>
      <c r="DQ71" s="2302"/>
      <c r="DR71" s="2302"/>
      <c r="DS71" s="2302"/>
      <c r="DT71" s="2302"/>
      <c r="DU71" s="2302"/>
      <c r="DV71" s="2302"/>
      <c r="DW71" s="2303"/>
      <c r="DX71" s="2303"/>
      <c r="DY71" s="2302"/>
      <c r="DZ71" s="2302"/>
      <c r="EA71" s="2306"/>
      <c r="EB71" s="2214">
        <f t="shared" si="209"/>
        <v>8480967</v>
      </c>
      <c r="EC71" s="2173">
        <f t="shared" si="76"/>
        <v>0</v>
      </c>
      <c r="ED71" s="2174"/>
      <c r="EE71" s="2248">
        <f t="shared" si="210"/>
        <v>8480967</v>
      </c>
      <c r="EF71" s="2174">
        <f t="shared" si="7"/>
        <v>0</v>
      </c>
      <c r="EG71" s="2248"/>
      <c r="EI71" s="2216"/>
    </row>
    <row r="72" spans="1:139" ht="16.5" customHeight="1" thickBot="1">
      <c r="A72" s="2224" t="s">
        <v>117</v>
      </c>
      <c r="B72" s="2225" t="s">
        <v>116</v>
      </c>
      <c r="C72" s="2226">
        <v>19114264</v>
      </c>
      <c r="D72" s="2226">
        <v>8480967</v>
      </c>
      <c r="E72" s="2226">
        <v>8480967</v>
      </c>
      <c r="F72" s="2226">
        <v>8480967</v>
      </c>
      <c r="G72" s="2226">
        <v>8480967</v>
      </c>
      <c r="H72" s="2226">
        <v>8480967</v>
      </c>
      <c r="I72" s="2226">
        <f>+I71</f>
        <v>8480967</v>
      </c>
      <c r="J72" s="2227">
        <f t="shared" ref="J72:EA72" si="211">+J71</f>
        <v>0</v>
      </c>
      <c r="K72" s="2228">
        <f t="shared" si="211"/>
        <v>8480967</v>
      </c>
      <c r="L72" s="2228">
        <f t="shared" si="211"/>
        <v>0</v>
      </c>
      <c r="M72" s="2228">
        <f t="shared" si="211"/>
        <v>0</v>
      </c>
      <c r="N72" s="2228">
        <f t="shared" si="211"/>
        <v>0</v>
      </c>
      <c r="O72" s="2228">
        <f t="shared" ref="O72" si="212">+O71</f>
        <v>0</v>
      </c>
      <c r="P72" s="2228">
        <f t="shared" si="211"/>
        <v>0</v>
      </c>
      <c r="Q72" s="2228">
        <f t="shared" ref="Q72" si="213">+Q71</f>
        <v>0</v>
      </c>
      <c r="R72" s="2228">
        <f t="shared" si="211"/>
        <v>0</v>
      </c>
      <c r="S72" s="2229">
        <f>+S71</f>
        <v>0</v>
      </c>
      <c r="T72" s="2230">
        <f>+T71</f>
        <v>0</v>
      </c>
      <c r="U72" s="2228">
        <f t="shared" ref="U72" si="214">+U71</f>
        <v>0</v>
      </c>
      <c r="V72" s="2231">
        <f t="shared" si="211"/>
        <v>0</v>
      </c>
      <c r="W72" s="2228">
        <f t="shared" si="211"/>
        <v>0</v>
      </c>
      <c r="X72" s="2228">
        <f t="shared" ref="X72" si="215">+X71</f>
        <v>0</v>
      </c>
      <c r="Y72" s="2228">
        <f t="shared" si="211"/>
        <v>0</v>
      </c>
      <c r="Z72" s="2228">
        <f t="shared" si="211"/>
        <v>0</v>
      </c>
      <c r="AA72" s="2228">
        <f t="shared" si="211"/>
        <v>0</v>
      </c>
      <c r="AB72" s="2228">
        <f t="shared" ref="AB72" si="216">+AB71</f>
        <v>0</v>
      </c>
      <c r="AC72" s="2228">
        <f t="shared" si="211"/>
        <v>0</v>
      </c>
      <c r="AD72" s="2228">
        <f t="shared" si="211"/>
        <v>0</v>
      </c>
      <c r="AE72" s="2228">
        <f t="shared" si="211"/>
        <v>0</v>
      </c>
      <c r="AF72" s="2228">
        <f t="shared" si="211"/>
        <v>0</v>
      </c>
      <c r="AG72" s="2229">
        <f>+AG71</f>
        <v>0</v>
      </c>
      <c r="AH72" s="2229">
        <f>+AH71</f>
        <v>0</v>
      </c>
      <c r="AI72" s="2228">
        <f t="shared" si="211"/>
        <v>0</v>
      </c>
      <c r="AJ72" s="2229">
        <f>+AJ71</f>
        <v>0</v>
      </c>
      <c r="AK72" s="2229">
        <f>+AK71</f>
        <v>0</v>
      </c>
      <c r="AL72" s="2228">
        <f t="shared" si="211"/>
        <v>0</v>
      </c>
      <c r="AM72" s="2229">
        <f>+AM71</f>
        <v>0</v>
      </c>
      <c r="AN72" s="2229">
        <f>+AN71</f>
        <v>0</v>
      </c>
      <c r="AO72" s="2228">
        <f t="shared" si="211"/>
        <v>0</v>
      </c>
      <c r="AP72" s="2228">
        <f t="shared" si="211"/>
        <v>0</v>
      </c>
      <c r="AQ72" s="2228">
        <f t="shared" si="211"/>
        <v>0</v>
      </c>
      <c r="AR72" s="2228">
        <f t="shared" si="211"/>
        <v>0</v>
      </c>
      <c r="AS72" s="2229">
        <f>+AS71</f>
        <v>0</v>
      </c>
      <c r="AT72" s="2229">
        <f>+AT71</f>
        <v>0</v>
      </c>
      <c r="AU72" s="2228">
        <f t="shared" si="211"/>
        <v>0</v>
      </c>
      <c r="AV72" s="2229">
        <f>+AV71</f>
        <v>0</v>
      </c>
      <c r="AW72" s="2229">
        <f>+AW71</f>
        <v>0</v>
      </c>
      <c r="AX72" s="2228">
        <f t="shared" ref="AX72" si="217">+AX71</f>
        <v>0</v>
      </c>
      <c r="AY72" s="2229">
        <f>+AY71</f>
        <v>0</v>
      </c>
      <c r="AZ72" s="2229">
        <f>+AZ71</f>
        <v>0</v>
      </c>
      <c r="BA72" s="2228">
        <f t="shared" ref="BA72" si="218">+BA71</f>
        <v>0</v>
      </c>
      <c r="BB72" s="2229">
        <f>+BB71</f>
        <v>0</v>
      </c>
      <c r="BC72" s="2229">
        <f>+BC71</f>
        <v>0</v>
      </c>
      <c r="BD72" s="2228">
        <f t="shared" si="211"/>
        <v>0</v>
      </c>
      <c r="BE72" s="2229">
        <f t="shared" si="211"/>
        <v>0</v>
      </c>
      <c r="BF72" s="2229">
        <f t="shared" si="211"/>
        <v>0</v>
      </c>
      <c r="BG72" s="2228">
        <f t="shared" ref="BG72:BI72" si="219">+BG71</f>
        <v>0</v>
      </c>
      <c r="BH72" s="2229">
        <f t="shared" si="219"/>
        <v>0</v>
      </c>
      <c r="BI72" s="2229">
        <f t="shared" si="219"/>
        <v>0</v>
      </c>
      <c r="BJ72" s="2228">
        <f t="shared" si="211"/>
        <v>0</v>
      </c>
      <c r="BK72" s="2229">
        <f t="shared" si="211"/>
        <v>0</v>
      </c>
      <c r="BL72" s="2229">
        <f t="shared" si="211"/>
        <v>0</v>
      </c>
      <c r="BM72" s="2228">
        <f t="shared" si="211"/>
        <v>0</v>
      </c>
      <c r="BN72" s="2229">
        <f t="shared" si="211"/>
        <v>0</v>
      </c>
      <c r="BO72" s="2229">
        <f t="shared" si="211"/>
        <v>0</v>
      </c>
      <c r="BP72" s="2228">
        <f t="shared" si="211"/>
        <v>0</v>
      </c>
      <c r="BQ72" s="2229">
        <f t="shared" si="211"/>
        <v>0</v>
      </c>
      <c r="BR72" s="2229">
        <f t="shared" si="211"/>
        <v>0</v>
      </c>
      <c r="BS72" s="2228">
        <f t="shared" si="211"/>
        <v>0</v>
      </c>
      <c r="BT72" s="2229">
        <f t="shared" si="211"/>
        <v>0</v>
      </c>
      <c r="BU72" s="2229">
        <f t="shared" si="211"/>
        <v>0</v>
      </c>
      <c r="BV72" s="2228">
        <f t="shared" si="211"/>
        <v>0</v>
      </c>
      <c r="BW72" s="2229">
        <f t="shared" si="211"/>
        <v>0</v>
      </c>
      <c r="BX72" s="2229">
        <f t="shared" si="211"/>
        <v>0</v>
      </c>
      <c r="BY72" s="2228">
        <f t="shared" si="211"/>
        <v>0</v>
      </c>
      <c r="BZ72" s="2228">
        <f>+BZ71</f>
        <v>0</v>
      </c>
      <c r="CA72" s="2229">
        <f>+CA71</f>
        <v>0</v>
      </c>
      <c r="CB72" s="2229">
        <f>+CB71</f>
        <v>0</v>
      </c>
      <c r="CC72" s="2228">
        <f t="shared" si="211"/>
        <v>0</v>
      </c>
      <c r="CD72" s="2228">
        <f t="shared" si="211"/>
        <v>0</v>
      </c>
      <c r="CE72" s="2229">
        <f t="shared" si="211"/>
        <v>0</v>
      </c>
      <c r="CF72" s="2229">
        <f t="shared" si="211"/>
        <v>0</v>
      </c>
      <c r="CG72" s="2228">
        <f t="shared" si="211"/>
        <v>0</v>
      </c>
      <c r="CH72" s="2229">
        <f>+CH71</f>
        <v>0</v>
      </c>
      <c r="CI72" s="2229">
        <f>+CI71</f>
        <v>0</v>
      </c>
      <c r="CJ72" s="2228">
        <f t="shared" si="211"/>
        <v>0</v>
      </c>
      <c r="CK72" s="2228">
        <f t="shared" si="211"/>
        <v>0</v>
      </c>
      <c r="CL72" s="2229">
        <f t="shared" si="211"/>
        <v>0</v>
      </c>
      <c r="CM72" s="2229">
        <f t="shared" si="211"/>
        <v>0</v>
      </c>
      <c r="CN72" s="2228">
        <f t="shared" si="211"/>
        <v>0</v>
      </c>
      <c r="CO72" s="2229"/>
      <c r="CP72" s="2229"/>
      <c r="CQ72" s="2228">
        <f t="shared" si="211"/>
        <v>0</v>
      </c>
      <c r="CR72" s="2228">
        <f t="shared" ref="CR72:CS72" si="220">+CR71</f>
        <v>0</v>
      </c>
      <c r="CS72" s="2228">
        <f t="shared" si="220"/>
        <v>0</v>
      </c>
      <c r="CT72" s="2228">
        <f t="shared" si="211"/>
        <v>0</v>
      </c>
      <c r="CU72" s="2228">
        <f t="shared" ref="CU72:CV72" si="221">+CU71</f>
        <v>0</v>
      </c>
      <c r="CV72" s="2228">
        <f t="shared" si="221"/>
        <v>0</v>
      </c>
      <c r="CW72" s="2228">
        <f t="shared" si="211"/>
        <v>0</v>
      </c>
      <c r="CX72" s="2229">
        <f>+CX71</f>
        <v>0</v>
      </c>
      <c r="CY72" s="2229">
        <f>+CY71</f>
        <v>0</v>
      </c>
      <c r="CZ72" s="2228">
        <f t="shared" si="211"/>
        <v>0</v>
      </c>
      <c r="DA72" s="2228">
        <f t="shared" si="211"/>
        <v>0</v>
      </c>
      <c r="DB72" s="2229">
        <f>+DB71</f>
        <v>0</v>
      </c>
      <c r="DC72" s="2229">
        <f>+DC71</f>
        <v>0</v>
      </c>
      <c r="DD72" s="2228">
        <f t="shared" si="211"/>
        <v>0</v>
      </c>
      <c r="DE72" s="2229">
        <f>+DE71</f>
        <v>0</v>
      </c>
      <c r="DF72" s="2229">
        <f>+DF71</f>
        <v>0</v>
      </c>
      <c r="DG72" s="2228">
        <f t="shared" si="211"/>
        <v>0</v>
      </c>
      <c r="DH72" s="2229">
        <f>+DH71</f>
        <v>0</v>
      </c>
      <c r="DI72" s="2229">
        <f>+DI71</f>
        <v>0</v>
      </c>
      <c r="DJ72" s="2228">
        <f t="shared" si="211"/>
        <v>0</v>
      </c>
      <c r="DK72" s="2228">
        <f t="shared" si="211"/>
        <v>0</v>
      </c>
      <c r="DL72" s="2229">
        <f t="shared" ref="DL72:DU72" si="222">+DL71</f>
        <v>0</v>
      </c>
      <c r="DM72" s="2229">
        <f t="shared" si="222"/>
        <v>0</v>
      </c>
      <c r="DN72" s="2229">
        <f t="shared" si="222"/>
        <v>0</v>
      </c>
      <c r="DO72" s="2228">
        <f t="shared" si="222"/>
        <v>0</v>
      </c>
      <c r="DP72" s="2228">
        <f t="shared" ref="DP72:DR72" si="223">+DP71</f>
        <v>0</v>
      </c>
      <c r="DQ72" s="2228">
        <f t="shared" si="223"/>
        <v>0</v>
      </c>
      <c r="DR72" s="2228">
        <f t="shared" si="223"/>
        <v>0</v>
      </c>
      <c r="DS72" s="2228">
        <f t="shared" si="222"/>
        <v>0</v>
      </c>
      <c r="DT72" s="2228">
        <f t="shared" si="222"/>
        <v>0</v>
      </c>
      <c r="DU72" s="2228">
        <f t="shared" si="222"/>
        <v>0</v>
      </c>
      <c r="DV72" s="2228">
        <f t="shared" si="211"/>
        <v>0</v>
      </c>
      <c r="DW72" s="2229">
        <f t="shared" si="211"/>
        <v>0</v>
      </c>
      <c r="DX72" s="2229">
        <f t="shared" si="211"/>
        <v>0</v>
      </c>
      <c r="DY72" s="2228">
        <f t="shared" si="211"/>
        <v>0</v>
      </c>
      <c r="DZ72" s="2228">
        <f t="shared" si="211"/>
        <v>0</v>
      </c>
      <c r="EA72" s="2232">
        <f t="shared" si="211"/>
        <v>0</v>
      </c>
      <c r="EB72" s="2214">
        <f t="shared" si="50"/>
        <v>8480967</v>
      </c>
      <c r="EC72" s="2173">
        <f t="shared" si="76"/>
        <v>0</v>
      </c>
      <c r="ED72" s="2174"/>
      <c r="EE72" s="2226">
        <f>+EE71</f>
        <v>8480967</v>
      </c>
      <c r="EF72" s="2174">
        <f t="shared" si="7"/>
        <v>0</v>
      </c>
      <c r="EG72" s="2226">
        <f>+EG71</f>
        <v>0</v>
      </c>
      <c r="EI72" s="2216"/>
    </row>
    <row r="73" spans="1:139" ht="15" thickBot="1">
      <c r="A73" s="2272">
        <v>8115</v>
      </c>
      <c r="B73" s="2307" t="s">
        <v>118</v>
      </c>
      <c r="C73" s="2261">
        <v>0</v>
      </c>
      <c r="D73" s="2261">
        <v>0</v>
      </c>
      <c r="E73" s="2261">
        <v>0</v>
      </c>
      <c r="F73" s="2261">
        <v>0</v>
      </c>
      <c r="G73" s="2261">
        <v>0</v>
      </c>
      <c r="H73" s="2261">
        <v>0</v>
      </c>
      <c r="I73" s="2261">
        <f>SUM(J73:R73)+SUM(V73:AF73)+AI73+AL73+SUM(AO73:AR73)+AU73+BD73+BJ73+BM73+BP73+BS73+BV73+BY73+BZ73+CC73+CD73+CG73+SUM(CJ73:CK73)+CT73+CW73+CZ73+DA73+DD73+DG73+DJ73+DK73+SUM(DO73:EA73)+CN73+CQ73</f>
        <v>0</v>
      </c>
      <c r="J73" s="2271"/>
      <c r="K73" s="2265"/>
      <c r="L73" s="2265"/>
      <c r="M73" s="2265"/>
      <c r="N73" s="2265"/>
      <c r="O73" s="2265"/>
      <c r="P73" s="2265"/>
      <c r="Q73" s="2265"/>
      <c r="R73" s="2265"/>
      <c r="S73" s="2266"/>
      <c r="T73" s="2267"/>
      <c r="U73" s="2265"/>
      <c r="V73" s="2268"/>
      <c r="W73" s="2265"/>
      <c r="X73" s="2265"/>
      <c r="Y73" s="2265"/>
      <c r="Z73" s="2265"/>
      <c r="AA73" s="2265"/>
      <c r="AB73" s="2265"/>
      <c r="AC73" s="2265"/>
      <c r="AD73" s="2265"/>
      <c r="AE73" s="2265"/>
      <c r="AF73" s="2265">
        <f>+AG73+AH73</f>
        <v>0</v>
      </c>
      <c r="AG73" s="2266"/>
      <c r="AH73" s="2266"/>
      <c r="AI73" s="2265"/>
      <c r="AJ73" s="2266"/>
      <c r="AK73" s="2266"/>
      <c r="AL73" s="2265"/>
      <c r="AM73" s="2266"/>
      <c r="AN73" s="2266"/>
      <c r="AO73" s="2265"/>
      <c r="AP73" s="2265"/>
      <c r="AQ73" s="2265"/>
      <c r="AR73" s="2265"/>
      <c r="AS73" s="2266"/>
      <c r="AT73" s="2266"/>
      <c r="AU73" s="2265"/>
      <c r="AV73" s="2266"/>
      <c r="AW73" s="2266"/>
      <c r="AX73" s="2265"/>
      <c r="AY73" s="2266"/>
      <c r="AZ73" s="2266"/>
      <c r="BA73" s="2265"/>
      <c r="BB73" s="2266"/>
      <c r="BC73" s="2266"/>
      <c r="BD73" s="2265"/>
      <c r="BE73" s="2266"/>
      <c r="BF73" s="2266"/>
      <c r="BG73" s="2265"/>
      <c r="BH73" s="2266"/>
      <c r="BI73" s="2266"/>
      <c r="BJ73" s="2265"/>
      <c r="BK73" s="2266"/>
      <c r="BL73" s="2266"/>
      <c r="BM73" s="2265"/>
      <c r="BN73" s="2266"/>
      <c r="BO73" s="2266"/>
      <c r="BP73" s="2265"/>
      <c r="BQ73" s="2266"/>
      <c r="BR73" s="2266"/>
      <c r="BS73" s="2265"/>
      <c r="BT73" s="2266"/>
      <c r="BU73" s="2266"/>
      <c r="BV73" s="2265"/>
      <c r="BW73" s="2266"/>
      <c r="BX73" s="2266"/>
      <c r="BY73" s="2265"/>
      <c r="BZ73" s="2265"/>
      <c r="CA73" s="2266"/>
      <c r="CB73" s="2266"/>
      <c r="CC73" s="2265"/>
      <c r="CD73" s="2265"/>
      <c r="CE73" s="2266"/>
      <c r="CF73" s="2266"/>
      <c r="CG73" s="2265"/>
      <c r="CH73" s="2266"/>
      <c r="CI73" s="2266"/>
      <c r="CJ73" s="2265"/>
      <c r="CK73" s="2265"/>
      <c r="CL73" s="2266"/>
      <c r="CM73" s="2266"/>
      <c r="CN73" s="2265"/>
      <c r="CO73" s="2266"/>
      <c r="CP73" s="2266"/>
      <c r="CQ73" s="2265"/>
      <c r="CR73" s="2265"/>
      <c r="CS73" s="2265"/>
      <c r="CT73" s="2265"/>
      <c r="CU73" s="2265"/>
      <c r="CV73" s="2265"/>
      <c r="CW73" s="2265"/>
      <c r="CX73" s="2266"/>
      <c r="CY73" s="2266"/>
      <c r="CZ73" s="2265"/>
      <c r="DA73" s="2265"/>
      <c r="DB73" s="2266"/>
      <c r="DC73" s="2266"/>
      <c r="DD73" s="2265"/>
      <c r="DE73" s="2266"/>
      <c r="DF73" s="2266"/>
      <c r="DG73" s="2265"/>
      <c r="DH73" s="2266"/>
      <c r="DI73" s="2266"/>
      <c r="DJ73" s="2265"/>
      <c r="DK73" s="2265"/>
      <c r="DL73" s="2266"/>
      <c r="DM73" s="2266"/>
      <c r="DN73" s="2266"/>
      <c r="DO73" s="2265"/>
      <c r="DP73" s="2265"/>
      <c r="DQ73" s="2265"/>
      <c r="DR73" s="2265"/>
      <c r="DS73" s="2265"/>
      <c r="DT73" s="2265"/>
      <c r="DU73" s="2265"/>
      <c r="DV73" s="2265"/>
      <c r="DW73" s="2266"/>
      <c r="DX73" s="2266"/>
      <c r="DY73" s="2265"/>
      <c r="DZ73" s="2265"/>
      <c r="EA73" s="2269"/>
      <c r="EB73" s="2214">
        <f t="shared" si="50"/>
        <v>0</v>
      </c>
      <c r="EC73" s="2173">
        <f t="shared" si="76"/>
        <v>0</v>
      </c>
      <c r="ED73" s="2174"/>
      <c r="EE73" s="2261">
        <f t="shared" ref="EE73" si="224">+I73-EG73</f>
        <v>0</v>
      </c>
      <c r="EF73" s="2174">
        <f t="shared" ref="EF73" si="225">+EG73-V73</f>
        <v>0</v>
      </c>
      <c r="EG73" s="2261"/>
      <c r="EI73" s="2216"/>
    </row>
    <row r="74" spans="1:139" ht="19.5" customHeight="1" thickBot="1">
      <c r="A74" s="3096" t="s">
        <v>119</v>
      </c>
      <c r="B74" s="3097"/>
      <c r="C74" s="2308">
        <v>243932554</v>
      </c>
      <c r="D74" s="2308">
        <v>415954204</v>
      </c>
      <c r="E74" s="2308">
        <v>440068727</v>
      </c>
      <c r="F74" s="2308">
        <v>432844418</v>
      </c>
      <c r="G74" s="2308">
        <v>432844418</v>
      </c>
      <c r="H74" s="2308">
        <v>435495078</v>
      </c>
      <c r="I74" s="2308">
        <f t="shared" ref="I74:M74" si="226">+I55+I69+I72</f>
        <v>435495078</v>
      </c>
      <c r="J74" s="2309">
        <f t="shared" si="226"/>
        <v>2407757.9317000001</v>
      </c>
      <c r="K74" s="2310">
        <f t="shared" si="226"/>
        <v>8480967</v>
      </c>
      <c r="L74" s="2310">
        <f t="shared" si="226"/>
        <v>74053.766499999998</v>
      </c>
      <c r="M74" s="2310">
        <f t="shared" si="226"/>
        <v>0</v>
      </c>
      <c r="N74" s="2310">
        <f t="shared" ref="N74:AV74" si="227">+N55+N69+N72</f>
        <v>68179200.001800001</v>
      </c>
      <c r="O74" s="2310">
        <f t="shared" ref="O74" si="228">+O55+O69+O72</f>
        <v>600000</v>
      </c>
      <c r="P74" s="2310">
        <f t="shared" si="227"/>
        <v>5764700</v>
      </c>
      <c r="Q74" s="2310">
        <f t="shared" si="227"/>
        <v>0</v>
      </c>
      <c r="R74" s="2310">
        <f t="shared" si="227"/>
        <v>47975628.5</v>
      </c>
      <c r="S74" s="2311">
        <f t="shared" si="227"/>
        <v>47905628.5</v>
      </c>
      <c r="T74" s="2312">
        <f t="shared" si="227"/>
        <v>70000</v>
      </c>
      <c r="U74" s="2310">
        <f t="shared" si="227"/>
        <v>2822820</v>
      </c>
      <c r="V74" s="2313">
        <f t="shared" si="227"/>
        <v>38925290</v>
      </c>
      <c r="W74" s="2310">
        <f t="shared" si="227"/>
        <v>3010770</v>
      </c>
      <c r="X74" s="2310">
        <f t="shared" ref="X74" si="229">+X55+X69+X72</f>
        <v>600000</v>
      </c>
      <c r="Y74" s="2310">
        <f t="shared" si="227"/>
        <v>300000</v>
      </c>
      <c r="Z74" s="2310">
        <f t="shared" si="227"/>
        <v>11954367.4</v>
      </c>
      <c r="AA74" s="2310">
        <f t="shared" si="227"/>
        <v>133130.4</v>
      </c>
      <c r="AB74" s="2310">
        <f t="shared" ref="AB74" si="230">+AB55+AB69+AB72</f>
        <v>1326240</v>
      </c>
      <c r="AC74" s="2310">
        <f t="shared" si="227"/>
        <v>3615780</v>
      </c>
      <c r="AD74" s="2310">
        <f t="shared" si="227"/>
        <v>912608</v>
      </c>
      <c r="AE74" s="2310">
        <f t="shared" si="227"/>
        <v>1680000</v>
      </c>
      <c r="AF74" s="2310">
        <f t="shared" si="227"/>
        <v>16969000</v>
      </c>
      <c r="AG74" s="2311">
        <f t="shared" si="227"/>
        <v>16939000</v>
      </c>
      <c r="AH74" s="2311">
        <f t="shared" si="227"/>
        <v>30000</v>
      </c>
      <c r="AI74" s="2310">
        <f t="shared" si="227"/>
        <v>6870000</v>
      </c>
      <c r="AJ74" s="2311">
        <f t="shared" si="227"/>
        <v>6770000</v>
      </c>
      <c r="AK74" s="2311">
        <f t="shared" si="227"/>
        <v>100000</v>
      </c>
      <c r="AL74" s="2310">
        <f t="shared" si="227"/>
        <v>14236699</v>
      </c>
      <c r="AM74" s="2311">
        <f t="shared" si="227"/>
        <v>14146699</v>
      </c>
      <c r="AN74" s="2311">
        <f t="shared" si="227"/>
        <v>90000</v>
      </c>
      <c r="AO74" s="2310">
        <f t="shared" si="227"/>
        <v>1514204</v>
      </c>
      <c r="AP74" s="2310">
        <f t="shared" si="227"/>
        <v>430000</v>
      </c>
      <c r="AQ74" s="2310">
        <f t="shared" si="227"/>
        <v>0</v>
      </c>
      <c r="AR74" s="2310">
        <f t="shared" si="227"/>
        <v>620000</v>
      </c>
      <c r="AS74" s="2311">
        <f t="shared" si="227"/>
        <v>600000</v>
      </c>
      <c r="AT74" s="2311">
        <f t="shared" si="227"/>
        <v>20000</v>
      </c>
      <c r="AU74" s="2310">
        <f t="shared" si="227"/>
        <v>1105000</v>
      </c>
      <c r="AV74" s="2311">
        <f t="shared" si="227"/>
        <v>1105000</v>
      </c>
      <c r="AW74" s="2311">
        <f t="shared" ref="AW74:CN74" si="231">+AW55+AW69+AW72</f>
        <v>0</v>
      </c>
      <c r="AX74" s="2310">
        <f t="shared" si="231"/>
        <v>1534100</v>
      </c>
      <c r="AY74" s="2311">
        <f t="shared" si="231"/>
        <v>1264100</v>
      </c>
      <c r="AZ74" s="2311">
        <f t="shared" ref="AZ74:BB74" si="232">+AZ55+AZ69+AZ72</f>
        <v>270000</v>
      </c>
      <c r="BA74" s="2310">
        <f t="shared" si="232"/>
        <v>1750000</v>
      </c>
      <c r="BB74" s="2311">
        <f t="shared" si="232"/>
        <v>1750000</v>
      </c>
      <c r="BC74" s="2311">
        <f t="shared" ref="BC74" si="233">+BC55+BC69+BC72</f>
        <v>0</v>
      </c>
      <c r="BD74" s="2310">
        <f t="shared" si="231"/>
        <v>20702224</v>
      </c>
      <c r="BE74" s="2311">
        <f t="shared" si="231"/>
        <v>20702224</v>
      </c>
      <c r="BF74" s="2311">
        <f t="shared" si="231"/>
        <v>0</v>
      </c>
      <c r="BG74" s="2310">
        <f t="shared" ref="BG74:BI74" si="234">+BG55+BG69+BG72</f>
        <v>1600000</v>
      </c>
      <c r="BH74" s="2311">
        <f t="shared" si="234"/>
        <v>1600000</v>
      </c>
      <c r="BI74" s="2311">
        <f t="shared" si="234"/>
        <v>0</v>
      </c>
      <c r="BJ74" s="2310">
        <f t="shared" si="231"/>
        <v>710000</v>
      </c>
      <c r="BK74" s="2311">
        <f t="shared" si="231"/>
        <v>710000</v>
      </c>
      <c r="BL74" s="2311">
        <f t="shared" si="231"/>
        <v>0</v>
      </c>
      <c r="BM74" s="2310">
        <f t="shared" si="231"/>
        <v>860000</v>
      </c>
      <c r="BN74" s="2311">
        <f t="shared" si="231"/>
        <v>830000</v>
      </c>
      <c r="BO74" s="2311">
        <f t="shared" si="231"/>
        <v>30000</v>
      </c>
      <c r="BP74" s="2310">
        <f t="shared" si="231"/>
        <v>2750000</v>
      </c>
      <c r="BQ74" s="2311">
        <f t="shared" si="231"/>
        <v>2710000</v>
      </c>
      <c r="BR74" s="2311">
        <f t="shared" si="231"/>
        <v>40000</v>
      </c>
      <c r="BS74" s="2310">
        <f t="shared" si="231"/>
        <v>5164000</v>
      </c>
      <c r="BT74" s="2311">
        <f t="shared" si="231"/>
        <v>5124000</v>
      </c>
      <c r="BU74" s="2311">
        <f t="shared" si="231"/>
        <v>40000</v>
      </c>
      <c r="BV74" s="2310">
        <f t="shared" si="231"/>
        <v>1500000</v>
      </c>
      <c r="BW74" s="2311">
        <f t="shared" si="231"/>
        <v>1500000</v>
      </c>
      <c r="BX74" s="2311">
        <f t="shared" si="231"/>
        <v>0</v>
      </c>
      <c r="BY74" s="2310">
        <f t="shared" si="231"/>
        <v>270000</v>
      </c>
      <c r="BZ74" s="2310">
        <f t="shared" si="231"/>
        <v>43934703</v>
      </c>
      <c r="CA74" s="2311">
        <f t="shared" si="231"/>
        <v>43894703</v>
      </c>
      <c r="CB74" s="2311">
        <f t="shared" si="231"/>
        <v>40000</v>
      </c>
      <c r="CC74" s="2310">
        <f t="shared" si="231"/>
        <v>1439056</v>
      </c>
      <c r="CD74" s="2310">
        <f t="shared" si="231"/>
        <v>4268500</v>
      </c>
      <c r="CE74" s="2311">
        <f t="shared" si="231"/>
        <v>3918500</v>
      </c>
      <c r="CF74" s="2311">
        <f t="shared" si="231"/>
        <v>350000</v>
      </c>
      <c r="CG74" s="2310">
        <f t="shared" si="231"/>
        <v>42474659</v>
      </c>
      <c r="CH74" s="2311">
        <f t="shared" si="231"/>
        <v>39624659</v>
      </c>
      <c r="CI74" s="2311">
        <f t="shared" si="231"/>
        <v>2850000</v>
      </c>
      <c r="CJ74" s="2310">
        <f t="shared" si="231"/>
        <v>4050000</v>
      </c>
      <c r="CK74" s="2310">
        <f t="shared" si="231"/>
        <v>780000</v>
      </c>
      <c r="CL74" s="2311">
        <f t="shared" si="231"/>
        <v>780000</v>
      </c>
      <c r="CM74" s="2311">
        <f t="shared" si="231"/>
        <v>0</v>
      </c>
      <c r="CN74" s="2310">
        <f t="shared" si="231"/>
        <v>5200000</v>
      </c>
      <c r="CO74" s="2311"/>
      <c r="CP74" s="2311"/>
      <c r="CQ74" s="2310">
        <f>+CQ55+CQ69+CQ72</f>
        <v>39435200</v>
      </c>
      <c r="CR74" s="2310">
        <f t="shared" ref="CR74:CS74" si="235">+CR55+CR69+CR72</f>
        <v>39435200</v>
      </c>
      <c r="CS74" s="2310">
        <f t="shared" si="235"/>
        <v>0</v>
      </c>
      <c r="CT74" s="2310">
        <f>+CT55+CT69+CT72</f>
        <v>2500000</v>
      </c>
      <c r="CU74" s="2310">
        <f t="shared" ref="CU74:CV74" si="236">+CU55+CU69+CU72</f>
        <v>2500000</v>
      </c>
      <c r="CV74" s="2310">
        <f t="shared" si="236"/>
        <v>0</v>
      </c>
      <c r="CW74" s="2310">
        <f t="shared" ref="CW74:EA74" si="237">+CW55+CW69+CW72</f>
        <v>1900000</v>
      </c>
      <c r="CX74" s="2311">
        <f t="shared" si="237"/>
        <v>1600000</v>
      </c>
      <c r="CY74" s="2311">
        <f t="shared" si="237"/>
        <v>300000</v>
      </c>
      <c r="CZ74" s="2310">
        <f t="shared" si="237"/>
        <v>100000</v>
      </c>
      <c r="DA74" s="2310">
        <f t="shared" si="237"/>
        <v>7100000</v>
      </c>
      <c r="DB74" s="2311">
        <f t="shared" si="237"/>
        <v>50000</v>
      </c>
      <c r="DC74" s="2311">
        <f t="shared" si="237"/>
        <v>7050000</v>
      </c>
      <c r="DD74" s="2310">
        <f t="shared" si="237"/>
        <v>0</v>
      </c>
      <c r="DE74" s="2311">
        <f t="shared" si="237"/>
        <v>0</v>
      </c>
      <c r="DF74" s="2311">
        <f t="shared" si="237"/>
        <v>0</v>
      </c>
      <c r="DG74" s="2310">
        <f t="shared" si="237"/>
        <v>100000</v>
      </c>
      <c r="DH74" s="2311">
        <f t="shared" si="237"/>
        <v>0</v>
      </c>
      <c r="DI74" s="2311">
        <f t="shared" si="237"/>
        <v>100000</v>
      </c>
      <c r="DJ74" s="2310">
        <f t="shared" si="237"/>
        <v>101500</v>
      </c>
      <c r="DK74" s="2310">
        <f t="shared" si="237"/>
        <v>4006420</v>
      </c>
      <c r="DL74" s="2311">
        <f t="shared" si="237"/>
        <v>1756420</v>
      </c>
      <c r="DM74" s="2311">
        <f t="shared" si="237"/>
        <v>0</v>
      </c>
      <c r="DN74" s="2311">
        <f t="shared" si="237"/>
        <v>2250000</v>
      </c>
      <c r="DO74" s="2310">
        <f t="shared" si="237"/>
        <v>556500</v>
      </c>
      <c r="DP74" s="2310">
        <f t="shared" si="237"/>
        <v>0</v>
      </c>
      <c r="DQ74" s="2310">
        <f t="shared" si="237"/>
        <v>0</v>
      </c>
      <c r="DR74" s="2310">
        <f t="shared" si="237"/>
        <v>0</v>
      </c>
      <c r="DS74" s="2310">
        <f t="shared" si="237"/>
        <v>0</v>
      </c>
      <c r="DT74" s="2310">
        <f t="shared" si="237"/>
        <v>0</v>
      </c>
      <c r="DU74" s="2310">
        <f t="shared" si="237"/>
        <v>0</v>
      </c>
      <c r="DV74" s="2310">
        <f t="shared" si="237"/>
        <v>0</v>
      </c>
      <c r="DW74" s="2311">
        <f t="shared" ref="DW74:DX74" si="238">+DW55+DW69+DW72</f>
        <v>0</v>
      </c>
      <c r="DX74" s="2311">
        <f t="shared" si="238"/>
        <v>0</v>
      </c>
      <c r="DY74" s="2310">
        <f t="shared" si="237"/>
        <v>0</v>
      </c>
      <c r="DZ74" s="2310">
        <f t="shared" si="237"/>
        <v>200000</v>
      </c>
      <c r="EA74" s="2314">
        <f t="shared" si="237"/>
        <v>0</v>
      </c>
      <c r="EB74" s="2214"/>
      <c r="EC74" s="2173"/>
      <c r="ED74" s="2174"/>
      <c r="EE74" s="2308">
        <f>+EE55+EE69+EE72</f>
        <v>382932944.2335</v>
      </c>
      <c r="EF74" s="2174"/>
      <c r="EG74" s="2308">
        <f>+EG55+EG69+EG72</f>
        <v>52488080</v>
      </c>
      <c r="EI74" s="2216"/>
    </row>
    <row r="75" spans="1:139" ht="20.25" customHeight="1" thickBot="1">
      <c r="A75" s="3096" t="s">
        <v>128</v>
      </c>
      <c r="B75" s="3098"/>
      <c r="C75" s="2315">
        <v>0</v>
      </c>
      <c r="D75" s="2315">
        <v>0</v>
      </c>
      <c r="E75" s="2315">
        <v>0</v>
      </c>
      <c r="F75" s="2315">
        <v>0</v>
      </c>
      <c r="G75" s="2315">
        <v>0</v>
      </c>
      <c r="H75" s="2315">
        <v>0</v>
      </c>
      <c r="I75" s="2315">
        <f>+'Příjmy kapitol celkem'!K106-'Výdaje kapitol celkem'!I74</f>
        <v>0</v>
      </c>
      <c r="J75" s="2316"/>
      <c r="K75" s="2317"/>
      <c r="L75" s="2316"/>
      <c r="M75" s="2316"/>
      <c r="N75" s="2318">
        <f>'Příjmy kapitol celkem'!K106-I55-SUM(I56:I66)-I68-I71</f>
        <v>17625350.001800001</v>
      </c>
      <c r="O75" s="2318"/>
      <c r="P75" s="2316"/>
      <c r="Q75" s="2316"/>
      <c r="R75" s="2316"/>
      <c r="S75" s="2319"/>
      <c r="T75" s="2318"/>
      <c r="U75" s="2316"/>
      <c r="V75" s="2319">
        <f>+V66+V58+V44+V35+V34+V22+V16</f>
        <v>52555290</v>
      </c>
      <c r="W75" s="2316"/>
      <c r="X75" s="2316"/>
      <c r="Y75" s="2316"/>
      <c r="Z75" s="2316"/>
      <c r="AA75" s="2316"/>
      <c r="AB75" s="2316"/>
      <c r="AC75" s="2316"/>
      <c r="AD75" s="2316"/>
      <c r="AE75" s="2316"/>
      <c r="AF75" s="2316"/>
      <c r="AG75" s="2319"/>
      <c r="AH75" s="2319"/>
      <c r="AI75" s="2316"/>
      <c r="AJ75" s="2319"/>
      <c r="AK75" s="2319"/>
      <c r="AL75" s="2316"/>
      <c r="AM75" s="2319"/>
      <c r="AN75" s="2319"/>
      <c r="AO75" s="2316"/>
      <c r="AP75" s="2316"/>
      <c r="AQ75" s="2316"/>
      <c r="AR75" s="2316"/>
      <c r="AS75" s="2319"/>
      <c r="AT75" s="2319"/>
      <c r="AU75" s="2316"/>
      <c r="AV75" s="2319"/>
      <c r="AW75" s="2319"/>
      <c r="AX75" s="2316"/>
      <c r="AY75" s="2319"/>
      <c r="AZ75" s="2319"/>
      <c r="BA75" s="2316"/>
      <c r="BB75" s="2319"/>
      <c r="BC75" s="2319"/>
      <c r="BD75" s="2316"/>
      <c r="BE75" s="2319"/>
      <c r="BF75" s="2319"/>
      <c r="BG75" s="2316"/>
      <c r="BH75" s="2319"/>
      <c r="BI75" s="2319"/>
      <c r="BJ75" s="2316"/>
      <c r="BK75" s="2319"/>
      <c r="BL75" s="2319"/>
      <c r="BM75" s="2316"/>
      <c r="BN75" s="2319"/>
      <c r="BO75" s="2319"/>
      <c r="BP75" s="2316"/>
      <c r="BQ75" s="2319"/>
      <c r="BR75" s="2319"/>
      <c r="BS75" s="2316"/>
      <c r="BT75" s="2319"/>
      <c r="BU75" s="2319"/>
      <c r="BV75" s="2316"/>
      <c r="BW75" s="2319"/>
      <c r="BX75" s="2319"/>
      <c r="BY75" s="2316"/>
      <c r="BZ75" s="2316"/>
      <c r="CA75" s="2319"/>
      <c r="CB75" s="2319"/>
      <c r="CC75" s="2316"/>
      <c r="CD75" s="2316"/>
      <c r="CE75" s="2319"/>
      <c r="CF75" s="2319"/>
      <c r="CG75" s="2316"/>
      <c r="CH75" s="2319"/>
      <c r="CI75" s="2319"/>
      <c r="CJ75" s="2316"/>
      <c r="CK75" s="2316"/>
      <c r="CL75" s="2319"/>
      <c r="CM75" s="2319"/>
      <c r="CN75" s="2316"/>
      <c r="CO75" s="2319"/>
      <c r="CP75" s="2319"/>
      <c r="CQ75" s="2316"/>
      <c r="CR75" s="2319"/>
      <c r="CS75" s="2319"/>
      <c r="CT75" s="2316"/>
      <c r="CU75" s="2319"/>
      <c r="CV75" s="2319"/>
      <c r="CW75" s="2316"/>
      <c r="CX75" s="2319"/>
      <c r="CY75" s="2319"/>
      <c r="CZ75" s="2316"/>
      <c r="DA75" s="2316"/>
      <c r="DB75" s="2319"/>
      <c r="DC75" s="2319"/>
      <c r="DD75" s="2316"/>
      <c r="DE75" s="2319"/>
      <c r="DF75" s="2319"/>
      <c r="DG75" s="2316"/>
      <c r="DH75" s="2319"/>
      <c r="DI75" s="2319"/>
      <c r="DJ75" s="2316"/>
      <c r="DK75" s="2316"/>
      <c r="DL75" s="2319"/>
      <c r="DM75" s="2319"/>
      <c r="DN75" s="2319"/>
      <c r="DO75" s="2316"/>
      <c r="DP75" s="2316"/>
      <c r="DQ75" s="2316"/>
      <c r="DR75" s="2316"/>
      <c r="DS75" s="2316"/>
      <c r="DT75" s="2316"/>
      <c r="DU75" s="2316"/>
      <c r="DV75" s="2316"/>
      <c r="DW75" s="2319"/>
      <c r="DX75" s="2319"/>
      <c r="DY75" s="2316"/>
      <c r="DZ75" s="2316"/>
      <c r="EA75" s="2316"/>
      <c r="EB75" s="2170"/>
      <c r="EC75" s="2173"/>
      <c r="ED75" s="2174"/>
      <c r="EE75" s="2176"/>
      <c r="EF75" s="2174"/>
      <c r="EG75" s="2176"/>
    </row>
    <row r="76" spans="1:139">
      <c r="A76" s="2320"/>
      <c r="B76" s="2321"/>
      <c r="C76" s="2322"/>
      <c r="D76" s="2322"/>
      <c r="E76" s="2322"/>
      <c r="F76" s="2322"/>
      <c r="G76" s="2322"/>
      <c r="H76" s="2322"/>
      <c r="I76" s="2316"/>
      <c r="J76" s="2317"/>
      <c r="K76" s="2317"/>
      <c r="L76" s="2317"/>
      <c r="M76" s="2317"/>
      <c r="N76" s="2317"/>
      <c r="O76" s="2317"/>
      <c r="P76" s="2317"/>
      <c r="Q76" s="2317"/>
      <c r="R76" s="2317"/>
      <c r="S76" s="2323"/>
      <c r="T76" s="2324" t="s">
        <v>639</v>
      </c>
      <c r="U76" s="2317"/>
      <c r="V76" s="2324">
        <f>+V75/12</f>
        <v>4379607.5</v>
      </c>
      <c r="W76" s="2317"/>
      <c r="X76" s="2317"/>
      <c r="Y76" s="2317"/>
      <c r="Z76" s="2317"/>
      <c r="AA76" s="2317"/>
      <c r="AB76" s="2317"/>
      <c r="AC76" s="2317"/>
      <c r="AD76" s="2317"/>
      <c r="AE76" s="2317"/>
      <c r="AF76" s="2317"/>
      <c r="AG76" s="2323"/>
      <c r="AH76" s="2323"/>
      <c r="AI76" s="2317"/>
      <c r="AJ76" s="2323"/>
      <c r="AK76" s="2323"/>
      <c r="AL76" s="2317"/>
      <c r="AM76" s="2323"/>
      <c r="AN76" s="2323"/>
      <c r="AO76" s="2317"/>
      <c r="AP76" s="2317"/>
      <c r="AQ76" s="2317"/>
      <c r="AR76" s="2317"/>
      <c r="AS76" s="2323"/>
      <c r="AT76" s="2323"/>
      <c r="AU76" s="2317"/>
      <c r="AV76" s="2323"/>
      <c r="AW76" s="2323"/>
      <c r="AX76" s="2317"/>
      <c r="AY76" s="2323"/>
      <c r="AZ76" s="2323"/>
      <c r="BA76" s="2317"/>
      <c r="BB76" s="2323"/>
      <c r="BC76" s="2323"/>
      <c r="BD76" s="2317"/>
      <c r="BE76" s="2323"/>
      <c r="BF76" s="2323"/>
      <c r="BG76" s="2317"/>
      <c r="BH76" s="2323"/>
      <c r="BI76" s="2323"/>
      <c r="BJ76" s="2317"/>
      <c r="BK76" s="2323"/>
      <c r="BL76" s="2323"/>
      <c r="BM76" s="2317"/>
      <c r="BN76" s="2323"/>
      <c r="BO76" s="2323"/>
      <c r="BP76" s="2317"/>
      <c r="BQ76" s="2323"/>
      <c r="BR76" s="2323"/>
      <c r="BS76" s="2317"/>
      <c r="BT76" s="2323"/>
      <c r="BU76" s="2323"/>
      <c r="BV76" s="2317"/>
      <c r="BW76" s="2323"/>
      <c r="BX76" s="2323"/>
      <c r="BY76" s="2317"/>
      <c r="BZ76" s="2317"/>
      <c r="CA76" s="2323"/>
      <c r="CB76" s="2323"/>
      <c r="CC76" s="2317"/>
      <c r="CD76" s="2317"/>
      <c r="CE76" s="2323"/>
      <c r="CF76" s="2323"/>
      <c r="CG76" s="2317"/>
      <c r="CH76" s="2323"/>
      <c r="CI76" s="2323"/>
      <c r="CJ76" s="2317"/>
      <c r="CK76" s="2317"/>
      <c r="CL76" s="2323"/>
      <c r="CM76" s="2323"/>
      <c r="CN76" s="2317"/>
      <c r="CO76" s="2323"/>
      <c r="CP76" s="2323"/>
      <c r="CQ76" s="2317"/>
      <c r="CR76" s="2323"/>
      <c r="CS76" s="2323"/>
      <c r="CT76" s="2317"/>
      <c r="CU76" s="2323"/>
      <c r="CV76" s="2323"/>
      <c r="CW76" s="2317"/>
      <c r="CX76" s="2323"/>
      <c r="CY76" s="2323"/>
      <c r="CZ76" s="2317"/>
      <c r="DA76" s="2317"/>
      <c r="DB76" s="2323"/>
      <c r="DC76" s="2323"/>
      <c r="DD76" s="2317"/>
      <c r="DE76" s="2323"/>
      <c r="DF76" s="2323"/>
      <c r="DG76" s="2317"/>
      <c r="DH76" s="2323"/>
      <c r="DI76" s="2323"/>
      <c r="DJ76" s="2317"/>
      <c r="DK76" s="2317"/>
      <c r="DL76" s="2323"/>
      <c r="DM76" s="2323"/>
      <c r="DN76" s="2323"/>
      <c r="DO76" s="2317"/>
      <c r="DP76" s="2317"/>
      <c r="DQ76" s="2317"/>
      <c r="DR76" s="2317"/>
      <c r="DS76" s="2317"/>
      <c r="DT76" s="2317"/>
      <c r="DU76" s="2317"/>
      <c r="DV76" s="2317"/>
      <c r="DW76" s="2323"/>
      <c r="DX76" s="2323"/>
      <c r="DY76" s="2317"/>
      <c r="DZ76" s="2317"/>
      <c r="EA76" s="2317"/>
      <c r="EB76" s="2170"/>
      <c r="EC76" s="2173"/>
      <c r="ED76" s="2174"/>
      <c r="EE76" s="2180"/>
      <c r="EF76" s="2174"/>
      <c r="EG76" s="2180"/>
    </row>
    <row r="77" spans="1:139">
      <c r="A77" s="2325" t="s">
        <v>545</v>
      </c>
      <c r="B77" s="2321"/>
      <c r="C77" s="2321"/>
      <c r="D77" s="2321"/>
      <c r="E77" s="2321"/>
      <c r="F77" s="2321"/>
      <c r="G77" s="2321"/>
      <c r="H77" s="2321"/>
      <c r="I77" s="2316"/>
      <c r="T77" s="2326" t="s">
        <v>312</v>
      </c>
      <c r="V77" s="2237"/>
    </row>
    <row r="78" spans="1:139">
      <c r="J78" s="2331"/>
      <c r="K78" s="2331"/>
      <c r="L78" s="2331"/>
      <c r="M78" s="2331"/>
      <c r="N78" s="2237"/>
      <c r="O78" s="2237"/>
      <c r="T78" s="2326"/>
      <c r="V78" s="2237"/>
    </row>
    <row r="79" spans="1:139">
      <c r="T79" s="2326"/>
      <c r="V79" s="2237"/>
    </row>
    <row r="80" spans="1:139">
      <c r="T80" s="2326" t="s">
        <v>686</v>
      </c>
      <c r="V80" s="2237"/>
    </row>
    <row r="81" spans="22:22">
      <c r="V81" s="2332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7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</vt:i4>
      </vt:variant>
    </vt:vector>
  </HeadingPairs>
  <TitlesOfParts>
    <vt:vector size="51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2025-10-22T08:51:01Z</cp:lastPrinted>
  <dcterms:created xsi:type="dcterms:W3CDTF">2014-09-16T07:52:57Z</dcterms:created>
  <dcterms:modified xsi:type="dcterms:W3CDTF">2025-10-27T08:12:40Z</dcterms:modified>
</cp:coreProperties>
</file>